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2.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8.xml" ContentType="application/vnd.openxmlformats-officedocument.drawing+xml"/>
  <Override PartName="/xl/comments3.xml" ContentType="application/vnd.openxmlformats-officedocument.spreadsheetml.comments+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eLivro" defaultThemeVersion="166925"/>
  <mc:AlternateContent xmlns:mc="http://schemas.openxmlformats.org/markup-compatibility/2006">
    <mc:Choice Requires="x15">
      <x15ac:absPath xmlns:x15ac="http://schemas.microsoft.com/office/spreadsheetml/2010/11/ac" url="C:\Users\andre.alves\Downloads\"/>
    </mc:Choice>
  </mc:AlternateContent>
  <xr:revisionPtr revIDLastSave="0" documentId="13_ncr:1_{16EE4BAD-6866-41AA-BFC7-90A7D82C7A70}" xr6:coauthVersionLast="47" xr6:coauthVersionMax="47" xr10:uidLastSave="{00000000-0000-0000-0000-000000000000}"/>
  <workbookProtection workbookAlgorithmName="SHA-512" workbookHashValue="j57yYn1WIiWD6VuHfcfuwBbZXj52FQgYYuYNaBfijxMY+tHzwBdJziKKaIBHRK45ay6XEWMGq+sLIUtt32BrkA==" workbookSaltValue="60A6KlLk6tvzTwzorv1bpA==" workbookSpinCount="100000" lockStructure="1"/>
  <bookViews>
    <workbookView xWindow="-110" yWindow="-110" windowWidth="19420" windowHeight="10300" tabRatio="882" firstSheet="21" activeTab="29" xr2:uid="{BA83CB33-3910-46A1-AAAA-691A41DA43AD}"/>
  </bookViews>
  <sheets>
    <sheet name="Introdução" sheetId="55" r:id="rId1"/>
    <sheet name="Instruções" sheetId="35" r:id="rId2"/>
    <sheet name="Conteúdos" sheetId="7" r:id="rId3"/>
    <sheet name="Triagem" sheetId="36" r:id="rId4"/>
    <sheet name="Dados gerais" sheetId="2" r:id="rId5"/>
    <sheet name="Combustão Estacionária" sheetId="3" r:id="rId6"/>
    <sheet name="FACE" sheetId="13" state="hidden" r:id="rId7"/>
    <sheet name="Categoria 3" sheetId="54" state="hidden" r:id="rId8"/>
    <sheet name="Combustão Móvel" sheetId="19" r:id="rId9"/>
    <sheet name="FACM" sheetId="20" state="hidden" r:id="rId10"/>
    <sheet name="Emissões Fugitivas" sheetId="17" r:id="rId11"/>
    <sheet name="FAEF" sheetId="18" state="hidden" r:id="rId12"/>
    <sheet name="Processos Industriais" sheetId="15" r:id="rId13"/>
    <sheet name="FAEI" sheetId="16" state="hidden" r:id="rId14"/>
    <sheet name="Outras emissões de processo" sheetId="56" r:id="rId15"/>
    <sheet name="FAOEP" sheetId="57" state="hidden" r:id="rId16"/>
    <sheet name="FAAS" sheetId="32" state="hidden" r:id="rId17"/>
    <sheet name="Energia Elétrica e térmica" sheetId="25" r:id="rId18"/>
    <sheet name="FAEE" sheetId="26" state="hidden" r:id="rId19"/>
    <sheet name="Emissões Evitadas" sheetId="41" r:id="rId20"/>
    <sheet name="FAEV" sheetId="42" state="hidden" r:id="rId21"/>
    <sheet name="Aquisição de bens e serviços" sheetId="46" r:id="rId22"/>
    <sheet name="FABCC" sheetId="49" state="hidden" r:id="rId23"/>
    <sheet name="Uso dos produtos do projeto" sheetId="58" r:id="rId24"/>
    <sheet name="FAPr" sheetId="50" state="hidden" r:id="rId25"/>
    <sheet name="FAPCT" sheetId="53" state="hidden" r:id="rId26"/>
    <sheet name="Resultados" sheetId="12" r:id="rId27"/>
    <sheet name="Fatores de Emissão" sheetId="27" r:id="rId28"/>
    <sheet name="Fatores de Conversão" sheetId="30" r:id="rId29"/>
    <sheet name="Ficha técnica" sheetId="59" r:id="rId30"/>
  </sheets>
  <externalReferences>
    <externalReference r:id="rId31"/>
    <externalReference r:id="rId32"/>
    <externalReference r:id="rId33"/>
  </externalReferences>
  <definedNames>
    <definedName name="_Toc149321167" localSheetId="1">Instruções!$B$36</definedName>
    <definedName name="Ano">[1]Introdução!$E$25</definedName>
    <definedName name="Antracite">FACE!#REF!</definedName>
    <definedName name="Fugitivas_otros">[2]Datos!$C$710:$C$720</definedName>
    <definedName name="gwp_CH4">'[3]Fatores de Emissão'!$E$236</definedName>
    <definedName name="gwp_CO2">'[3]Fatores de Emissão'!$E$235</definedName>
    <definedName name="gwp_N2O">'[3]Fatores de Emissão'!$E$237</definedName>
    <definedName name="lista_setor">[3]Listas!$D$2:$D$6</definedName>
    <definedName name="total_TeD_up_CO2bio">'[3]Transp.&amp; Distribuição(Upstream)'!$F$350</definedName>
    <definedName name="versao_ferramenta">[1]Atualizações!$B$11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7" i="27" l="1"/>
  <c r="P168" i="56" l="1"/>
  <c r="P169" i="56"/>
  <c r="P170" i="56"/>
  <c r="P171" i="56"/>
  <c r="P172" i="56"/>
  <c r="P173" i="56"/>
  <c r="P174" i="56"/>
  <c r="P175" i="56"/>
  <c r="P176" i="56"/>
  <c r="P177" i="56"/>
  <c r="P178" i="56"/>
  <c r="P179" i="56"/>
  <c r="P180" i="56"/>
  <c r="P181" i="56"/>
  <c r="P182" i="56"/>
  <c r="P183" i="56"/>
  <c r="P184" i="56"/>
  <c r="P185" i="56"/>
  <c r="P186" i="56"/>
  <c r="P187" i="56"/>
  <c r="P188" i="56"/>
  <c r="P189" i="56"/>
  <c r="P190" i="56"/>
  <c r="P191" i="56"/>
  <c r="P192" i="56"/>
  <c r="P193" i="56"/>
  <c r="P194" i="56"/>
  <c r="P195" i="56"/>
  <c r="P196" i="56"/>
  <c r="P197" i="56"/>
  <c r="P198" i="56"/>
  <c r="P199" i="56"/>
  <c r="P200" i="56"/>
  <c r="P201" i="56"/>
  <c r="P202" i="56"/>
  <c r="P203" i="56"/>
  <c r="P204" i="56"/>
  <c r="P205" i="56"/>
  <c r="P206" i="56"/>
  <c r="P207" i="56"/>
  <c r="P208" i="56"/>
  <c r="P209" i="56"/>
  <c r="P210" i="56"/>
  <c r="P211" i="56"/>
  <c r="P212" i="56"/>
  <c r="P213" i="56"/>
  <c r="P214" i="56"/>
  <c r="P215" i="56"/>
  <c r="P216" i="56"/>
  <c r="P217" i="56"/>
  <c r="P218" i="56"/>
  <c r="P219" i="56"/>
  <c r="P220" i="56"/>
  <c r="P221" i="56"/>
  <c r="P222" i="56"/>
  <c r="P223" i="56"/>
  <c r="P224" i="56"/>
  <c r="P225" i="56"/>
  <c r="P226" i="56"/>
  <c r="P227" i="56"/>
  <c r="P228" i="56"/>
  <c r="P229" i="56"/>
  <c r="P230" i="56"/>
  <c r="P231" i="56"/>
  <c r="P232" i="56"/>
  <c r="P233" i="56"/>
  <c r="P234" i="56"/>
  <c r="P235" i="56"/>
  <c r="P236" i="56"/>
  <c r="P237" i="56"/>
  <c r="P238" i="56"/>
  <c r="P239" i="56"/>
  <c r="P240" i="56"/>
  <c r="P241" i="56"/>
  <c r="P242" i="56"/>
  <c r="P243" i="56"/>
  <c r="P244" i="56"/>
  <c r="P245" i="56"/>
  <c r="P246" i="56"/>
  <c r="P247" i="56"/>
  <c r="P248" i="56"/>
  <c r="P249" i="56"/>
  <c r="P250" i="56"/>
  <c r="P251" i="56"/>
  <c r="P252" i="56"/>
  <c r="P253" i="56"/>
  <c r="P254" i="56"/>
  <c r="P255" i="56"/>
  <c r="P256" i="56"/>
  <c r="P257" i="56"/>
  <c r="P258" i="56"/>
  <c r="P259" i="56"/>
  <c r="P260" i="56"/>
  <c r="P261" i="56"/>
  <c r="P262" i="56"/>
  <c r="P263" i="56"/>
  <c r="P264" i="56"/>
  <c r="P265" i="56"/>
  <c r="P266" i="56"/>
  <c r="P167" i="56"/>
  <c r="E34" i="27" l="1"/>
  <c r="E64" i="27"/>
  <c r="E63" i="27"/>
  <c r="E58" i="27"/>
  <c r="E55" i="27"/>
  <c r="E54" i="27"/>
  <c r="F53" i="27"/>
  <c r="E52" i="27"/>
  <c r="E53" i="27" s="1"/>
  <c r="E51" i="27"/>
  <c r="E50" i="27"/>
  <c r="E49" i="27"/>
  <c r="E48" i="27"/>
  <c r="E47" i="27"/>
  <c r="E45" i="27"/>
  <c r="E40" i="27"/>
  <c r="E39" i="27"/>
  <c r="E38" i="27"/>
  <c r="E37" i="27"/>
  <c r="E35" i="27"/>
  <c r="E33" i="27"/>
  <c r="E32" i="27"/>
  <c r="E31" i="27"/>
  <c r="I83" i="17"/>
  <c r="I84" i="17"/>
  <c r="I85" i="17"/>
  <c r="I86" i="17"/>
  <c r="I87" i="17"/>
  <c r="I88" i="17"/>
  <c r="I89" i="17"/>
  <c r="I90" i="17"/>
  <c r="I91" i="17"/>
  <c r="I92" i="17"/>
  <c r="I93" i="17"/>
  <c r="I94" i="17"/>
  <c r="I95" i="17"/>
  <c r="I96" i="17"/>
  <c r="I97" i="17"/>
  <c r="I98" i="17"/>
  <c r="I99" i="17"/>
  <c r="I100" i="17"/>
  <c r="I101" i="17"/>
  <c r="I102" i="17"/>
  <c r="I103" i="17"/>
  <c r="I104" i="17"/>
  <c r="I105" i="17"/>
  <c r="I106" i="17"/>
  <c r="I107" i="17"/>
  <c r="I108" i="17"/>
  <c r="I109" i="17"/>
  <c r="I110" i="17"/>
  <c r="I111" i="17"/>
  <c r="I112" i="17"/>
  <c r="I113" i="17"/>
  <c r="I114" i="17"/>
  <c r="I115" i="17"/>
  <c r="I116" i="17"/>
  <c r="I117" i="17"/>
  <c r="I118" i="17"/>
  <c r="I119" i="17"/>
  <c r="I120" i="17"/>
  <c r="I121" i="17"/>
  <c r="I122" i="17"/>
  <c r="I123" i="17"/>
  <c r="I124" i="17"/>
  <c r="I125" i="17"/>
  <c r="I126" i="17"/>
  <c r="I127" i="17"/>
  <c r="I128" i="17"/>
  <c r="I129" i="17"/>
  <c r="I130" i="17"/>
  <c r="I131" i="17"/>
  <c r="I132" i="17"/>
  <c r="I133" i="17"/>
  <c r="I134" i="17"/>
  <c r="I135" i="17"/>
  <c r="I136" i="17"/>
  <c r="I137" i="17"/>
  <c r="I138" i="17"/>
  <c r="I139" i="17"/>
  <c r="I140" i="17"/>
  <c r="I141" i="17"/>
  <c r="I142" i="17"/>
  <c r="I143" i="17"/>
  <c r="I144" i="17"/>
  <c r="I145" i="17"/>
  <c r="I146" i="17"/>
  <c r="I147" i="17"/>
  <c r="I148" i="17"/>
  <c r="I149" i="17"/>
  <c r="I150" i="17"/>
  <c r="I151" i="17"/>
  <c r="I152" i="17"/>
  <c r="I153" i="17"/>
  <c r="I154" i="17"/>
  <c r="I155" i="17"/>
  <c r="I156" i="17"/>
  <c r="I157" i="17"/>
  <c r="I158" i="17"/>
  <c r="I159" i="17"/>
  <c r="I160" i="17"/>
  <c r="I161" i="17"/>
  <c r="I162" i="17"/>
  <c r="I163" i="17"/>
  <c r="I164" i="17"/>
  <c r="I165" i="17"/>
  <c r="I166" i="17"/>
  <c r="I167" i="17"/>
  <c r="I168" i="17"/>
  <c r="I169" i="17"/>
  <c r="I170" i="17"/>
  <c r="I171" i="17"/>
  <c r="I172" i="17"/>
  <c r="I173" i="17"/>
  <c r="I174" i="17"/>
  <c r="I175" i="17"/>
  <c r="I176" i="17"/>
  <c r="I177" i="17"/>
  <c r="I178" i="17"/>
  <c r="I179" i="17"/>
  <c r="I180" i="17"/>
  <c r="I181" i="17"/>
  <c r="I82" i="17"/>
  <c r="F82" i="17"/>
  <c r="F83" i="17"/>
  <c r="G152" i="25"/>
  <c r="G153" i="25"/>
  <c r="G154" i="25"/>
  <c r="G155" i="25"/>
  <c r="G156" i="25"/>
  <c r="G157" i="25"/>
  <c r="G158" i="25"/>
  <c r="G159" i="25"/>
  <c r="G160" i="25"/>
  <c r="G161" i="25"/>
  <c r="G162" i="25"/>
  <c r="G163" i="25"/>
  <c r="G164" i="25"/>
  <c r="G165" i="25"/>
  <c r="G166" i="25"/>
  <c r="G167" i="25"/>
  <c r="G168" i="25"/>
  <c r="G169" i="25"/>
  <c r="G170" i="25"/>
  <c r="G171" i="25"/>
  <c r="G251" i="25" s="1"/>
  <c r="G172" i="25"/>
  <c r="G173" i="25"/>
  <c r="G174" i="25"/>
  <c r="G175" i="25"/>
  <c r="G176" i="25"/>
  <c r="G177" i="25"/>
  <c r="G178" i="25"/>
  <c r="G179" i="25"/>
  <c r="G180" i="25"/>
  <c r="G181" i="25"/>
  <c r="G182" i="25"/>
  <c r="G183" i="25"/>
  <c r="G184" i="25"/>
  <c r="G185" i="25"/>
  <c r="G186" i="25"/>
  <c r="G187" i="25"/>
  <c r="G188" i="25"/>
  <c r="G189" i="25"/>
  <c r="G190" i="25"/>
  <c r="G191" i="25"/>
  <c r="G192" i="25"/>
  <c r="G193" i="25"/>
  <c r="G194" i="25"/>
  <c r="G195" i="25"/>
  <c r="G196" i="25"/>
  <c r="G197" i="25"/>
  <c r="G198" i="25"/>
  <c r="G199" i="25"/>
  <c r="G200" i="25"/>
  <c r="G201" i="25"/>
  <c r="G202" i="25"/>
  <c r="G203" i="25"/>
  <c r="G204" i="25"/>
  <c r="G205" i="25"/>
  <c r="G206" i="25"/>
  <c r="G207" i="25"/>
  <c r="G208" i="25"/>
  <c r="G209" i="25"/>
  <c r="G210" i="25"/>
  <c r="G211" i="25"/>
  <c r="G212" i="25"/>
  <c r="G213" i="25"/>
  <c r="G214" i="25"/>
  <c r="G215" i="25"/>
  <c r="G216" i="25"/>
  <c r="G217" i="25"/>
  <c r="G218" i="25"/>
  <c r="G219" i="25"/>
  <c r="G220" i="25"/>
  <c r="G221" i="25"/>
  <c r="G222" i="25"/>
  <c r="G223" i="25"/>
  <c r="G224" i="25"/>
  <c r="G225" i="25"/>
  <c r="G226" i="25"/>
  <c r="G227" i="25"/>
  <c r="G228" i="25"/>
  <c r="G229" i="25"/>
  <c r="G230" i="25"/>
  <c r="G231" i="25"/>
  <c r="G232" i="25"/>
  <c r="G233" i="25"/>
  <c r="G234" i="25"/>
  <c r="G235" i="25"/>
  <c r="G236" i="25"/>
  <c r="G237" i="25"/>
  <c r="G238" i="25"/>
  <c r="G239" i="25"/>
  <c r="G240" i="25"/>
  <c r="G241" i="25"/>
  <c r="G242" i="25"/>
  <c r="G243" i="25"/>
  <c r="G244" i="25"/>
  <c r="G245" i="25"/>
  <c r="G246" i="25"/>
  <c r="G247" i="25"/>
  <c r="G248" i="25"/>
  <c r="G249" i="25"/>
  <c r="G250" i="25"/>
  <c r="G151" i="25"/>
  <c r="S298" i="56" l="1"/>
  <c r="S299" i="56"/>
  <c r="S300" i="56"/>
  <c r="S301" i="56"/>
  <c r="S302" i="56"/>
  <c r="S303" i="56"/>
  <c r="S304" i="56"/>
  <c r="S305" i="56"/>
  <c r="S306" i="56"/>
  <c r="S307" i="56"/>
  <c r="S308" i="56"/>
  <c r="S309" i="56"/>
  <c r="S310" i="56"/>
  <c r="S311" i="56"/>
  <c r="S312" i="56"/>
  <c r="S313" i="56"/>
  <c r="S314" i="56"/>
  <c r="S315" i="56"/>
  <c r="S316" i="56"/>
  <c r="S317" i="56"/>
  <c r="S318" i="56"/>
  <c r="S319" i="56"/>
  <c r="S320" i="56"/>
  <c r="S321" i="56"/>
  <c r="S322" i="56"/>
  <c r="S323" i="56"/>
  <c r="S324" i="56"/>
  <c r="S325" i="56"/>
  <c r="S326" i="56"/>
  <c r="S327" i="56"/>
  <c r="S328" i="56"/>
  <c r="S329" i="56"/>
  <c r="S330" i="56"/>
  <c r="S331" i="56"/>
  <c r="S332" i="56"/>
  <c r="S333" i="56"/>
  <c r="S334" i="56"/>
  <c r="S335" i="56"/>
  <c r="S336" i="56"/>
  <c r="S337" i="56"/>
  <c r="S338" i="56"/>
  <c r="S339" i="56"/>
  <c r="S340" i="56"/>
  <c r="S341" i="56"/>
  <c r="S342" i="56"/>
  <c r="S343" i="56"/>
  <c r="S344" i="56"/>
  <c r="S345" i="56"/>
  <c r="S346" i="56"/>
  <c r="S347" i="56"/>
  <c r="S348" i="56"/>
  <c r="S349" i="56"/>
  <c r="S350" i="56"/>
  <c r="S351" i="56"/>
  <c r="S352" i="56"/>
  <c r="S353" i="56"/>
  <c r="S354" i="56"/>
  <c r="S355" i="56"/>
  <c r="S356" i="56"/>
  <c r="S357" i="56"/>
  <c r="S358" i="56"/>
  <c r="S359" i="56"/>
  <c r="S360" i="56"/>
  <c r="S361" i="56"/>
  <c r="S362" i="56"/>
  <c r="S363" i="56"/>
  <c r="S364" i="56"/>
  <c r="S365" i="56"/>
  <c r="S366" i="56"/>
  <c r="S367" i="56"/>
  <c r="S368" i="56"/>
  <c r="S369" i="56"/>
  <c r="S370" i="56"/>
  <c r="S371" i="56"/>
  <c r="S372" i="56"/>
  <c r="S373" i="56"/>
  <c r="S374" i="56"/>
  <c r="S375" i="56"/>
  <c r="S376" i="56"/>
  <c r="S377" i="56"/>
  <c r="S378" i="56"/>
  <c r="S379" i="56"/>
  <c r="S380" i="56"/>
  <c r="S381" i="56"/>
  <c r="S382" i="56"/>
  <c r="S383" i="56"/>
  <c r="S384" i="56"/>
  <c r="S385" i="56"/>
  <c r="S386" i="56"/>
  <c r="S387" i="56"/>
  <c r="S388" i="56"/>
  <c r="S389" i="56"/>
  <c r="S291" i="56"/>
  <c r="S292" i="56"/>
  <c r="S293" i="56"/>
  <c r="S294" i="56"/>
  <c r="S295" i="56"/>
  <c r="S296" i="56"/>
  <c r="S297" i="56"/>
  <c r="S290" i="56"/>
  <c r="D45" i="17" l="1"/>
  <c r="D46" i="17"/>
  <c r="D47" i="17"/>
  <c r="D48" i="17"/>
  <c r="D49" i="17"/>
  <c r="D50" i="17"/>
  <c r="D51" i="17"/>
  <c r="D52" i="17"/>
  <c r="D53" i="17"/>
  <c r="D54" i="17"/>
  <c r="D55" i="17"/>
  <c r="D56" i="17"/>
  <c r="D57" i="17"/>
  <c r="D58" i="17"/>
  <c r="D59" i="17"/>
  <c r="D60" i="17"/>
  <c r="D61" i="17"/>
  <c r="D62" i="17"/>
  <c r="D63" i="17"/>
  <c r="D64" i="17"/>
  <c r="D44" i="17"/>
  <c r="E520" i="19"/>
  <c r="E521" i="19"/>
  <c r="E522" i="19"/>
  <c r="E523" i="19"/>
  <c r="E524" i="19"/>
  <c r="E525" i="19"/>
  <c r="E526" i="19"/>
  <c r="E527" i="19"/>
  <c r="E528" i="19"/>
  <c r="E529" i="19"/>
  <c r="E530" i="19"/>
  <c r="E531" i="19"/>
  <c r="E532" i="19"/>
  <c r="E533" i="19"/>
  <c r="E534" i="19"/>
  <c r="E535" i="19"/>
  <c r="E536" i="19"/>
  <c r="E537" i="19"/>
  <c r="E538" i="19"/>
  <c r="E539" i="19"/>
  <c r="E540" i="19"/>
  <c r="E541" i="19"/>
  <c r="E542" i="19"/>
  <c r="E543" i="19"/>
  <c r="E544" i="19"/>
  <c r="E545" i="19"/>
  <c r="E546" i="19"/>
  <c r="E547" i="19"/>
  <c r="E548" i="19"/>
  <c r="E549" i="19"/>
  <c r="E550" i="19"/>
  <c r="E551" i="19"/>
  <c r="E519" i="19"/>
  <c r="H31" i="41" l="1"/>
  <c r="H32" i="41"/>
  <c r="G32" i="41" s="1"/>
  <c r="H33" i="41"/>
  <c r="H34" i="41"/>
  <c r="H35" i="41"/>
  <c r="G35" i="41" s="1"/>
  <c r="H36" i="41"/>
  <c r="G36" i="41" s="1"/>
  <c r="H37" i="41"/>
  <c r="G37" i="41" s="1"/>
  <c r="H38" i="41"/>
  <c r="G38" i="41" s="1"/>
  <c r="H39" i="41"/>
  <c r="G39" i="41" s="1"/>
  <c r="H40" i="41"/>
  <c r="G40" i="41" s="1"/>
  <c r="H41" i="41"/>
  <c r="G41" i="41" s="1"/>
  <c r="H42" i="41"/>
  <c r="H43" i="41"/>
  <c r="H44" i="41"/>
  <c r="G44" i="41" s="1"/>
  <c r="H45" i="41"/>
  <c r="G45" i="41" s="1"/>
  <c r="H46" i="41"/>
  <c r="G46" i="41" s="1"/>
  <c r="H47" i="41"/>
  <c r="G47" i="41" s="1"/>
  <c r="H48" i="41"/>
  <c r="G48" i="41" s="1"/>
  <c r="H49" i="41"/>
  <c r="G49" i="41" s="1"/>
  <c r="H50" i="41"/>
  <c r="G50" i="41" s="1"/>
  <c r="H51" i="41"/>
  <c r="G51" i="41" s="1"/>
  <c r="H52" i="41"/>
  <c r="G52" i="41" s="1"/>
  <c r="H53" i="41"/>
  <c r="G53" i="41" s="1"/>
  <c r="H54" i="41"/>
  <c r="G54" i="41" s="1"/>
  <c r="H55" i="41"/>
  <c r="H56" i="41"/>
  <c r="H57" i="41"/>
  <c r="G57" i="41" s="1"/>
  <c r="H58" i="41"/>
  <c r="H59" i="41"/>
  <c r="H60" i="41"/>
  <c r="G60" i="41" s="1"/>
  <c r="H61" i="41"/>
  <c r="G61" i="41" s="1"/>
  <c r="H62" i="41"/>
  <c r="G62" i="41" s="1"/>
  <c r="H63" i="41"/>
  <c r="G63" i="41" s="1"/>
  <c r="H64" i="41"/>
  <c r="G64" i="41" s="1"/>
  <c r="H65" i="41"/>
  <c r="G65" i="41" s="1"/>
  <c r="H66" i="41"/>
  <c r="G66" i="41" s="1"/>
  <c r="H67" i="41"/>
  <c r="G67" i="41" s="1"/>
  <c r="H68" i="41"/>
  <c r="G68" i="41" s="1"/>
  <c r="H69" i="41"/>
  <c r="G69" i="41" s="1"/>
  <c r="H70" i="41"/>
  <c r="G70" i="41" s="1"/>
  <c r="H71" i="41"/>
  <c r="H72" i="41"/>
  <c r="G72" i="41" s="1"/>
  <c r="H73" i="41"/>
  <c r="G73" i="41" s="1"/>
  <c r="H74" i="41"/>
  <c r="G74" i="41" s="1"/>
  <c r="H75" i="41"/>
  <c r="G75" i="41" s="1"/>
  <c r="H76" i="41"/>
  <c r="G76" i="41" s="1"/>
  <c r="H77" i="41"/>
  <c r="G77" i="41" s="1"/>
  <c r="H78" i="41"/>
  <c r="G78" i="41" s="1"/>
  <c r="H79" i="41"/>
  <c r="H80" i="41"/>
  <c r="G80" i="41" s="1"/>
  <c r="H81" i="41"/>
  <c r="H82" i="41"/>
  <c r="G82" i="41" s="1"/>
  <c r="H83" i="41"/>
  <c r="G83" i="41" s="1"/>
  <c r="H84" i="41"/>
  <c r="G84" i="41" s="1"/>
  <c r="H85" i="41"/>
  <c r="G85" i="41" s="1"/>
  <c r="H86" i="41"/>
  <c r="G86" i="41" s="1"/>
  <c r="H87" i="41"/>
  <c r="H88" i="41"/>
  <c r="G88" i="41" s="1"/>
  <c r="H89" i="41"/>
  <c r="G89" i="41" s="1"/>
  <c r="H90" i="41"/>
  <c r="H91" i="41"/>
  <c r="G91" i="41" s="1"/>
  <c r="H92" i="41"/>
  <c r="G92" i="41" s="1"/>
  <c r="H93" i="41"/>
  <c r="G93" i="41" s="1"/>
  <c r="H94" i="41"/>
  <c r="G94" i="41" s="1"/>
  <c r="H95" i="41"/>
  <c r="G95" i="41" s="1"/>
  <c r="H96" i="41"/>
  <c r="G96" i="41" s="1"/>
  <c r="H97" i="41"/>
  <c r="G97" i="41" s="1"/>
  <c r="H98" i="41"/>
  <c r="G98" i="41" s="1"/>
  <c r="H99" i="41"/>
  <c r="G99" i="41" s="1"/>
  <c r="H100" i="41"/>
  <c r="G100" i="41" s="1"/>
  <c r="H101" i="41"/>
  <c r="G101" i="41" s="1"/>
  <c r="H102" i="41"/>
  <c r="G102" i="41" s="1"/>
  <c r="H103" i="41"/>
  <c r="H104" i="41"/>
  <c r="G104" i="41" s="1"/>
  <c r="H105" i="41"/>
  <c r="G105" i="41" s="1"/>
  <c r="H106" i="41"/>
  <c r="H107" i="41"/>
  <c r="G107" i="41" s="1"/>
  <c r="H108" i="41"/>
  <c r="G108" i="41" s="1"/>
  <c r="H109" i="41"/>
  <c r="G109" i="41" s="1"/>
  <c r="H110" i="41"/>
  <c r="G110" i="41" s="1"/>
  <c r="H111" i="41"/>
  <c r="G111" i="41" s="1"/>
  <c r="H112" i="41"/>
  <c r="G112" i="41" s="1"/>
  <c r="H113" i="41"/>
  <c r="G113" i="41" s="1"/>
  <c r="H114" i="41"/>
  <c r="H115" i="41"/>
  <c r="G115" i="41" s="1"/>
  <c r="H116" i="41"/>
  <c r="G116" i="41" s="1"/>
  <c r="H117" i="41"/>
  <c r="G117" i="41" s="1"/>
  <c r="H118" i="41"/>
  <c r="G118" i="41" s="1"/>
  <c r="H119" i="41"/>
  <c r="H120" i="41"/>
  <c r="G120" i="41" s="1"/>
  <c r="H121" i="41"/>
  <c r="G121" i="41" s="1"/>
  <c r="H122" i="41"/>
  <c r="G122" i="41" s="1"/>
  <c r="H123" i="41"/>
  <c r="G123" i="41" s="1"/>
  <c r="H124" i="41"/>
  <c r="G124" i="41" s="1"/>
  <c r="H125" i="41"/>
  <c r="G125" i="41" s="1"/>
  <c r="H126" i="41"/>
  <c r="G126" i="41" s="1"/>
  <c r="H127" i="41"/>
  <c r="H128" i="41"/>
  <c r="G128" i="41" s="1"/>
  <c r="H129" i="41"/>
  <c r="G129" i="41" s="1"/>
  <c r="G31" i="41"/>
  <c r="G33" i="41"/>
  <c r="G34" i="41"/>
  <c r="G42" i="41"/>
  <c r="G43" i="41"/>
  <c r="G55" i="41"/>
  <c r="G56" i="41"/>
  <c r="G58" i="41"/>
  <c r="G59" i="41"/>
  <c r="G71" i="41"/>
  <c r="G79" i="41"/>
  <c r="G81" i="41"/>
  <c r="G87" i="41"/>
  <c r="G90" i="41"/>
  <c r="G103" i="41"/>
  <c r="G106" i="41"/>
  <c r="G114" i="41"/>
  <c r="G119" i="41"/>
  <c r="G127" i="41"/>
  <c r="F84" i="17"/>
  <c r="F85" i="17"/>
  <c r="F86" i="17"/>
  <c r="F87" i="17"/>
  <c r="F88" i="17"/>
  <c r="F89" i="17"/>
  <c r="F90" i="17"/>
  <c r="F91" i="17"/>
  <c r="F92" i="17"/>
  <c r="F93" i="17"/>
  <c r="F94" i="17"/>
  <c r="F95" i="17"/>
  <c r="F96" i="17"/>
  <c r="F97" i="17"/>
  <c r="F98" i="17"/>
  <c r="F99" i="17"/>
  <c r="F100" i="17"/>
  <c r="F101" i="17"/>
  <c r="F102" i="17"/>
  <c r="F103" i="17"/>
  <c r="F104" i="17"/>
  <c r="F105" i="17"/>
  <c r="F106" i="17"/>
  <c r="F107" i="17"/>
  <c r="F108" i="17"/>
  <c r="F109" i="17"/>
  <c r="F110" i="17"/>
  <c r="F111" i="17"/>
  <c r="F112" i="17"/>
  <c r="F113" i="17"/>
  <c r="F114" i="17"/>
  <c r="F115" i="17"/>
  <c r="F116" i="17"/>
  <c r="F117" i="17"/>
  <c r="F118" i="17"/>
  <c r="F119" i="17"/>
  <c r="F120" i="17"/>
  <c r="F121" i="17"/>
  <c r="F122" i="17"/>
  <c r="F123" i="17"/>
  <c r="F124" i="17"/>
  <c r="F125" i="17"/>
  <c r="F126" i="17"/>
  <c r="F127" i="17"/>
  <c r="F128" i="17"/>
  <c r="F129" i="17"/>
  <c r="F130" i="17"/>
  <c r="F131" i="17"/>
  <c r="F132" i="17"/>
  <c r="F133" i="17"/>
  <c r="F134" i="17"/>
  <c r="F135" i="17"/>
  <c r="F136" i="17"/>
  <c r="F137" i="17"/>
  <c r="F138" i="17"/>
  <c r="F139" i="17"/>
  <c r="F140" i="17"/>
  <c r="F141" i="17"/>
  <c r="F142" i="17"/>
  <c r="F143" i="17"/>
  <c r="F144" i="17"/>
  <c r="F145" i="17"/>
  <c r="F146" i="17"/>
  <c r="F147" i="17"/>
  <c r="F148" i="17"/>
  <c r="F149" i="17"/>
  <c r="F150" i="17"/>
  <c r="F151" i="17"/>
  <c r="F152" i="17"/>
  <c r="F153" i="17"/>
  <c r="F154" i="17"/>
  <c r="F155" i="17"/>
  <c r="F156" i="17"/>
  <c r="F157" i="17"/>
  <c r="F158" i="17"/>
  <c r="F159" i="17"/>
  <c r="F160" i="17"/>
  <c r="F161" i="17"/>
  <c r="F162" i="17"/>
  <c r="F163" i="17"/>
  <c r="F164" i="17"/>
  <c r="F165" i="17"/>
  <c r="F166" i="17"/>
  <c r="F167" i="17"/>
  <c r="F168" i="17"/>
  <c r="F169" i="17"/>
  <c r="F170" i="17"/>
  <c r="F171" i="17"/>
  <c r="F172" i="17"/>
  <c r="F173" i="17"/>
  <c r="F174" i="17"/>
  <c r="F175" i="17"/>
  <c r="F176" i="17"/>
  <c r="F177" i="17"/>
  <c r="F178" i="17"/>
  <c r="F179" i="17"/>
  <c r="F180" i="17"/>
  <c r="F181" i="17"/>
  <c r="H520" i="19"/>
  <c r="K520" i="19" s="1"/>
  <c r="I520" i="19"/>
  <c r="L520" i="19" s="1"/>
  <c r="J520" i="19"/>
  <c r="M520" i="19"/>
  <c r="H521" i="19"/>
  <c r="K521" i="19" s="1"/>
  <c r="I521" i="19"/>
  <c r="L521" i="19" s="1"/>
  <c r="J521" i="19"/>
  <c r="M521" i="19" s="1"/>
  <c r="H522" i="19"/>
  <c r="I522" i="19"/>
  <c r="L522" i="19" s="1"/>
  <c r="J522" i="19"/>
  <c r="M522" i="19" s="1"/>
  <c r="K522" i="19"/>
  <c r="H523" i="19"/>
  <c r="I523" i="19"/>
  <c r="J523" i="19"/>
  <c r="K523" i="19"/>
  <c r="L523" i="19"/>
  <c r="M523" i="19"/>
  <c r="H524" i="19"/>
  <c r="K524" i="19" s="1"/>
  <c r="I524" i="19"/>
  <c r="L524" i="19" s="1"/>
  <c r="J524" i="19"/>
  <c r="M524" i="19"/>
  <c r="H525" i="19"/>
  <c r="K525" i="19" s="1"/>
  <c r="I525" i="19"/>
  <c r="L525" i="19" s="1"/>
  <c r="J525" i="19"/>
  <c r="M525" i="19" s="1"/>
  <c r="H526" i="19"/>
  <c r="I526" i="19"/>
  <c r="L526" i="19" s="1"/>
  <c r="J526" i="19"/>
  <c r="M526" i="19" s="1"/>
  <c r="K526" i="19"/>
  <c r="H527" i="19"/>
  <c r="I527" i="19"/>
  <c r="J527" i="19"/>
  <c r="K527" i="19"/>
  <c r="L527" i="19"/>
  <c r="M527" i="19"/>
  <c r="H528" i="19"/>
  <c r="K528" i="19" s="1"/>
  <c r="I528" i="19"/>
  <c r="L528" i="19" s="1"/>
  <c r="J528" i="19"/>
  <c r="M528" i="19"/>
  <c r="H529" i="19"/>
  <c r="K529" i="19" s="1"/>
  <c r="I529" i="19"/>
  <c r="L529" i="19" s="1"/>
  <c r="J529" i="19"/>
  <c r="M529" i="19" s="1"/>
  <c r="H530" i="19"/>
  <c r="I530" i="19"/>
  <c r="L530" i="19" s="1"/>
  <c r="J530" i="19"/>
  <c r="M530" i="19" s="1"/>
  <c r="K530" i="19"/>
  <c r="H531" i="19"/>
  <c r="I531" i="19"/>
  <c r="J531" i="19"/>
  <c r="K531" i="19"/>
  <c r="L531" i="19"/>
  <c r="M531" i="19"/>
  <c r="H532" i="19"/>
  <c r="K532" i="19" s="1"/>
  <c r="I532" i="19"/>
  <c r="J532" i="19"/>
  <c r="L532" i="19"/>
  <c r="M532" i="19"/>
  <c r="H533" i="19"/>
  <c r="K533" i="19" s="1"/>
  <c r="I533" i="19"/>
  <c r="L533" i="19" s="1"/>
  <c r="J533" i="19"/>
  <c r="M533" i="19" s="1"/>
  <c r="H534" i="19"/>
  <c r="I534" i="19"/>
  <c r="L534" i="19" s="1"/>
  <c r="J534" i="19"/>
  <c r="M534" i="19" s="1"/>
  <c r="K534" i="19"/>
  <c r="H535" i="19"/>
  <c r="I535" i="19"/>
  <c r="J535" i="19"/>
  <c r="K535" i="19"/>
  <c r="L535" i="19"/>
  <c r="M535" i="19"/>
  <c r="H536" i="19"/>
  <c r="K536" i="19" s="1"/>
  <c r="I536" i="19"/>
  <c r="J536" i="19"/>
  <c r="L536" i="19"/>
  <c r="M536" i="19"/>
  <c r="H537" i="19"/>
  <c r="K537" i="19" s="1"/>
  <c r="I537" i="19"/>
  <c r="L537" i="19" s="1"/>
  <c r="J537" i="19"/>
  <c r="M537" i="19" s="1"/>
  <c r="H538" i="19"/>
  <c r="I538" i="19"/>
  <c r="L538" i="19" s="1"/>
  <c r="J538" i="19"/>
  <c r="M538" i="19" s="1"/>
  <c r="K538" i="19"/>
  <c r="H539" i="19"/>
  <c r="I539" i="19"/>
  <c r="J539" i="19"/>
  <c r="K539" i="19"/>
  <c r="L539" i="19"/>
  <c r="M539" i="19"/>
  <c r="H540" i="19"/>
  <c r="K540" i="19" s="1"/>
  <c r="I540" i="19"/>
  <c r="J540" i="19"/>
  <c r="L540" i="19"/>
  <c r="M540" i="19"/>
  <c r="H541" i="19"/>
  <c r="K541" i="19" s="1"/>
  <c r="I541" i="19"/>
  <c r="L541" i="19" s="1"/>
  <c r="J541" i="19"/>
  <c r="M541" i="19" s="1"/>
  <c r="H542" i="19"/>
  <c r="I542" i="19"/>
  <c r="L542" i="19" s="1"/>
  <c r="J542" i="19"/>
  <c r="M542" i="19" s="1"/>
  <c r="K542" i="19"/>
  <c r="H543" i="19"/>
  <c r="I543" i="19"/>
  <c r="J543" i="19"/>
  <c r="K543" i="19"/>
  <c r="L543" i="19"/>
  <c r="M543" i="19"/>
  <c r="H544" i="19"/>
  <c r="K544" i="19" s="1"/>
  <c r="I544" i="19"/>
  <c r="J544" i="19"/>
  <c r="L544" i="19"/>
  <c r="M544" i="19"/>
  <c r="H545" i="19"/>
  <c r="K545" i="19" s="1"/>
  <c r="I545" i="19"/>
  <c r="L545" i="19" s="1"/>
  <c r="J545" i="19"/>
  <c r="M545" i="19" s="1"/>
  <c r="H546" i="19"/>
  <c r="I546" i="19"/>
  <c r="L546" i="19" s="1"/>
  <c r="J546" i="19"/>
  <c r="M546" i="19" s="1"/>
  <c r="K546" i="19"/>
  <c r="H547" i="19"/>
  <c r="I547" i="19"/>
  <c r="J547" i="19"/>
  <c r="K547" i="19"/>
  <c r="L547" i="19"/>
  <c r="M547" i="19"/>
  <c r="H548" i="19"/>
  <c r="K548" i="19" s="1"/>
  <c r="I548" i="19"/>
  <c r="J548" i="19"/>
  <c r="L548" i="19"/>
  <c r="M548" i="19"/>
  <c r="H549" i="19"/>
  <c r="K549" i="19" s="1"/>
  <c r="I549" i="19"/>
  <c r="L549" i="19" s="1"/>
  <c r="J549" i="19"/>
  <c r="M549" i="19" s="1"/>
  <c r="H550" i="19"/>
  <c r="I550" i="19"/>
  <c r="L550" i="19" s="1"/>
  <c r="J550" i="19"/>
  <c r="M550" i="19" s="1"/>
  <c r="K550" i="19"/>
  <c r="H551" i="19"/>
  <c r="I551" i="19"/>
  <c r="J551" i="19"/>
  <c r="K551" i="19"/>
  <c r="L551" i="19"/>
  <c r="M551" i="19"/>
  <c r="K404" i="19"/>
  <c r="N404" i="19" s="1"/>
  <c r="L404" i="19"/>
  <c r="O404" i="19" s="1"/>
  <c r="M404" i="19"/>
  <c r="P404" i="19"/>
  <c r="K405" i="19"/>
  <c r="N405" i="19" s="1"/>
  <c r="L405" i="19"/>
  <c r="O405" i="19" s="1"/>
  <c r="M405" i="19"/>
  <c r="P405" i="19" s="1"/>
  <c r="K406" i="19"/>
  <c r="L406" i="19"/>
  <c r="O406" i="19" s="1"/>
  <c r="M406" i="19"/>
  <c r="P406" i="19" s="1"/>
  <c r="N406" i="19"/>
  <c r="K407" i="19"/>
  <c r="L407" i="19"/>
  <c r="M407" i="19"/>
  <c r="N407" i="19"/>
  <c r="O407" i="19"/>
  <c r="P407" i="19"/>
  <c r="K408" i="19"/>
  <c r="N408" i="19" s="1"/>
  <c r="L408" i="19"/>
  <c r="O408" i="19" s="1"/>
  <c r="M408" i="19"/>
  <c r="P408" i="19"/>
  <c r="K409" i="19"/>
  <c r="N409" i="19" s="1"/>
  <c r="L409" i="19"/>
  <c r="O409" i="19" s="1"/>
  <c r="M409" i="19"/>
  <c r="P409" i="19" s="1"/>
  <c r="K410" i="19"/>
  <c r="L410" i="19"/>
  <c r="O410" i="19" s="1"/>
  <c r="M410" i="19"/>
  <c r="P410" i="19" s="1"/>
  <c r="N410" i="19"/>
  <c r="K411" i="19"/>
  <c r="L411" i="19"/>
  <c r="M411" i="19"/>
  <c r="N411" i="19"/>
  <c r="O411" i="19"/>
  <c r="P411" i="19"/>
  <c r="K412" i="19"/>
  <c r="N412" i="19" s="1"/>
  <c r="L412" i="19"/>
  <c r="O412" i="19" s="1"/>
  <c r="M412" i="19"/>
  <c r="P412" i="19"/>
  <c r="K413" i="19"/>
  <c r="N413" i="19" s="1"/>
  <c r="L413" i="19"/>
  <c r="O413" i="19" s="1"/>
  <c r="M413" i="19"/>
  <c r="P413" i="19" s="1"/>
  <c r="K414" i="19"/>
  <c r="L414" i="19"/>
  <c r="O414" i="19" s="1"/>
  <c r="M414" i="19"/>
  <c r="P414" i="19" s="1"/>
  <c r="N414" i="19"/>
  <c r="K415" i="19"/>
  <c r="L415" i="19"/>
  <c r="M415" i="19"/>
  <c r="N415" i="19"/>
  <c r="O415" i="19"/>
  <c r="P415" i="19"/>
  <c r="K416" i="19"/>
  <c r="N416" i="19" s="1"/>
  <c r="L416" i="19"/>
  <c r="O416" i="19" s="1"/>
  <c r="M416" i="19"/>
  <c r="P416" i="19"/>
  <c r="K417" i="19"/>
  <c r="N417" i="19" s="1"/>
  <c r="L417" i="19"/>
  <c r="O417" i="19" s="1"/>
  <c r="M417" i="19"/>
  <c r="P417" i="19" s="1"/>
  <c r="K418" i="19"/>
  <c r="L418" i="19"/>
  <c r="O418" i="19" s="1"/>
  <c r="M418" i="19"/>
  <c r="P418" i="19" s="1"/>
  <c r="N418" i="19"/>
  <c r="K419" i="19"/>
  <c r="L419" i="19"/>
  <c r="M419" i="19"/>
  <c r="N419" i="19"/>
  <c r="O419" i="19"/>
  <c r="P419" i="19"/>
  <c r="K420" i="19"/>
  <c r="N420" i="19" s="1"/>
  <c r="L420" i="19"/>
  <c r="M420" i="19"/>
  <c r="O420" i="19"/>
  <c r="P420" i="19"/>
  <c r="K421" i="19"/>
  <c r="N421" i="19" s="1"/>
  <c r="L421" i="19"/>
  <c r="O421" i="19" s="1"/>
  <c r="M421" i="19"/>
  <c r="P421" i="19" s="1"/>
  <c r="K422" i="19"/>
  <c r="L422" i="19"/>
  <c r="O422" i="19" s="1"/>
  <c r="M422" i="19"/>
  <c r="P422" i="19" s="1"/>
  <c r="N422" i="19"/>
  <c r="K423" i="19"/>
  <c r="L423" i="19"/>
  <c r="M423" i="19"/>
  <c r="N423" i="19"/>
  <c r="O423" i="19"/>
  <c r="P423" i="19"/>
  <c r="K424" i="19"/>
  <c r="N424" i="19" s="1"/>
  <c r="L424" i="19"/>
  <c r="M424" i="19"/>
  <c r="O424" i="19"/>
  <c r="P424" i="19"/>
  <c r="K425" i="19"/>
  <c r="N425" i="19" s="1"/>
  <c r="L425" i="19"/>
  <c r="O425" i="19" s="1"/>
  <c r="M425" i="19"/>
  <c r="P425" i="19" s="1"/>
  <c r="K426" i="19"/>
  <c r="L426" i="19"/>
  <c r="O426" i="19" s="1"/>
  <c r="M426" i="19"/>
  <c r="P426" i="19" s="1"/>
  <c r="N426" i="19"/>
  <c r="K427" i="19"/>
  <c r="L427" i="19"/>
  <c r="M427" i="19"/>
  <c r="N427" i="19"/>
  <c r="O427" i="19"/>
  <c r="P427" i="19"/>
  <c r="K428" i="19"/>
  <c r="N428" i="19" s="1"/>
  <c r="L428" i="19"/>
  <c r="M428" i="19"/>
  <c r="O428" i="19"/>
  <c r="P428" i="19"/>
  <c r="K429" i="19"/>
  <c r="N429" i="19" s="1"/>
  <c r="L429" i="19"/>
  <c r="O429" i="19" s="1"/>
  <c r="M429" i="19"/>
  <c r="P429" i="19" s="1"/>
  <c r="K430" i="19"/>
  <c r="L430" i="19"/>
  <c r="O430" i="19" s="1"/>
  <c r="M430" i="19"/>
  <c r="P430" i="19" s="1"/>
  <c r="N430" i="19"/>
  <c r="K431" i="19"/>
  <c r="L431" i="19"/>
  <c r="M431" i="19"/>
  <c r="N431" i="19"/>
  <c r="O431" i="19"/>
  <c r="P431" i="19"/>
  <c r="K432" i="19"/>
  <c r="N432" i="19" s="1"/>
  <c r="L432" i="19"/>
  <c r="M432" i="19"/>
  <c r="O432" i="19"/>
  <c r="P432" i="19"/>
  <c r="K433" i="19"/>
  <c r="N433" i="19" s="1"/>
  <c r="L433" i="19"/>
  <c r="O433" i="19" s="1"/>
  <c r="M433" i="19"/>
  <c r="P433" i="19" s="1"/>
  <c r="K434" i="19"/>
  <c r="L434" i="19"/>
  <c r="O434" i="19" s="1"/>
  <c r="M434" i="19"/>
  <c r="P434" i="19" s="1"/>
  <c r="N434" i="19"/>
  <c r="K435" i="19"/>
  <c r="L435" i="19"/>
  <c r="M435" i="19"/>
  <c r="N435" i="19"/>
  <c r="O435" i="19"/>
  <c r="P435" i="19"/>
  <c r="K436" i="19"/>
  <c r="N436" i="19" s="1"/>
  <c r="L436" i="19"/>
  <c r="M436" i="19"/>
  <c r="O436" i="19"/>
  <c r="P436" i="19"/>
  <c r="K437" i="19"/>
  <c r="N437" i="19" s="1"/>
  <c r="L437" i="19"/>
  <c r="O437" i="19" s="1"/>
  <c r="M437" i="19"/>
  <c r="P437" i="19" s="1"/>
  <c r="K438" i="19"/>
  <c r="L438" i="19"/>
  <c r="O438" i="19" s="1"/>
  <c r="M438" i="19"/>
  <c r="P438" i="19" s="1"/>
  <c r="N438" i="19"/>
  <c r="K439" i="19"/>
  <c r="L439" i="19"/>
  <c r="M439" i="19"/>
  <c r="N439" i="19"/>
  <c r="O439" i="19"/>
  <c r="P439" i="19"/>
  <c r="K440" i="19"/>
  <c r="N440" i="19" s="1"/>
  <c r="L440" i="19"/>
  <c r="M440" i="19"/>
  <c r="O440" i="19"/>
  <c r="P440" i="19"/>
  <c r="K441" i="19"/>
  <c r="N441" i="19" s="1"/>
  <c r="L441" i="19"/>
  <c r="O441" i="19" s="1"/>
  <c r="M441" i="19"/>
  <c r="P441" i="19" s="1"/>
  <c r="K442" i="19"/>
  <c r="L442" i="19"/>
  <c r="O442" i="19" s="1"/>
  <c r="M442" i="19"/>
  <c r="P442" i="19" s="1"/>
  <c r="N442" i="19"/>
  <c r="K443" i="19"/>
  <c r="L443" i="19"/>
  <c r="M443" i="19"/>
  <c r="N443" i="19"/>
  <c r="O443" i="19"/>
  <c r="P443" i="19"/>
  <c r="K444" i="19"/>
  <c r="N444" i="19" s="1"/>
  <c r="L444" i="19"/>
  <c r="M444" i="19"/>
  <c r="O444" i="19"/>
  <c r="P444" i="19"/>
  <c r="K445" i="19"/>
  <c r="N445" i="19" s="1"/>
  <c r="L445" i="19"/>
  <c r="O445" i="19" s="1"/>
  <c r="M445" i="19"/>
  <c r="P445" i="19" s="1"/>
  <c r="K446" i="19"/>
  <c r="L446" i="19"/>
  <c r="O446" i="19" s="1"/>
  <c r="M446" i="19"/>
  <c r="P446" i="19" s="1"/>
  <c r="N446" i="19"/>
  <c r="K447" i="19"/>
  <c r="L447" i="19"/>
  <c r="M447" i="19"/>
  <c r="N447" i="19"/>
  <c r="O447" i="19"/>
  <c r="P447" i="19"/>
  <c r="K448" i="19"/>
  <c r="N448" i="19" s="1"/>
  <c r="L448" i="19"/>
  <c r="M448" i="19"/>
  <c r="O448" i="19"/>
  <c r="P448" i="19"/>
  <c r="K449" i="19"/>
  <c r="N449" i="19" s="1"/>
  <c r="L449" i="19"/>
  <c r="O449" i="19" s="1"/>
  <c r="M449" i="19"/>
  <c r="P449" i="19" s="1"/>
  <c r="K450" i="19"/>
  <c r="L450" i="19"/>
  <c r="O450" i="19" s="1"/>
  <c r="M450" i="19"/>
  <c r="P450" i="19" s="1"/>
  <c r="N450" i="19"/>
  <c r="K451" i="19"/>
  <c r="L451" i="19"/>
  <c r="M451" i="19"/>
  <c r="N451" i="19"/>
  <c r="O451" i="19"/>
  <c r="P451" i="19"/>
  <c r="K452" i="19"/>
  <c r="N452" i="19" s="1"/>
  <c r="L452" i="19"/>
  <c r="M452" i="19"/>
  <c r="O452" i="19"/>
  <c r="P452" i="19"/>
  <c r="K453" i="19"/>
  <c r="N453" i="19" s="1"/>
  <c r="L453" i="19"/>
  <c r="O453" i="19" s="1"/>
  <c r="M453" i="19"/>
  <c r="P453" i="19" s="1"/>
  <c r="K454" i="19"/>
  <c r="L454" i="19"/>
  <c r="O454" i="19" s="1"/>
  <c r="M454" i="19"/>
  <c r="P454" i="19" s="1"/>
  <c r="N454" i="19"/>
  <c r="K455" i="19"/>
  <c r="L455" i="19"/>
  <c r="M455" i="19"/>
  <c r="N455" i="19"/>
  <c r="O455" i="19"/>
  <c r="P455" i="19"/>
  <c r="K456" i="19"/>
  <c r="N456" i="19" s="1"/>
  <c r="L456" i="19"/>
  <c r="M456" i="19"/>
  <c r="O456" i="19"/>
  <c r="P456" i="19"/>
  <c r="K457" i="19"/>
  <c r="N457" i="19" s="1"/>
  <c r="L457" i="19"/>
  <c r="O457" i="19" s="1"/>
  <c r="M457" i="19"/>
  <c r="P457" i="19" s="1"/>
  <c r="K458" i="19"/>
  <c r="L458" i="19"/>
  <c r="O458" i="19" s="1"/>
  <c r="M458" i="19"/>
  <c r="P458" i="19" s="1"/>
  <c r="N458" i="19"/>
  <c r="K459" i="19"/>
  <c r="L459" i="19"/>
  <c r="M459" i="19"/>
  <c r="N459" i="19"/>
  <c r="O459" i="19"/>
  <c r="P459" i="19"/>
  <c r="K460" i="19"/>
  <c r="N460" i="19" s="1"/>
  <c r="L460" i="19"/>
  <c r="M460" i="19"/>
  <c r="O460" i="19"/>
  <c r="P460" i="19"/>
  <c r="K461" i="19"/>
  <c r="N461" i="19" s="1"/>
  <c r="L461" i="19"/>
  <c r="O461" i="19" s="1"/>
  <c r="M461" i="19"/>
  <c r="P461" i="19" s="1"/>
  <c r="K462" i="19"/>
  <c r="L462" i="19"/>
  <c r="O462" i="19" s="1"/>
  <c r="M462" i="19"/>
  <c r="P462" i="19" s="1"/>
  <c r="N462" i="19"/>
  <c r="K463" i="19"/>
  <c r="L463" i="19"/>
  <c r="M463" i="19"/>
  <c r="N463" i="19"/>
  <c r="O463" i="19"/>
  <c r="P463" i="19"/>
  <c r="K464" i="19"/>
  <c r="N464" i="19" s="1"/>
  <c r="L464" i="19"/>
  <c r="M464" i="19"/>
  <c r="O464" i="19"/>
  <c r="P464" i="19"/>
  <c r="K465" i="19"/>
  <c r="N465" i="19" s="1"/>
  <c r="L465" i="19"/>
  <c r="O465" i="19" s="1"/>
  <c r="M465" i="19"/>
  <c r="P465" i="19" s="1"/>
  <c r="K466" i="19"/>
  <c r="L466" i="19"/>
  <c r="O466" i="19" s="1"/>
  <c r="M466" i="19"/>
  <c r="P466" i="19" s="1"/>
  <c r="N466" i="19"/>
  <c r="K467" i="19"/>
  <c r="L467" i="19"/>
  <c r="M467" i="19"/>
  <c r="N467" i="19"/>
  <c r="O467" i="19"/>
  <c r="P467" i="19"/>
  <c r="K468" i="19"/>
  <c r="N468" i="19" s="1"/>
  <c r="L468" i="19"/>
  <c r="M468" i="19"/>
  <c r="O468" i="19"/>
  <c r="P468" i="19"/>
  <c r="K469" i="19"/>
  <c r="N469" i="19" s="1"/>
  <c r="L469" i="19"/>
  <c r="O469" i="19" s="1"/>
  <c r="M469" i="19"/>
  <c r="P469" i="19" s="1"/>
  <c r="K470" i="19"/>
  <c r="L470" i="19"/>
  <c r="O470" i="19" s="1"/>
  <c r="M470" i="19"/>
  <c r="P470" i="19" s="1"/>
  <c r="N470" i="19"/>
  <c r="K471" i="19"/>
  <c r="L471" i="19"/>
  <c r="M471" i="19"/>
  <c r="N471" i="19"/>
  <c r="O471" i="19"/>
  <c r="P471" i="19"/>
  <c r="K472" i="19"/>
  <c r="N472" i="19" s="1"/>
  <c r="L472" i="19"/>
  <c r="M472" i="19"/>
  <c r="O472" i="19"/>
  <c r="P472" i="19"/>
  <c r="K473" i="19"/>
  <c r="N473" i="19" s="1"/>
  <c r="L473" i="19"/>
  <c r="O473" i="19" s="1"/>
  <c r="M473" i="19"/>
  <c r="P473" i="19" s="1"/>
  <c r="K474" i="19"/>
  <c r="L474" i="19"/>
  <c r="O474" i="19" s="1"/>
  <c r="M474" i="19"/>
  <c r="P474" i="19" s="1"/>
  <c r="N474" i="19"/>
  <c r="K475" i="19"/>
  <c r="L475" i="19"/>
  <c r="M475" i="19"/>
  <c r="N475" i="19"/>
  <c r="O475" i="19"/>
  <c r="P475" i="19"/>
  <c r="K476" i="19"/>
  <c r="N476" i="19" s="1"/>
  <c r="L476" i="19"/>
  <c r="M476" i="19"/>
  <c r="O476" i="19"/>
  <c r="P476" i="19"/>
  <c r="K477" i="19"/>
  <c r="N477" i="19" s="1"/>
  <c r="L477" i="19"/>
  <c r="O477" i="19" s="1"/>
  <c r="M477" i="19"/>
  <c r="P477" i="19" s="1"/>
  <c r="K478" i="19"/>
  <c r="L478" i="19"/>
  <c r="O478" i="19" s="1"/>
  <c r="M478" i="19"/>
  <c r="P478" i="19" s="1"/>
  <c r="N478" i="19"/>
  <c r="K479" i="19"/>
  <c r="L479" i="19"/>
  <c r="M479" i="19"/>
  <c r="N479" i="19"/>
  <c r="O479" i="19"/>
  <c r="P479" i="19"/>
  <c r="K480" i="19"/>
  <c r="N480" i="19" s="1"/>
  <c r="L480" i="19"/>
  <c r="M480" i="19"/>
  <c r="O480" i="19"/>
  <c r="P480" i="19"/>
  <c r="K481" i="19"/>
  <c r="N481" i="19" s="1"/>
  <c r="L481" i="19"/>
  <c r="O481" i="19" s="1"/>
  <c r="M481" i="19"/>
  <c r="P481" i="19" s="1"/>
  <c r="K482" i="19"/>
  <c r="L482" i="19"/>
  <c r="O482" i="19" s="1"/>
  <c r="M482" i="19"/>
  <c r="P482" i="19" s="1"/>
  <c r="N482" i="19"/>
  <c r="K483" i="19"/>
  <c r="L483" i="19"/>
  <c r="M483" i="19"/>
  <c r="N483" i="19"/>
  <c r="O483" i="19"/>
  <c r="P483" i="19"/>
  <c r="K484" i="19"/>
  <c r="N484" i="19" s="1"/>
  <c r="L484" i="19"/>
  <c r="M484" i="19"/>
  <c r="O484" i="19"/>
  <c r="P484" i="19"/>
  <c r="K485" i="19"/>
  <c r="N485" i="19" s="1"/>
  <c r="L485" i="19"/>
  <c r="O485" i="19" s="1"/>
  <c r="M485" i="19"/>
  <c r="P485" i="19" s="1"/>
  <c r="K486" i="19"/>
  <c r="L486" i="19"/>
  <c r="O486" i="19" s="1"/>
  <c r="M486" i="19"/>
  <c r="P486" i="19" s="1"/>
  <c r="N486" i="19"/>
  <c r="K487" i="19"/>
  <c r="L487" i="19"/>
  <c r="M487" i="19"/>
  <c r="N487" i="19"/>
  <c r="O487" i="19"/>
  <c r="P487" i="19"/>
  <c r="K488" i="19"/>
  <c r="N488" i="19" s="1"/>
  <c r="L488" i="19"/>
  <c r="M488" i="19"/>
  <c r="O488" i="19"/>
  <c r="P488" i="19"/>
  <c r="K489" i="19"/>
  <c r="N489" i="19" s="1"/>
  <c r="L489" i="19"/>
  <c r="O489" i="19" s="1"/>
  <c r="M489" i="19"/>
  <c r="P489" i="19" s="1"/>
  <c r="K490" i="19"/>
  <c r="L490" i="19"/>
  <c r="O490" i="19" s="1"/>
  <c r="M490" i="19"/>
  <c r="P490" i="19" s="1"/>
  <c r="N490" i="19"/>
  <c r="K491" i="19"/>
  <c r="L491" i="19"/>
  <c r="M491" i="19"/>
  <c r="N491" i="19"/>
  <c r="O491" i="19"/>
  <c r="P491" i="19"/>
  <c r="K492" i="19"/>
  <c r="N492" i="19" s="1"/>
  <c r="L492" i="19"/>
  <c r="M492" i="19"/>
  <c r="O492" i="19"/>
  <c r="P492" i="19"/>
  <c r="K493" i="19"/>
  <c r="N493" i="19" s="1"/>
  <c r="L493" i="19"/>
  <c r="O493" i="19" s="1"/>
  <c r="M493" i="19"/>
  <c r="P493" i="19" s="1"/>
  <c r="K494" i="19"/>
  <c r="L494" i="19"/>
  <c r="O494" i="19" s="1"/>
  <c r="M494" i="19"/>
  <c r="P494" i="19" s="1"/>
  <c r="N494" i="19"/>
  <c r="K495" i="19"/>
  <c r="L495" i="19"/>
  <c r="M495" i="19"/>
  <c r="N495" i="19"/>
  <c r="O495" i="19"/>
  <c r="P495" i="19"/>
  <c r="K496" i="19"/>
  <c r="N496" i="19" s="1"/>
  <c r="L496" i="19"/>
  <c r="M496" i="19"/>
  <c r="O496" i="19"/>
  <c r="P496" i="19"/>
  <c r="K497" i="19"/>
  <c r="N497" i="19" s="1"/>
  <c r="L497" i="19"/>
  <c r="O497" i="19" s="1"/>
  <c r="M497" i="19"/>
  <c r="P497" i="19" s="1"/>
  <c r="K498" i="19"/>
  <c r="L498" i="19"/>
  <c r="O498" i="19" s="1"/>
  <c r="M498" i="19"/>
  <c r="P498" i="19" s="1"/>
  <c r="N498" i="19"/>
  <c r="K499" i="19"/>
  <c r="L499" i="19"/>
  <c r="M499" i="19"/>
  <c r="N499" i="19"/>
  <c r="O499" i="19"/>
  <c r="P499" i="19"/>
  <c r="K500" i="19"/>
  <c r="N500" i="19" s="1"/>
  <c r="L500" i="19"/>
  <c r="M500" i="19"/>
  <c r="O500" i="19"/>
  <c r="P500" i="19"/>
  <c r="K501" i="19"/>
  <c r="N501" i="19" s="1"/>
  <c r="L501" i="19"/>
  <c r="O501" i="19" s="1"/>
  <c r="M501" i="19"/>
  <c r="P501" i="19" s="1"/>
  <c r="K502" i="19"/>
  <c r="L502" i="19"/>
  <c r="O502" i="19" s="1"/>
  <c r="M502" i="19"/>
  <c r="P502" i="19" s="1"/>
  <c r="N502" i="19"/>
  <c r="P287" i="19"/>
  <c r="P288" i="19"/>
  <c r="P289" i="19"/>
  <c r="P290" i="19"/>
  <c r="P291" i="19"/>
  <c r="P292" i="19"/>
  <c r="P293" i="19"/>
  <c r="P294" i="19"/>
  <c r="P295" i="19"/>
  <c r="P296" i="19"/>
  <c r="P297" i="19"/>
  <c r="P298" i="19"/>
  <c r="P299" i="19"/>
  <c r="P300" i="19"/>
  <c r="P301" i="19"/>
  <c r="P302" i="19"/>
  <c r="P303" i="19"/>
  <c r="P304" i="19"/>
  <c r="P305" i="19"/>
  <c r="P306" i="19"/>
  <c r="P307" i="19"/>
  <c r="P308" i="19"/>
  <c r="P309" i="19"/>
  <c r="P310" i="19"/>
  <c r="P311" i="19"/>
  <c r="P312" i="19"/>
  <c r="P313" i="19"/>
  <c r="P314" i="19"/>
  <c r="P315" i="19"/>
  <c r="P316" i="19"/>
  <c r="P317" i="19"/>
  <c r="P318" i="19"/>
  <c r="P319" i="19"/>
  <c r="P320" i="19"/>
  <c r="P321" i="19"/>
  <c r="P322" i="19"/>
  <c r="P323" i="19"/>
  <c r="P324" i="19"/>
  <c r="P325" i="19"/>
  <c r="P326" i="19"/>
  <c r="P327" i="19"/>
  <c r="P328" i="19"/>
  <c r="P329" i="19"/>
  <c r="P330" i="19"/>
  <c r="P331" i="19"/>
  <c r="P332" i="19"/>
  <c r="P333" i="19"/>
  <c r="P334" i="19"/>
  <c r="P335" i="19"/>
  <c r="P336" i="19"/>
  <c r="P337" i="19"/>
  <c r="P338" i="19"/>
  <c r="P339" i="19"/>
  <c r="P340" i="19"/>
  <c r="P341" i="19"/>
  <c r="P342" i="19"/>
  <c r="P343" i="19"/>
  <c r="P344" i="19"/>
  <c r="P345" i="19"/>
  <c r="P346" i="19"/>
  <c r="P347" i="19"/>
  <c r="P348" i="19"/>
  <c r="P349" i="19"/>
  <c r="P350" i="19"/>
  <c r="P351" i="19"/>
  <c r="P352" i="19"/>
  <c r="P353" i="19"/>
  <c r="P354" i="19"/>
  <c r="P355" i="19"/>
  <c r="P356" i="19"/>
  <c r="P357" i="19"/>
  <c r="P358" i="19"/>
  <c r="P359" i="19"/>
  <c r="P360" i="19"/>
  <c r="P361" i="19"/>
  <c r="P362" i="19"/>
  <c r="P363" i="19"/>
  <c r="P364" i="19"/>
  <c r="P365" i="19"/>
  <c r="P366" i="19"/>
  <c r="P367" i="19"/>
  <c r="P368" i="19"/>
  <c r="P369" i="19"/>
  <c r="P370" i="19"/>
  <c r="P371" i="19"/>
  <c r="P372" i="19"/>
  <c r="P373" i="19"/>
  <c r="P374" i="19"/>
  <c r="P375" i="19"/>
  <c r="P376" i="19"/>
  <c r="P377" i="19"/>
  <c r="P378" i="19"/>
  <c r="P379" i="19"/>
  <c r="P380" i="19"/>
  <c r="P381" i="19"/>
  <c r="P382" i="19"/>
  <c r="P383" i="19"/>
  <c r="P384" i="19"/>
  <c r="P385" i="19"/>
  <c r="O287" i="19"/>
  <c r="O288" i="19"/>
  <c r="O289" i="19"/>
  <c r="O290" i="19"/>
  <c r="O291" i="19"/>
  <c r="O292" i="19"/>
  <c r="O293" i="19"/>
  <c r="O294" i="19"/>
  <c r="O295" i="19"/>
  <c r="O296" i="19"/>
  <c r="O297" i="19"/>
  <c r="O298" i="19"/>
  <c r="O299" i="19"/>
  <c r="O300" i="19"/>
  <c r="O301" i="19"/>
  <c r="O302" i="19"/>
  <c r="O303" i="19"/>
  <c r="O304" i="19"/>
  <c r="O305" i="19"/>
  <c r="O306" i="19"/>
  <c r="O307" i="19"/>
  <c r="O308" i="19"/>
  <c r="O309" i="19"/>
  <c r="O310" i="19"/>
  <c r="O311" i="19"/>
  <c r="O312" i="19"/>
  <c r="O313" i="19"/>
  <c r="O314" i="19"/>
  <c r="O315" i="19"/>
  <c r="O316" i="19"/>
  <c r="O317" i="19"/>
  <c r="O318" i="19"/>
  <c r="O319" i="19"/>
  <c r="O320" i="19"/>
  <c r="O321" i="19"/>
  <c r="O322" i="19"/>
  <c r="O323" i="19"/>
  <c r="O324" i="19"/>
  <c r="O325" i="19"/>
  <c r="O326" i="19"/>
  <c r="O327" i="19"/>
  <c r="O328" i="19"/>
  <c r="O329" i="19"/>
  <c r="O330" i="19"/>
  <c r="O331" i="19"/>
  <c r="O332" i="19"/>
  <c r="O333" i="19"/>
  <c r="O334" i="19"/>
  <c r="O335" i="19"/>
  <c r="O336" i="19"/>
  <c r="O337" i="19"/>
  <c r="O338" i="19"/>
  <c r="O339" i="19"/>
  <c r="O340" i="19"/>
  <c r="O341" i="19"/>
  <c r="O342" i="19"/>
  <c r="O343" i="19"/>
  <c r="O344" i="19"/>
  <c r="O345" i="19"/>
  <c r="O346" i="19"/>
  <c r="O347" i="19"/>
  <c r="O348" i="19"/>
  <c r="O349" i="19"/>
  <c r="O350" i="19"/>
  <c r="O351" i="19"/>
  <c r="O352" i="19"/>
  <c r="O353" i="19"/>
  <c r="O354" i="19"/>
  <c r="O355" i="19"/>
  <c r="O356" i="19"/>
  <c r="O357" i="19"/>
  <c r="O358" i="19"/>
  <c r="O359" i="19"/>
  <c r="O360" i="19"/>
  <c r="O361" i="19"/>
  <c r="O362" i="19"/>
  <c r="O363" i="19"/>
  <c r="O364" i="19"/>
  <c r="O365" i="19"/>
  <c r="O366" i="19"/>
  <c r="O367" i="19"/>
  <c r="O368" i="19"/>
  <c r="O369" i="19"/>
  <c r="O370" i="19"/>
  <c r="O371" i="19"/>
  <c r="O372" i="19"/>
  <c r="O373" i="19"/>
  <c r="O374" i="19"/>
  <c r="O375" i="19"/>
  <c r="O376" i="19"/>
  <c r="O377" i="19"/>
  <c r="O378" i="19"/>
  <c r="O379" i="19"/>
  <c r="O380" i="19"/>
  <c r="O381" i="19"/>
  <c r="O382" i="19"/>
  <c r="O383" i="19"/>
  <c r="O384" i="19"/>
  <c r="O385" i="19"/>
  <c r="K287" i="19"/>
  <c r="L287" i="19"/>
  <c r="M287" i="19"/>
  <c r="K288" i="19"/>
  <c r="L288" i="19"/>
  <c r="M288" i="19"/>
  <c r="K289" i="19"/>
  <c r="L289" i="19"/>
  <c r="M289" i="19"/>
  <c r="K290" i="19"/>
  <c r="L290" i="19"/>
  <c r="M290" i="19"/>
  <c r="K291" i="19"/>
  <c r="L291" i="19"/>
  <c r="M291" i="19"/>
  <c r="K292" i="19"/>
  <c r="L292" i="19"/>
  <c r="M292" i="19"/>
  <c r="K293" i="19"/>
  <c r="L293" i="19"/>
  <c r="M293" i="19"/>
  <c r="K294" i="19"/>
  <c r="L294" i="19"/>
  <c r="M294" i="19"/>
  <c r="K295" i="19"/>
  <c r="L295" i="19"/>
  <c r="M295" i="19"/>
  <c r="K296" i="19"/>
  <c r="L296" i="19"/>
  <c r="M296" i="19"/>
  <c r="K297" i="19"/>
  <c r="L297" i="19"/>
  <c r="M297" i="19"/>
  <c r="K298" i="19"/>
  <c r="L298" i="19"/>
  <c r="M298" i="19"/>
  <c r="K299" i="19"/>
  <c r="L299" i="19"/>
  <c r="M299" i="19"/>
  <c r="K300" i="19"/>
  <c r="L300" i="19"/>
  <c r="M300" i="19"/>
  <c r="K301" i="19"/>
  <c r="L301" i="19"/>
  <c r="M301" i="19"/>
  <c r="K302" i="19"/>
  <c r="L302" i="19"/>
  <c r="M302" i="19"/>
  <c r="K303" i="19"/>
  <c r="L303" i="19"/>
  <c r="M303" i="19"/>
  <c r="K304" i="19"/>
  <c r="L304" i="19"/>
  <c r="M304" i="19"/>
  <c r="K305" i="19"/>
  <c r="L305" i="19"/>
  <c r="M305" i="19"/>
  <c r="K306" i="19"/>
  <c r="L306" i="19"/>
  <c r="M306" i="19"/>
  <c r="K307" i="19"/>
  <c r="L307" i="19"/>
  <c r="M307" i="19"/>
  <c r="K308" i="19"/>
  <c r="L308" i="19"/>
  <c r="M308" i="19"/>
  <c r="K309" i="19"/>
  <c r="L309" i="19"/>
  <c r="M309" i="19"/>
  <c r="K310" i="19"/>
  <c r="L310" i="19"/>
  <c r="M310" i="19"/>
  <c r="K311" i="19"/>
  <c r="L311" i="19"/>
  <c r="M311" i="19"/>
  <c r="K312" i="19"/>
  <c r="L312" i="19"/>
  <c r="M312" i="19"/>
  <c r="K313" i="19"/>
  <c r="L313" i="19"/>
  <c r="M313" i="19"/>
  <c r="K314" i="19"/>
  <c r="L314" i="19"/>
  <c r="M314" i="19"/>
  <c r="K315" i="19"/>
  <c r="L315" i="19"/>
  <c r="M315" i="19"/>
  <c r="K316" i="19"/>
  <c r="L316" i="19"/>
  <c r="M316" i="19"/>
  <c r="K317" i="19"/>
  <c r="L317" i="19"/>
  <c r="M317" i="19"/>
  <c r="K318" i="19"/>
  <c r="L318" i="19"/>
  <c r="M318" i="19"/>
  <c r="K319" i="19"/>
  <c r="L319" i="19"/>
  <c r="M319" i="19"/>
  <c r="K320" i="19"/>
  <c r="L320" i="19"/>
  <c r="M320" i="19"/>
  <c r="K321" i="19"/>
  <c r="L321" i="19"/>
  <c r="M321" i="19"/>
  <c r="K322" i="19"/>
  <c r="L322" i="19"/>
  <c r="M322" i="19"/>
  <c r="K323" i="19"/>
  <c r="L323" i="19"/>
  <c r="M323" i="19"/>
  <c r="K324" i="19"/>
  <c r="L324" i="19"/>
  <c r="M324" i="19"/>
  <c r="K325" i="19"/>
  <c r="L325" i="19"/>
  <c r="M325" i="19"/>
  <c r="K326" i="19"/>
  <c r="L326" i="19"/>
  <c r="M326" i="19"/>
  <c r="K327" i="19"/>
  <c r="L327" i="19"/>
  <c r="M327" i="19"/>
  <c r="K328" i="19"/>
  <c r="L328" i="19"/>
  <c r="M328" i="19"/>
  <c r="K329" i="19"/>
  <c r="L329" i="19"/>
  <c r="M329" i="19"/>
  <c r="K330" i="19"/>
  <c r="L330" i="19"/>
  <c r="M330" i="19"/>
  <c r="K331" i="19"/>
  <c r="L331" i="19"/>
  <c r="M331" i="19"/>
  <c r="K332" i="19"/>
  <c r="L332" i="19"/>
  <c r="M332" i="19"/>
  <c r="K333" i="19"/>
  <c r="L333" i="19"/>
  <c r="M333" i="19"/>
  <c r="K334" i="19"/>
  <c r="L334" i="19"/>
  <c r="M334" i="19"/>
  <c r="K335" i="19"/>
  <c r="L335" i="19"/>
  <c r="M335" i="19"/>
  <c r="K336" i="19"/>
  <c r="L336" i="19"/>
  <c r="M336" i="19"/>
  <c r="K337" i="19"/>
  <c r="L337" i="19"/>
  <c r="M337" i="19"/>
  <c r="K338" i="19"/>
  <c r="L338" i="19"/>
  <c r="M338" i="19"/>
  <c r="K339" i="19"/>
  <c r="L339" i="19"/>
  <c r="M339" i="19"/>
  <c r="K340" i="19"/>
  <c r="L340" i="19"/>
  <c r="M340" i="19"/>
  <c r="K341" i="19"/>
  <c r="L341" i="19"/>
  <c r="M341" i="19"/>
  <c r="K342" i="19"/>
  <c r="L342" i="19"/>
  <c r="M342" i="19"/>
  <c r="K343" i="19"/>
  <c r="L343" i="19"/>
  <c r="M343" i="19"/>
  <c r="K344" i="19"/>
  <c r="L344" i="19"/>
  <c r="M344" i="19"/>
  <c r="K345" i="19"/>
  <c r="L345" i="19"/>
  <c r="M345" i="19"/>
  <c r="K346" i="19"/>
  <c r="L346" i="19"/>
  <c r="M346" i="19"/>
  <c r="K347" i="19"/>
  <c r="L347" i="19"/>
  <c r="M347" i="19"/>
  <c r="K348" i="19"/>
  <c r="L348" i="19"/>
  <c r="M348" i="19"/>
  <c r="K349" i="19"/>
  <c r="L349" i="19"/>
  <c r="M349" i="19"/>
  <c r="K350" i="19"/>
  <c r="L350" i="19"/>
  <c r="M350" i="19"/>
  <c r="K351" i="19"/>
  <c r="L351" i="19"/>
  <c r="M351" i="19"/>
  <c r="K352" i="19"/>
  <c r="L352" i="19"/>
  <c r="M352" i="19"/>
  <c r="K353" i="19"/>
  <c r="L353" i="19"/>
  <c r="M353" i="19"/>
  <c r="K354" i="19"/>
  <c r="L354" i="19"/>
  <c r="M354" i="19"/>
  <c r="K355" i="19"/>
  <c r="L355" i="19"/>
  <c r="M355" i="19"/>
  <c r="K356" i="19"/>
  <c r="L356" i="19"/>
  <c r="M356" i="19"/>
  <c r="K357" i="19"/>
  <c r="L357" i="19"/>
  <c r="M357" i="19"/>
  <c r="K358" i="19"/>
  <c r="L358" i="19"/>
  <c r="M358" i="19"/>
  <c r="K359" i="19"/>
  <c r="L359" i="19"/>
  <c r="M359" i="19"/>
  <c r="K360" i="19"/>
  <c r="L360" i="19"/>
  <c r="M360" i="19"/>
  <c r="K361" i="19"/>
  <c r="L361" i="19"/>
  <c r="M361" i="19"/>
  <c r="K362" i="19"/>
  <c r="L362" i="19"/>
  <c r="M362" i="19"/>
  <c r="K363" i="19"/>
  <c r="L363" i="19"/>
  <c r="M363" i="19"/>
  <c r="K364" i="19"/>
  <c r="L364" i="19"/>
  <c r="M364" i="19"/>
  <c r="K365" i="19"/>
  <c r="L365" i="19"/>
  <c r="M365" i="19"/>
  <c r="K366" i="19"/>
  <c r="L366" i="19"/>
  <c r="M366" i="19"/>
  <c r="K367" i="19"/>
  <c r="L367" i="19"/>
  <c r="M367" i="19"/>
  <c r="K368" i="19"/>
  <c r="L368" i="19"/>
  <c r="M368" i="19"/>
  <c r="K369" i="19"/>
  <c r="L369" i="19"/>
  <c r="M369" i="19"/>
  <c r="K370" i="19"/>
  <c r="L370" i="19"/>
  <c r="M370" i="19"/>
  <c r="K371" i="19"/>
  <c r="L371" i="19"/>
  <c r="M371" i="19"/>
  <c r="K372" i="19"/>
  <c r="L372" i="19"/>
  <c r="M372" i="19"/>
  <c r="K373" i="19"/>
  <c r="L373" i="19"/>
  <c r="M373" i="19"/>
  <c r="K374" i="19"/>
  <c r="L374" i="19"/>
  <c r="M374" i="19"/>
  <c r="K375" i="19"/>
  <c r="L375" i="19"/>
  <c r="M375" i="19"/>
  <c r="K376" i="19"/>
  <c r="L376" i="19"/>
  <c r="M376" i="19"/>
  <c r="K377" i="19"/>
  <c r="L377" i="19"/>
  <c r="M377" i="19"/>
  <c r="K378" i="19"/>
  <c r="L378" i="19"/>
  <c r="M378" i="19"/>
  <c r="K379" i="19"/>
  <c r="L379" i="19"/>
  <c r="M379" i="19"/>
  <c r="K380" i="19"/>
  <c r="L380" i="19"/>
  <c r="M380" i="19"/>
  <c r="K381" i="19"/>
  <c r="L381" i="19"/>
  <c r="M381" i="19"/>
  <c r="K382" i="19"/>
  <c r="L382" i="19"/>
  <c r="M382" i="19"/>
  <c r="K383" i="19"/>
  <c r="L383" i="19"/>
  <c r="M383" i="19"/>
  <c r="K384" i="19"/>
  <c r="L384" i="19"/>
  <c r="M384" i="19"/>
  <c r="K385" i="19"/>
  <c r="L385" i="19"/>
  <c r="M385" i="19"/>
  <c r="O170" i="19"/>
  <c r="O171" i="19"/>
  <c r="O172" i="19"/>
  <c r="O173" i="19"/>
  <c r="O174" i="19"/>
  <c r="O175" i="19"/>
  <c r="O176" i="19"/>
  <c r="O177" i="19"/>
  <c r="O178" i="19"/>
  <c r="O179" i="19"/>
  <c r="O180" i="19"/>
  <c r="O181" i="19"/>
  <c r="O182" i="19"/>
  <c r="O183" i="19"/>
  <c r="O184" i="19"/>
  <c r="O185" i="19"/>
  <c r="O186" i="19"/>
  <c r="O187" i="19"/>
  <c r="O188" i="19"/>
  <c r="O189" i="19"/>
  <c r="O190" i="19"/>
  <c r="O191" i="19"/>
  <c r="O192" i="19"/>
  <c r="O193" i="19"/>
  <c r="O194" i="19"/>
  <c r="O195" i="19"/>
  <c r="O196" i="19"/>
  <c r="O197" i="19"/>
  <c r="O198" i="19"/>
  <c r="O199" i="19"/>
  <c r="O200" i="19"/>
  <c r="O201" i="19"/>
  <c r="O202" i="19"/>
  <c r="O203" i="19"/>
  <c r="O204" i="19"/>
  <c r="O205" i="19"/>
  <c r="O206" i="19"/>
  <c r="O207" i="19"/>
  <c r="O208" i="19"/>
  <c r="O209" i="19"/>
  <c r="O210" i="19"/>
  <c r="O211" i="19"/>
  <c r="O212" i="19"/>
  <c r="O213" i="19"/>
  <c r="O214" i="19"/>
  <c r="O215" i="19"/>
  <c r="O216" i="19"/>
  <c r="O217" i="19"/>
  <c r="O218" i="19"/>
  <c r="O219" i="19"/>
  <c r="O220" i="19"/>
  <c r="O221" i="19"/>
  <c r="O222" i="19"/>
  <c r="O223" i="19"/>
  <c r="O224" i="19"/>
  <c r="O225" i="19"/>
  <c r="O226" i="19"/>
  <c r="O227" i="19"/>
  <c r="O228" i="19"/>
  <c r="O229" i="19"/>
  <c r="O230" i="19"/>
  <c r="O231" i="19"/>
  <c r="O232" i="19"/>
  <c r="O233" i="19"/>
  <c r="O234" i="19"/>
  <c r="O235" i="19"/>
  <c r="O236" i="19"/>
  <c r="O237" i="19"/>
  <c r="O238" i="19"/>
  <c r="O239" i="19"/>
  <c r="O240" i="19"/>
  <c r="O241" i="19"/>
  <c r="O242" i="19"/>
  <c r="O243" i="19"/>
  <c r="O244" i="19"/>
  <c r="O245" i="19"/>
  <c r="O246" i="19"/>
  <c r="O247" i="19"/>
  <c r="O248" i="19"/>
  <c r="O249" i="19"/>
  <c r="O250" i="19"/>
  <c r="O251" i="19"/>
  <c r="O252" i="19"/>
  <c r="O253" i="19"/>
  <c r="O254" i="19"/>
  <c r="O255" i="19"/>
  <c r="O256" i="19"/>
  <c r="O257" i="19"/>
  <c r="O258" i="19"/>
  <c r="O259" i="19"/>
  <c r="O260" i="19"/>
  <c r="O261" i="19"/>
  <c r="O262" i="19"/>
  <c r="O263" i="19"/>
  <c r="O264" i="19"/>
  <c r="O265" i="19"/>
  <c r="O266" i="19"/>
  <c r="O267" i="19"/>
  <c r="O268" i="19"/>
  <c r="L170" i="19"/>
  <c r="M170" i="19"/>
  <c r="N170" i="19"/>
  <c r="L171" i="19"/>
  <c r="M171" i="19"/>
  <c r="N171" i="19"/>
  <c r="L172" i="19"/>
  <c r="M172" i="19"/>
  <c r="N172" i="19"/>
  <c r="L173" i="19"/>
  <c r="M173" i="19"/>
  <c r="N173" i="19"/>
  <c r="L174" i="19"/>
  <c r="M174" i="19"/>
  <c r="N174" i="19"/>
  <c r="L175" i="19"/>
  <c r="M175" i="19"/>
  <c r="N175" i="19"/>
  <c r="L176" i="19"/>
  <c r="M176" i="19"/>
  <c r="N176" i="19"/>
  <c r="L177" i="19"/>
  <c r="M177" i="19"/>
  <c r="N177" i="19"/>
  <c r="L178" i="19"/>
  <c r="M178" i="19"/>
  <c r="N178" i="19"/>
  <c r="L179" i="19"/>
  <c r="M179" i="19"/>
  <c r="N179" i="19"/>
  <c r="L180" i="19"/>
  <c r="M180" i="19"/>
  <c r="N180" i="19"/>
  <c r="L181" i="19"/>
  <c r="M181" i="19"/>
  <c r="N181" i="19"/>
  <c r="L182" i="19"/>
  <c r="M182" i="19"/>
  <c r="N182" i="19"/>
  <c r="L183" i="19"/>
  <c r="M183" i="19"/>
  <c r="N183" i="19"/>
  <c r="L184" i="19"/>
  <c r="M184" i="19"/>
  <c r="N184" i="19"/>
  <c r="L185" i="19"/>
  <c r="M185" i="19"/>
  <c r="N185" i="19"/>
  <c r="L186" i="19"/>
  <c r="M186" i="19"/>
  <c r="N186" i="19"/>
  <c r="L187" i="19"/>
  <c r="M187" i="19"/>
  <c r="N187" i="19"/>
  <c r="L188" i="19"/>
  <c r="M188" i="19"/>
  <c r="N188" i="19"/>
  <c r="L189" i="19"/>
  <c r="M189" i="19"/>
  <c r="N189" i="19"/>
  <c r="L190" i="19"/>
  <c r="M190" i="19"/>
  <c r="N190" i="19"/>
  <c r="L191" i="19"/>
  <c r="M191" i="19"/>
  <c r="N191" i="19"/>
  <c r="L192" i="19"/>
  <c r="M192" i="19"/>
  <c r="N192" i="19"/>
  <c r="L193" i="19"/>
  <c r="M193" i="19"/>
  <c r="N193" i="19"/>
  <c r="L194" i="19"/>
  <c r="M194" i="19"/>
  <c r="N194" i="19"/>
  <c r="L195" i="19"/>
  <c r="M195" i="19"/>
  <c r="N195" i="19"/>
  <c r="L196" i="19"/>
  <c r="M196" i="19"/>
  <c r="N196" i="19"/>
  <c r="L197" i="19"/>
  <c r="M197" i="19"/>
  <c r="N197" i="19"/>
  <c r="L198" i="19"/>
  <c r="M198" i="19"/>
  <c r="N198" i="19"/>
  <c r="L199" i="19"/>
  <c r="M199" i="19"/>
  <c r="N199" i="19"/>
  <c r="L200" i="19"/>
  <c r="M200" i="19"/>
  <c r="N200" i="19"/>
  <c r="L201" i="19"/>
  <c r="M201" i="19"/>
  <c r="N201" i="19"/>
  <c r="L202" i="19"/>
  <c r="M202" i="19"/>
  <c r="N202" i="19"/>
  <c r="L203" i="19"/>
  <c r="M203" i="19"/>
  <c r="N203" i="19"/>
  <c r="L204" i="19"/>
  <c r="M204" i="19"/>
  <c r="N204" i="19"/>
  <c r="L205" i="19"/>
  <c r="M205" i="19"/>
  <c r="N205" i="19"/>
  <c r="L206" i="19"/>
  <c r="M206" i="19"/>
  <c r="N206" i="19"/>
  <c r="L207" i="19"/>
  <c r="M207" i="19"/>
  <c r="N207" i="19"/>
  <c r="L208" i="19"/>
  <c r="M208" i="19"/>
  <c r="N208" i="19"/>
  <c r="L209" i="19"/>
  <c r="M209" i="19"/>
  <c r="N209" i="19"/>
  <c r="L210" i="19"/>
  <c r="M210" i="19"/>
  <c r="N210" i="19"/>
  <c r="L211" i="19"/>
  <c r="M211" i="19"/>
  <c r="N211" i="19"/>
  <c r="L212" i="19"/>
  <c r="M212" i="19"/>
  <c r="N212" i="19"/>
  <c r="L213" i="19"/>
  <c r="M213" i="19"/>
  <c r="N213" i="19"/>
  <c r="L214" i="19"/>
  <c r="M214" i="19"/>
  <c r="N214" i="19"/>
  <c r="L215" i="19"/>
  <c r="M215" i="19"/>
  <c r="N215" i="19"/>
  <c r="L216" i="19"/>
  <c r="M216" i="19"/>
  <c r="N216" i="19"/>
  <c r="L217" i="19"/>
  <c r="M217" i="19"/>
  <c r="N217" i="19"/>
  <c r="L218" i="19"/>
  <c r="M218" i="19"/>
  <c r="N218" i="19"/>
  <c r="L219" i="19"/>
  <c r="M219" i="19"/>
  <c r="N219" i="19"/>
  <c r="L220" i="19"/>
  <c r="M220" i="19"/>
  <c r="N220" i="19"/>
  <c r="L221" i="19"/>
  <c r="M221" i="19"/>
  <c r="N221" i="19"/>
  <c r="L222" i="19"/>
  <c r="M222" i="19"/>
  <c r="N222" i="19"/>
  <c r="L223" i="19"/>
  <c r="M223" i="19"/>
  <c r="N223" i="19"/>
  <c r="L224" i="19"/>
  <c r="M224" i="19"/>
  <c r="N224" i="19"/>
  <c r="L225" i="19"/>
  <c r="M225" i="19"/>
  <c r="N225" i="19"/>
  <c r="L226" i="19"/>
  <c r="M226" i="19"/>
  <c r="N226" i="19"/>
  <c r="L227" i="19"/>
  <c r="M227" i="19"/>
  <c r="N227" i="19"/>
  <c r="L228" i="19"/>
  <c r="M228" i="19"/>
  <c r="N228" i="19"/>
  <c r="L229" i="19"/>
  <c r="M229" i="19"/>
  <c r="N229" i="19"/>
  <c r="L230" i="19"/>
  <c r="M230" i="19"/>
  <c r="N230" i="19"/>
  <c r="L231" i="19"/>
  <c r="M231" i="19"/>
  <c r="N231" i="19"/>
  <c r="L232" i="19"/>
  <c r="M232" i="19"/>
  <c r="N232" i="19"/>
  <c r="L233" i="19"/>
  <c r="M233" i="19"/>
  <c r="N233" i="19"/>
  <c r="L234" i="19"/>
  <c r="M234" i="19"/>
  <c r="N234" i="19"/>
  <c r="L235" i="19"/>
  <c r="M235" i="19"/>
  <c r="N235" i="19"/>
  <c r="L236" i="19"/>
  <c r="M236" i="19"/>
  <c r="N236" i="19"/>
  <c r="L237" i="19"/>
  <c r="M237" i="19"/>
  <c r="N237" i="19"/>
  <c r="L238" i="19"/>
  <c r="M238" i="19"/>
  <c r="N238" i="19"/>
  <c r="L239" i="19"/>
  <c r="M239" i="19"/>
  <c r="N239" i="19"/>
  <c r="L240" i="19"/>
  <c r="M240" i="19"/>
  <c r="N240" i="19"/>
  <c r="L241" i="19"/>
  <c r="M241" i="19"/>
  <c r="N241" i="19"/>
  <c r="L242" i="19"/>
  <c r="M242" i="19"/>
  <c r="N242" i="19"/>
  <c r="L243" i="19"/>
  <c r="M243" i="19"/>
  <c r="N243" i="19"/>
  <c r="L244" i="19"/>
  <c r="M244" i="19"/>
  <c r="N244" i="19"/>
  <c r="L245" i="19"/>
  <c r="M245" i="19"/>
  <c r="N245" i="19"/>
  <c r="L246" i="19"/>
  <c r="M246" i="19"/>
  <c r="N246" i="19"/>
  <c r="L247" i="19"/>
  <c r="M247" i="19"/>
  <c r="N247" i="19"/>
  <c r="L248" i="19"/>
  <c r="M248" i="19"/>
  <c r="N248" i="19"/>
  <c r="L249" i="19"/>
  <c r="M249" i="19"/>
  <c r="N249" i="19"/>
  <c r="L250" i="19"/>
  <c r="M250" i="19"/>
  <c r="N250" i="19"/>
  <c r="L251" i="19"/>
  <c r="M251" i="19"/>
  <c r="N251" i="19"/>
  <c r="L252" i="19"/>
  <c r="M252" i="19"/>
  <c r="N252" i="19"/>
  <c r="L253" i="19"/>
  <c r="M253" i="19"/>
  <c r="N253" i="19"/>
  <c r="L254" i="19"/>
  <c r="M254" i="19"/>
  <c r="N254" i="19"/>
  <c r="L255" i="19"/>
  <c r="M255" i="19"/>
  <c r="N255" i="19"/>
  <c r="L256" i="19"/>
  <c r="M256" i="19"/>
  <c r="N256" i="19"/>
  <c r="L257" i="19"/>
  <c r="M257" i="19"/>
  <c r="N257" i="19"/>
  <c r="L258" i="19"/>
  <c r="M258" i="19"/>
  <c r="N258" i="19"/>
  <c r="L259" i="19"/>
  <c r="M259" i="19"/>
  <c r="N259" i="19"/>
  <c r="L260" i="19"/>
  <c r="M260" i="19"/>
  <c r="N260" i="19"/>
  <c r="L261" i="19"/>
  <c r="M261" i="19"/>
  <c r="N261" i="19"/>
  <c r="L262" i="19"/>
  <c r="M262" i="19"/>
  <c r="N262" i="19"/>
  <c r="L263" i="19"/>
  <c r="M263" i="19"/>
  <c r="N263" i="19"/>
  <c r="L264" i="19"/>
  <c r="M264" i="19"/>
  <c r="N264" i="19"/>
  <c r="L265" i="19"/>
  <c r="M265" i="19"/>
  <c r="N265" i="19"/>
  <c r="L266" i="19"/>
  <c r="M266" i="19"/>
  <c r="N266" i="19"/>
  <c r="L267" i="19"/>
  <c r="M267" i="19"/>
  <c r="N267" i="19"/>
  <c r="L268" i="19"/>
  <c r="M268" i="19"/>
  <c r="N268" i="19"/>
  <c r="H62" i="19"/>
  <c r="M62" i="19" s="1"/>
  <c r="O62" i="19" s="1"/>
  <c r="I62" i="19"/>
  <c r="J62" i="19"/>
  <c r="K62" i="19"/>
  <c r="L62" i="19"/>
  <c r="N62" i="19"/>
  <c r="H63" i="19"/>
  <c r="M63" i="19" s="1"/>
  <c r="I63" i="19"/>
  <c r="J63" i="19"/>
  <c r="K63" i="19"/>
  <c r="H64" i="19"/>
  <c r="L64" i="19" s="1"/>
  <c r="I64" i="19"/>
  <c r="J64" i="19"/>
  <c r="K64" i="19"/>
  <c r="H65" i="19"/>
  <c r="I65" i="19"/>
  <c r="L65" i="19" s="1"/>
  <c r="O65" i="19" s="1"/>
  <c r="J65" i="19"/>
  <c r="M65" i="19" s="1"/>
  <c r="K65" i="19"/>
  <c r="N65" i="19" s="1"/>
  <c r="H66" i="19"/>
  <c r="L66" i="19" s="1"/>
  <c r="I66" i="19"/>
  <c r="J66" i="19"/>
  <c r="K66" i="19"/>
  <c r="H67" i="19"/>
  <c r="I67" i="19"/>
  <c r="J67" i="19"/>
  <c r="K67" i="19"/>
  <c r="N67" i="19" s="1"/>
  <c r="L67" i="19"/>
  <c r="O67" i="19" s="1"/>
  <c r="M67" i="19"/>
  <c r="H68" i="19"/>
  <c r="I68" i="19"/>
  <c r="J68" i="19"/>
  <c r="K68" i="19"/>
  <c r="L68" i="19"/>
  <c r="O68" i="19" s="1"/>
  <c r="M68" i="19"/>
  <c r="N68" i="19"/>
  <c r="H69" i="19"/>
  <c r="L69" i="19" s="1"/>
  <c r="O69" i="19" s="1"/>
  <c r="I69" i="19"/>
  <c r="J69" i="19"/>
  <c r="K69" i="19"/>
  <c r="M69" i="19"/>
  <c r="N69" i="19"/>
  <c r="H70" i="19"/>
  <c r="M70" i="19" s="1"/>
  <c r="O70" i="19" s="1"/>
  <c r="I70" i="19"/>
  <c r="J70" i="19"/>
  <c r="K70" i="19"/>
  <c r="L70" i="19"/>
  <c r="N70" i="19"/>
  <c r="H71" i="19"/>
  <c r="L71" i="19" s="1"/>
  <c r="I71" i="19"/>
  <c r="J71" i="19"/>
  <c r="K71" i="19"/>
  <c r="H72" i="19"/>
  <c r="L72" i="19" s="1"/>
  <c r="I72" i="19"/>
  <c r="J72" i="19"/>
  <c r="K72" i="19"/>
  <c r="H73" i="19"/>
  <c r="I73" i="19"/>
  <c r="L73" i="19" s="1"/>
  <c r="O73" i="19" s="1"/>
  <c r="J73" i="19"/>
  <c r="M73" i="19" s="1"/>
  <c r="K73" i="19"/>
  <c r="N73" i="19"/>
  <c r="H74" i="19"/>
  <c r="L74" i="19" s="1"/>
  <c r="I74" i="19"/>
  <c r="J74" i="19"/>
  <c r="K74" i="19"/>
  <c r="H75" i="19"/>
  <c r="M75" i="19" s="1"/>
  <c r="I75" i="19"/>
  <c r="J75" i="19"/>
  <c r="K75" i="19"/>
  <c r="L75" i="19"/>
  <c r="H76" i="19"/>
  <c r="N76" i="19" s="1"/>
  <c r="I76" i="19"/>
  <c r="J76" i="19"/>
  <c r="K76" i="19"/>
  <c r="L76" i="19"/>
  <c r="O76" i="19" s="1"/>
  <c r="M76" i="19"/>
  <c r="H77" i="19"/>
  <c r="I77" i="19"/>
  <c r="L77" i="19" s="1"/>
  <c r="O77" i="19" s="1"/>
  <c r="J77" i="19"/>
  <c r="K77" i="19"/>
  <c r="M77" i="19"/>
  <c r="N77" i="19"/>
  <c r="H78" i="19"/>
  <c r="I78" i="19"/>
  <c r="J78" i="19"/>
  <c r="M78" i="19" s="1"/>
  <c r="O78" i="19" s="1"/>
  <c r="K78" i="19"/>
  <c r="L78" i="19"/>
  <c r="N78" i="19"/>
  <c r="H79" i="19"/>
  <c r="M79" i="19" s="1"/>
  <c r="I79" i="19"/>
  <c r="J79" i="19"/>
  <c r="K79" i="19"/>
  <c r="H80" i="19"/>
  <c r="N80" i="19" s="1"/>
  <c r="I80" i="19"/>
  <c r="J80" i="19"/>
  <c r="K80" i="19"/>
  <c r="H81" i="19"/>
  <c r="L81" i="19" s="1"/>
  <c r="O81" i="19" s="1"/>
  <c r="I81" i="19"/>
  <c r="J81" i="19"/>
  <c r="M81" i="19" s="1"/>
  <c r="K81" i="19"/>
  <c r="N81" i="19"/>
  <c r="H82" i="19"/>
  <c r="L82" i="19" s="1"/>
  <c r="I82" i="19"/>
  <c r="J82" i="19"/>
  <c r="K82" i="19"/>
  <c r="H83" i="19"/>
  <c r="M83" i="19" s="1"/>
  <c r="I83" i="19"/>
  <c r="J83" i="19"/>
  <c r="K83" i="19"/>
  <c r="L83" i="19"/>
  <c r="H84" i="19"/>
  <c r="N84" i="19" s="1"/>
  <c r="I84" i="19"/>
  <c r="J84" i="19"/>
  <c r="K84" i="19"/>
  <c r="L84" i="19"/>
  <c r="O84" i="19" s="1"/>
  <c r="M84" i="19"/>
  <c r="H85" i="19"/>
  <c r="I85" i="19"/>
  <c r="J85" i="19"/>
  <c r="K85" i="19"/>
  <c r="L85" i="19"/>
  <c r="M85" i="19"/>
  <c r="N85" i="19"/>
  <c r="O85" i="19" s="1"/>
  <c r="H86" i="19"/>
  <c r="I86" i="19"/>
  <c r="J86" i="19"/>
  <c r="K86" i="19"/>
  <c r="L86" i="19"/>
  <c r="M86" i="19"/>
  <c r="N86" i="19"/>
  <c r="H87" i="19"/>
  <c r="M87" i="19" s="1"/>
  <c r="I87" i="19"/>
  <c r="J87" i="19"/>
  <c r="K87" i="19"/>
  <c r="H88" i="19"/>
  <c r="N88" i="19" s="1"/>
  <c r="I88" i="19"/>
  <c r="J88" i="19"/>
  <c r="K88" i="19"/>
  <c r="H89" i="19"/>
  <c r="L89" i="19" s="1"/>
  <c r="I89" i="19"/>
  <c r="J89" i="19"/>
  <c r="M89" i="19" s="1"/>
  <c r="K89" i="19"/>
  <c r="H90" i="19"/>
  <c r="L90" i="19" s="1"/>
  <c r="I90" i="19"/>
  <c r="J90" i="19"/>
  <c r="K90" i="19"/>
  <c r="H91" i="19"/>
  <c r="M91" i="19" s="1"/>
  <c r="I91" i="19"/>
  <c r="J91" i="19"/>
  <c r="K91" i="19"/>
  <c r="L91" i="19"/>
  <c r="H92" i="19"/>
  <c r="N92" i="19" s="1"/>
  <c r="I92" i="19"/>
  <c r="J92" i="19"/>
  <c r="K92" i="19"/>
  <c r="L92" i="19"/>
  <c r="O92" i="19" s="1"/>
  <c r="M92" i="19"/>
  <c r="H93" i="19"/>
  <c r="I93" i="19"/>
  <c r="J93" i="19"/>
  <c r="K93" i="19"/>
  <c r="L93" i="19"/>
  <c r="M93" i="19"/>
  <c r="N93" i="19"/>
  <c r="O93" i="19" s="1"/>
  <c r="H94" i="19"/>
  <c r="I94" i="19"/>
  <c r="J94" i="19"/>
  <c r="K94" i="19"/>
  <c r="L94" i="19"/>
  <c r="M94" i="19"/>
  <c r="N94" i="19"/>
  <c r="H95" i="19"/>
  <c r="M95" i="19" s="1"/>
  <c r="I95" i="19"/>
  <c r="J95" i="19"/>
  <c r="K95" i="19"/>
  <c r="H96" i="19"/>
  <c r="N96" i="19" s="1"/>
  <c r="I96" i="19"/>
  <c r="J96" i="19"/>
  <c r="K96" i="19"/>
  <c r="H97" i="19"/>
  <c r="L97" i="19" s="1"/>
  <c r="I97" i="19"/>
  <c r="J97" i="19"/>
  <c r="M97" i="19" s="1"/>
  <c r="K97" i="19"/>
  <c r="H98" i="19"/>
  <c r="L98" i="19" s="1"/>
  <c r="I98" i="19"/>
  <c r="J98" i="19"/>
  <c r="K98" i="19"/>
  <c r="H99" i="19"/>
  <c r="M99" i="19" s="1"/>
  <c r="I99" i="19"/>
  <c r="J99" i="19"/>
  <c r="K99" i="19"/>
  <c r="L99" i="19"/>
  <c r="H100" i="19"/>
  <c r="N100" i="19" s="1"/>
  <c r="I100" i="19"/>
  <c r="J100" i="19"/>
  <c r="K100" i="19"/>
  <c r="L100" i="19"/>
  <c r="M100" i="19"/>
  <c r="H101" i="19"/>
  <c r="I101" i="19"/>
  <c r="J101" i="19"/>
  <c r="K101" i="19"/>
  <c r="L101" i="19"/>
  <c r="M101" i="19"/>
  <c r="N101" i="19"/>
  <c r="O101" i="19" s="1"/>
  <c r="H102" i="19"/>
  <c r="I102" i="19"/>
  <c r="J102" i="19"/>
  <c r="K102" i="19"/>
  <c r="L102" i="19"/>
  <c r="M102" i="19"/>
  <c r="N102" i="19"/>
  <c r="H103" i="19"/>
  <c r="M103" i="19" s="1"/>
  <c r="I103" i="19"/>
  <c r="J103" i="19"/>
  <c r="K103" i="19"/>
  <c r="H104" i="19"/>
  <c r="L104" i="19" s="1"/>
  <c r="I104" i="19"/>
  <c r="J104" i="19"/>
  <c r="K104" i="19"/>
  <c r="H105" i="19"/>
  <c r="L105" i="19" s="1"/>
  <c r="I105" i="19"/>
  <c r="J105" i="19"/>
  <c r="K105" i="19"/>
  <c r="H106" i="19"/>
  <c r="L106" i="19" s="1"/>
  <c r="I106" i="19"/>
  <c r="J106" i="19"/>
  <c r="K106" i="19"/>
  <c r="H107" i="19"/>
  <c r="M107" i="19" s="1"/>
  <c r="I107" i="19"/>
  <c r="J107" i="19"/>
  <c r="K107" i="19"/>
  <c r="L107" i="19"/>
  <c r="H108" i="19"/>
  <c r="N108" i="19" s="1"/>
  <c r="I108" i="19"/>
  <c r="J108" i="19"/>
  <c r="K108" i="19"/>
  <c r="L108" i="19"/>
  <c r="O108" i="19" s="1"/>
  <c r="M108" i="19"/>
  <c r="H109" i="19"/>
  <c r="I109" i="19"/>
  <c r="J109" i="19"/>
  <c r="K109" i="19"/>
  <c r="L109" i="19"/>
  <c r="M109" i="19"/>
  <c r="N109" i="19"/>
  <c r="O109" i="19" s="1"/>
  <c r="H110" i="19"/>
  <c r="I110" i="19"/>
  <c r="J110" i="19"/>
  <c r="K110" i="19"/>
  <c r="L110" i="19"/>
  <c r="M110" i="19"/>
  <c r="N110" i="19"/>
  <c r="H111" i="19"/>
  <c r="L111" i="19" s="1"/>
  <c r="I111" i="19"/>
  <c r="J111" i="19"/>
  <c r="K111" i="19"/>
  <c r="H112" i="19"/>
  <c r="N112" i="19" s="1"/>
  <c r="I112" i="19"/>
  <c r="J112" i="19"/>
  <c r="K112" i="19"/>
  <c r="H113" i="19"/>
  <c r="L113" i="19" s="1"/>
  <c r="I113" i="19"/>
  <c r="J113" i="19"/>
  <c r="K113" i="19"/>
  <c r="H114" i="19"/>
  <c r="L114" i="19" s="1"/>
  <c r="I114" i="19"/>
  <c r="J114" i="19"/>
  <c r="K114" i="19"/>
  <c r="H115" i="19"/>
  <c r="I115" i="19"/>
  <c r="J115" i="19"/>
  <c r="M115" i="19" s="1"/>
  <c r="K115" i="19"/>
  <c r="N115" i="19" s="1"/>
  <c r="L115" i="19"/>
  <c r="H116" i="19"/>
  <c r="N116" i="19" s="1"/>
  <c r="I116" i="19"/>
  <c r="J116" i="19"/>
  <c r="K116" i="19"/>
  <c r="L116" i="19"/>
  <c r="M116" i="19"/>
  <c r="H117" i="19"/>
  <c r="I117" i="19"/>
  <c r="J117" i="19"/>
  <c r="K117" i="19"/>
  <c r="L117" i="19"/>
  <c r="M117" i="19"/>
  <c r="N117" i="19"/>
  <c r="O117" i="19" s="1"/>
  <c r="H118" i="19"/>
  <c r="I118" i="19"/>
  <c r="J118" i="19"/>
  <c r="K118" i="19"/>
  <c r="L118" i="19"/>
  <c r="M118" i="19"/>
  <c r="N118" i="19"/>
  <c r="H119" i="19"/>
  <c r="M119" i="19" s="1"/>
  <c r="I119" i="19"/>
  <c r="J119" i="19"/>
  <c r="K119" i="19"/>
  <c r="H120" i="19"/>
  <c r="L120" i="19" s="1"/>
  <c r="I120" i="19"/>
  <c r="J120" i="19"/>
  <c r="K120" i="19"/>
  <c r="H121" i="19"/>
  <c r="L121" i="19" s="1"/>
  <c r="I121" i="19"/>
  <c r="J121" i="19"/>
  <c r="K121" i="19"/>
  <c r="H122" i="19"/>
  <c r="L122" i="19" s="1"/>
  <c r="I122" i="19"/>
  <c r="J122" i="19"/>
  <c r="K122" i="19"/>
  <c r="H123" i="19"/>
  <c r="M123" i="19" s="1"/>
  <c r="I123" i="19"/>
  <c r="J123" i="19"/>
  <c r="K123" i="19"/>
  <c r="L123" i="19"/>
  <c r="H124" i="19"/>
  <c r="N124" i="19" s="1"/>
  <c r="I124" i="19"/>
  <c r="J124" i="19"/>
  <c r="K124" i="19"/>
  <c r="L124" i="19"/>
  <c r="M124" i="19"/>
  <c r="H125" i="19"/>
  <c r="I125" i="19"/>
  <c r="J125" i="19"/>
  <c r="K125" i="19"/>
  <c r="L125" i="19"/>
  <c r="M125" i="19"/>
  <c r="N125" i="19"/>
  <c r="O125" i="19" s="1"/>
  <c r="H126" i="19"/>
  <c r="I126" i="19"/>
  <c r="J126" i="19"/>
  <c r="K126" i="19"/>
  <c r="L126" i="19"/>
  <c r="M126" i="19"/>
  <c r="N126" i="19"/>
  <c r="H127" i="19"/>
  <c r="M127" i="19" s="1"/>
  <c r="I127" i="19"/>
  <c r="J127" i="19"/>
  <c r="K127" i="19"/>
  <c r="H128" i="19"/>
  <c r="L128" i="19" s="1"/>
  <c r="I128" i="19"/>
  <c r="J128" i="19"/>
  <c r="K128" i="19"/>
  <c r="H129" i="19"/>
  <c r="L129" i="19" s="1"/>
  <c r="I129" i="19"/>
  <c r="J129" i="19"/>
  <c r="K129" i="19"/>
  <c r="H130" i="19"/>
  <c r="L130" i="19" s="1"/>
  <c r="I130" i="19"/>
  <c r="J130" i="19"/>
  <c r="K130" i="19"/>
  <c r="H131" i="19"/>
  <c r="I131" i="19"/>
  <c r="J131" i="19"/>
  <c r="M131" i="19" s="1"/>
  <c r="K131" i="19"/>
  <c r="N131" i="19" s="1"/>
  <c r="L131" i="19"/>
  <c r="H132" i="19"/>
  <c r="N132" i="19" s="1"/>
  <c r="I132" i="19"/>
  <c r="J132" i="19"/>
  <c r="K132" i="19"/>
  <c r="L132" i="19"/>
  <c r="O132" i="19" s="1"/>
  <c r="M132" i="19"/>
  <c r="H133" i="19"/>
  <c r="I133" i="19"/>
  <c r="J133" i="19"/>
  <c r="K133" i="19"/>
  <c r="L133" i="19"/>
  <c r="M133" i="19"/>
  <c r="N133" i="19"/>
  <c r="O133" i="19" s="1"/>
  <c r="H134" i="19"/>
  <c r="I134" i="19"/>
  <c r="J134" i="19"/>
  <c r="K134" i="19"/>
  <c r="L134" i="19"/>
  <c r="M134" i="19"/>
  <c r="N134" i="19"/>
  <c r="H135" i="19"/>
  <c r="M135" i="19" s="1"/>
  <c r="I135" i="19"/>
  <c r="J135" i="19"/>
  <c r="K135" i="19"/>
  <c r="H136" i="19"/>
  <c r="L136" i="19" s="1"/>
  <c r="I136" i="19"/>
  <c r="J136" i="19"/>
  <c r="K136" i="19"/>
  <c r="H137" i="19"/>
  <c r="L137" i="19" s="1"/>
  <c r="I137" i="19"/>
  <c r="J137" i="19"/>
  <c r="K137" i="19"/>
  <c r="H138" i="19"/>
  <c r="L138" i="19" s="1"/>
  <c r="I138" i="19"/>
  <c r="J138" i="19"/>
  <c r="K138" i="19"/>
  <c r="H139" i="19"/>
  <c r="I139" i="19"/>
  <c r="J139" i="19"/>
  <c r="M139" i="19" s="1"/>
  <c r="K139" i="19"/>
  <c r="N139" i="19" s="1"/>
  <c r="L139" i="19"/>
  <c r="H140" i="19"/>
  <c r="N140" i="19" s="1"/>
  <c r="I140" i="19"/>
  <c r="J140" i="19"/>
  <c r="K140" i="19"/>
  <c r="L140" i="19"/>
  <c r="M140" i="19"/>
  <c r="H141" i="19"/>
  <c r="I141" i="19"/>
  <c r="J141" i="19"/>
  <c r="K141" i="19"/>
  <c r="L141" i="19"/>
  <c r="M141" i="19"/>
  <c r="N141" i="19"/>
  <c r="O141" i="19" s="1"/>
  <c r="H142" i="19"/>
  <c r="I142" i="19"/>
  <c r="J142" i="19"/>
  <c r="K142" i="19"/>
  <c r="L142" i="19"/>
  <c r="M142" i="19"/>
  <c r="N142" i="19"/>
  <c r="H143" i="19"/>
  <c r="M143" i="19" s="1"/>
  <c r="I143" i="19"/>
  <c r="J143" i="19"/>
  <c r="K143" i="19"/>
  <c r="H144" i="19"/>
  <c r="N144" i="19" s="1"/>
  <c r="I144" i="19"/>
  <c r="J144" i="19"/>
  <c r="K144" i="19"/>
  <c r="H145" i="19"/>
  <c r="L145" i="19" s="1"/>
  <c r="I145" i="19"/>
  <c r="J145" i="19"/>
  <c r="K145" i="19"/>
  <c r="H146" i="19"/>
  <c r="L146" i="19" s="1"/>
  <c r="I146" i="19"/>
  <c r="J146" i="19"/>
  <c r="K146" i="19"/>
  <c r="H147" i="19"/>
  <c r="I147" i="19"/>
  <c r="J147" i="19"/>
  <c r="M147" i="19" s="1"/>
  <c r="K147" i="19"/>
  <c r="N147" i="19" s="1"/>
  <c r="L147" i="19"/>
  <c r="O147" i="19" s="1"/>
  <c r="H148" i="19"/>
  <c r="N148" i="19" s="1"/>
  <c r="I148" i="19"/>
  <c r="J148" i="19"/>
  <c r="K148" i="19"/>
  <c r="L148" i="19"/>
  <c r="O148" i="19" s="1"/>
  <c r="M148" i="19"/>
  <c r="H149" i="19"/>
  <c r="I149" i="19"/>
  <c r="J149" i="19"/>
  <c r="K149" i="19"/>
  <c r="L149" i="19"/>
  <c r="M149" i="19"/>
  <c r="N149" i="19"/>
  <c r="O149" i="19" s="1"/>
  <c r="H150" i="19"/>
  <c r="I150" i="19"/>
  <c r="J150" i="19"/>
  <c r="K150" i="19"/>
  <c r="L150" i="19"/>
  <c r="M150" i="19"/>
  <c r="N150" i="19"/>
  <c r="O86" i="19"/>
  <c r="O94" i="19"/>
  <c r="O102" i="19"/>
  <c r="O110" i="19"/>
  <c r="O118" i="19"/>
  <c r="O126" i="19"/>
  <c r="O134" i="19"/>
  <c r="O142" i="19"/>
  <c r="O150" i="19"/>
  <c r="J298" i="3"/>
  <c r="J299" i="3"/>
  <c r="J300" i="3"/>
  <c r="J301" i="3"/>
  <c r="J302" i="3"/>
  <c r="J303" i="3"/>
  <c r="J304" i="3"/>
  <c r="J305" i="3"/>
  <c r="J306" i="3"/>
  <c r="J307" i="3"/>
  <c r="J308" i="3"/>
  <c r="J309" i="3"/>
  <c r="J310" i="3"/>
  <c r="J311" i="3"/>
  <c r="J312" i="3"/>
  <c r="J313" i="3"/>
  <c r="J314" i="3"/>
  <c r="J315" i="3"/>
  <c r="J316" i="3"/>
  <c r="J317" i="3"/>
  <c r="J318" i="3"/>
  <c r="J319" i="3"/>
  <c r="J320" i="3"/>
  <c r="J321" i="3"/>
  <c r="J322" i="3"/>
  <c r="J323" i="3"/>
  <c r="J324" i="3"/>
  <c r="J325" i="3"/>
  <c r="J326" i="3"/>
  <c r="J327" i="3"/>
  <c r="J328" i="3"/>
  <c r="J329" i="3"/>
  <c r="J330" i="3"/>
  <c r="J331" i="3"/>
  <c r="J332" i="3"/>
  <c r="J333" i="3"/>
  <c r="J334" i="3"/>
  <c r="J335" i="3"/>
  <c r="J336" i="3"/>
  <c r="J337" i="3"/>
  <c r="J338" i="3"/>
  <c r="J339" i="3"/>
  <c r="J340" i="3"/>
  <c r="J341" i="3"/>
  <c r="J342" i="3"/>
  <c r="J343" i="3"/>
  <c r="J344" i="3"/>
  <c r="J345" i="3"/>
  <c r="J346" i="3"/>
  <c r="J347" i="3"/>
  <c r="J348" i="3"/>
  <c r="J349" i="3"/>
  <c r="J350" i="3"/>
  <c r="J351" i="3"/>
  <c r="J352" i="3"/>
  <c r="J353" i="3"/>
  <c r="J354" i="3"/>
  <c r="J355" i="3"/>
  <c r="J356" i="3"/>
  <c r="J357" i="3"/>
  <c r="J358" i="3"/>
  <c r="J359" i="3"/>
  <c r="J360" i="3"/>
  <c r="J361" i="3"/>
  <c r="J362" i="3"/>
  <c r="J363" i="3"/>
  <c r="J364" i="3"/>
  <c r="J365" i="3"/>
  <c r="J366" i="3"/>
  <c r="J367" i="3"/>
  <c r="J368" i="3"/>
  <c r="J369" i="3"/>
  <c r="J370" i="3"/>
  <c r="J371" i="3"/>
  <c r="J372" i="3"/>
  <c r="J373" i="3"/>
  <c r="J374" i="3"/>
  <c r="J375" i="3"/>
  <c r="J376" i="3"/>
  <c r="J377" i="3"/>
  <c r="J378" i="3"/>
  <c r="J379" i="3"/>
  <c r="J380" i="3"/>
  <c r="J381" i="3"/>
  <c r="J382" i="3"/>
  <c r="J383" i="3"/>
  <c r="J384" i="3"/>
  <c r="J385" i="3"/>
  <c r="J386" i="3"/>
  <c r="J192" i="3"/>
  <c r="E192" i="3"/>
  <c r="J191" i="3"/>
  <c r="E191" i="3"/>
  <c r="J190" i="3"/>
  <c r="E190" i="3"/>
  <c r="J189" i="3"/>
  <c r="E189" i="3"/>
  <c r="J188" i="3"/>
  <c r="E188" i="3"/>
  <c r="J187" i="3"/>
  <c r="E187" i="3"/>
  <c r="J186" i="3"/>
  <c r="E186" i="3"/>
  <c r="J185" i="3"/>
  <c r="E185" i="3"/>
  <c r="J184" i="3"/>
  <c r="E184" i="3"/>
  <c r="J183" i="3"/>
  <c r="E183" i="3"/>
  <c r="J182" i="3"/>
  <c r="E182" i="3"/>
  <c r="D374" i="27"/>
  <c r="D375" i="27"/>
  <c r="D376" i="27"/>
  <c r="O104" i="19" l="1"/>
  <c r="O124" i="19"/>
  <c r="O116" i="19"/>
  <c r="O91" i="19"/>
  <c r="O74" i="19"/>
  <c r="O139" i="19"/>
  <c r="O138" i="19"/>
  <c r="O136" i="19"/>
  <c r="O105" i="19"/>
  <c r="O100" i="19"/>
  <c r="O131" i="19"/>
  <c r="O128" i="19"/>
  <c r="O66" i="19"/>
  <c r="O140" i="19"/>
  <c r="O115" i="19"/>
  <c r="N143" i="19"/>
  <c r="N135" i="19"/>
  <c r="N127" i="19"/>
  <c r="N119" i="19"/>
  <c r="N111" i="19"/>
  <c r="N103" i="19"/>
  <c r="N95" i="19"/>
  <c r="N87" i="19"/>
  <c r="N79" i="19"/>
  <c r="N71" i="19"/>
  <c r="O71" i="19" s="1"/>
  <c r="N63" i="19"/>
  <c r="N128" i="19"/>
  <c r="N120" i="19"/>
  <c r="M111" i="19"/>
  <c r="O111" i="19" s="1"/>
  <c r="M71" i="19"/>
  <c r="N145" i="19"/>
  <c r="M144" i="19"/>
  <c r="L143" i="19"/>
  <c r="O143" i="19" s="1"/>
  <c r="N137" i="19"/>
  <c r="M136" i="19"/>
  <c r="L135" i="19"/>
  <c r="N129" i="19"/>
  <c r="M128" i="19"/>
  <c r="L127" i="19"/>
  <c r="O127" i="19" s="1"/>
  <c r="N121" i="19"/>
  <c r="M120" i="19"/>
  <c r="O120" i="19" s="1"/>
  <c r="L119" i="19"/>
  <c r="O119" i="19" s="1"/>
  <c r="N113" i="19"/>
  <c r="M112" i="19"/>
  <c r="N105" i="19"/>
  <c r="M104" i="19"/>
  <c r="L103" i="19"/>
  <c r="O103" i="19" s="1"/>
  <c r="N97" i="19"/>
  <c r="O97" i="19" s="1"/>
  <c r="M96" i="19"/>
  <c r="L95" i="19"/>
  <c r="N89" i="19"/>
  <c r="O89" i="19" s="1"/>
  <c r="M88" i="19"/>
  <c r="L87" i="19"/>
  <c r="M80" i="19"/>
  <c r="L79" i="19"/>
  <c r="M72" i="19"/>
  <c r="O72" i="19" s="1"/>
  <c r="M64" i="19"/>
  <c r="O64" i="19" s="1"/>
  <c r="L63" i="19"/>
  <c r="O63" i="19" s="1"/>
  <c r="N136" i="19"/>
  <c r="N104" i="19"/>
  <c r="N72" i="19"/>
  <c r="N64" i="19"/>
  <c r="N146" i="19"/>
  <c r="M145" i="19"/>
  <c r="O145" i="19" s="1"/>
  <c r="L144" i="19"/>
  <c r="O144" i="19" s="1"/>
  <c r="N138" i="19"/>
  <c r="M137" i="19"/>
  <c r="O137" i="19" s="1"/>
  <c r="N130" i="19"/>
  <c r="M129" i="19"/>
  <c r="O129" i="19" s="1"/>
  <c r="N122" i="19"/>
  <c r="M121" i="19"/>
  <c r="O121" i="19" s="1"/>
  <c r="N114" i="19"/>
  <c r="O114" i="19" s="1"/>
  <c r="M113" i="19"/>
  <c r="O113" i="19" s="1"/>
  <c r="L112" i="19"/>
  <c r="O112" i="19" s="1"/>
  <c r="N106" i="19"/>
  <c r="M105" i="19"/>
  <c r="N98" i="19"/>
  <c r="L96" i="19"/>
  <c r="N90" i="19"/>
  <c r="L88" i="19"/>
  <c r="O88" i="19" s="1"/>
  <c r="N82" i="19"/>
  <c r="L80" i="19"/>
  <c r="N74" i="19"/>
  <c r="N66" i="19"/>
  <c r="M146" i="19"/>
  <c r="O146" i="19" s="1"/>
  <c r="M138" i="19"/>
  <c r="M130" i="19"/>
  <c r="O130" i="19" s="1"/>
  <c r="N123" i="19"/>
  <c r="O123" i="19" s="1"/>
  <c r="M122" i="19"/>
  <c r="O122" i="19" s="1"/>
  <c r="M114" i="19"/>
  <c r="N107" i="19"/>
  <c r="O107" i="19" s="1"/>
  <c r="M106" i="19"/>
  <c r="O106" i="19" s="1"/>
  <c r="N99" i="19"/>
  <c r="O99" i="19" s="1"/>
  <c r="M98" i="19"/>
  <c r="O98" i="19" s="1"/>
  <c r="N91" i="19"/>
  <c r="M90" i="19"/>
  <c r="O90" i="19" s="1"/>
  <c r="N83" i="19"/>
  <c r="O83" i="19" s="1"/>
  <c r="M82" i="19"/>
  <c r="O82" i="19" s="1"/>
  <c r="N75" i="19"/>
  <c r="O75" i="19" s="1"/>
  <c r="M74" i="19"/>
  <c r="M66" i="19"/>
  <c r="D379" i="27"/>
  <c r="D380" i="27" s="1"/>
  <c r="D381" i="27" s="1"/>
  <c r="D382" i="27" s="1"/>
  <c r="C377" i="27"/>
  <c r="C378" i="27" s="1"/>
  <c r="O79" i="19" l="1"/>
  <c r="O96" i="19"/>
  <c r="O135" i="19"/>
  <c r="O87" i="19"/>
  <c r="O80" i="19"/>
  <c r="O95" i="19"/>
  <c r="C379" i="27"/>
  <c r="C380" i="27" s="1"/>
  <c r="C381" i="27" s="1"/>
  <c r="C382" i="27" s="1"/>
  <c r="C383" i="27" s="1"/>
  <c r="C384" i="27" l="1"/>
  <c r="C385" i="27" s="1"/>
  <c r="C386" i="27" s="1"/>
  <c r="C387" i="27" s="1"/>
  <c r="C388" i="27" s="1"/>
  <c r="C389" i="27" s="1"/>
  <c r="C390" i="27" s="1"/>
  <c r="C391" i="27" s="1"/>
  <c r="C392" i="27" s="1"/>
  <c r="C393" i="27" s="1"/>
  <c r="C394" i="27" s="1"/>
  <c r="C395" i="27" s="1"/>
  <c r="C396" i="27" s="1"/>
  <c r="C397" i="27" s="1"/>
  <c r="C398" i="27" s="1"/>
  <c r="C399" i="27" s="1"/>
  <c r="C400" i="27" s="1"/>
  <c r="C401" i="27" s="1"/>
  <c r="C402" i="27" s="1"/>
  <c r="C403" i="27" s="1"/>
  <c r="E383" i="27"/>
  <c r="R167" i="56" l="1"/>
  <c r="S167" i="56" s="1"/>
  <c r="N168" i="56"/>
  <c r="N169" i="56"/>
  <c r="N170" i="56"/>
  <c r="N171" i="56"/>
  <c r="N172" i="56"/>
  <c r="N173" i="56"/>
  <c r="N174" i="56"/>
  <c r="N175" i="56"/>
  <c r="N176" i="56"/>
  <c r="N177" i="56"/>
  <c r="N167" i="56"/>
  <c r="O167" i="56" s="1"/>
  <c r="U167" i="56"/>
  <c r="V167" i="56" s="1"/>
  <c r="K301" i="56"/>
  <c r="K302" i="56"/>
  <c r="K303" i="56"/>
  <c r="K304" i="56"/>
  <c r="K305" i="56"/>
  <c r="K306" i="56"/>
  <c r="K307" i="56"/>
  <c r="K308" i="56"/>
  <c r="K309" i="56"/>
  <c r="K310" i="56"/>
  <c r="K311" i="56"/>
  <c r="K312" i="56"/>
  <c r="K313" i="56"/>
  <c r="K314" i="56"/>
  <c r="K315" i="56"/>
  <c r="K316" i="56"/>
  <c r="K317" i="56"/>
  <c r="K318" i="56"/>
  <c r="K319" i="56"/>
  <c r="K320" i="56"/>
  <c r="K321" i="56"/>
  <c r="K322" i="56"/>
  <c r="K323" i="56"/>
  <c r="K324" i="56"/>
  <c r="K325" i="56"/>
  <c r="K326" i="56"/>
  <c r="K327" i="56"/>
  <c r="K328" i="56"/>
  <c r="K329" i="56"/>
  <c r="K330" i="56"/>
  <c r="K331" i="56"/>
  <c r="K332" i="56"/>
  <c r="K333" i="56"/>
  <c r="K334" i="56"/>
  <c r="K335" i="56"/>
  <c r="K336" i="56"/>
  <c r="K337" i="56"/>
  <c r="K338" i="56"/>
  <c r="K339" i="56"/>
  <c r="K340" i="56"/>
  <c r="K341" i="56"/>
  <c r="K342" i="56"/>
  <c r="K343" i="56"/>
  <c r="K344" i="56"/>
  <c r="K345" i="56"/>
  <c r="K346" i="56"/>
  <c r="K347" i="56"/>
  <c r="K348" i="56"/>
  <c r="K349" i="56"/>
  <c r="K350" i="56"/>
  <c r="K351" i="56"/>
  <c r="K352" i="56"/>
  <c r="K353" i="56"/>
  <c r="K354" i="56"/>
  <c r="K355" i="56"/>
  <c r="K356" i="56"/>
  <c r="K357" i="56"/>
  <c r="K358" i="56"/>
  <c r="K359" i="56"/>
  <c r="K360" i="56"/>
  <c r="K361" i="56"/>
  <c r="K362" i="56"/>
  <c r="K363" i="56"/>
  <c r="K364" i="56"/>
  <c r="K365" i="56"/>
  <c r="K366" i="56"/>
  <c r="K367" i="56"/>
  <c r="K368" i="56"/>
  <c r="K369" i="56"/>
  <c r="K370" i="56"/>
  <c r="K371" i="56"/>
  <c r="K372" i="56"/>
  <c r="K373" i="56"/>
  <c r="K374" i="56"/>
  <c r="K375" i="56"/>
  <c r="K376" i="56"/>
  <c r="K377" i="56"/>
  <c r="K378" i="56"/>
  <c r="K379" i="56"/>
  <c r="K380" i="56"/>
  <c r="K381" i="56"/>
  <c r="K382" i="56"/>
  <c r="K383" i="56"/>
  <c r="K384" i="56"/>
  <c r="K385" i="56"/>
  <c r="K386" i="56"/>
  <c r="K387" i="56"/>
  <c r="K388" i="56"/>
  <c r="K389" i="56"/>
  <c r="F34" i="25" l="1"/>
  <c r="F35" i="25"/>
  <c r="F36" i="25"/>
  <c r="F37" i="25"/>
  <c r="F38" i="25"/>
  <c r="F39" i="25"/>
  <c r="F40" i="25"/>
  <c r="F41" i="25"/>
  <c r="F42" i="25"/>
  <c r="F43" i="25"/>
  <c r="J51" i="19"/>
  <c r="J59" i="3"/>
  <c r="J170" i="3"/>
  <c r="J151" i="41"/>
  <c r="J152" i="41"/>
  <c r="J153" i="41"/>
  <c r="J154" i="41"/>
  <c r="J155" i="41"/>
  <c r="J156" i="41"/>
  <c r="J157" i="41"/>
  <c r="J158" i="41"/>
  <c r="J159" i="41"/>
  <c r="J160" i="41"/>
  <c r="J161" i="41"/>
  <c r="J162" i="41"/>
  <c r="J163" i="41"/>
  <c r="J164" i="41"/>
  <c r="J165" i="41"/>
  <c r="J166" i="41"/>
  <c r="J167" i="41"/>
  <c r="J168" i="41"/>
  <c r="J169" i="41"/>
  <c r="J170" i="41"/>
  <c r="J171" i="41"/>
  <c r="J172" i="41"/>
  <c r="J173" i="41"/>
  <c r="J174" i="41"/>
  <c r="J175" i="41"/>
  <c r="J176" i="41"/>
  <c r="J177" i="41"/>
  <c r="J178" i="41"/>
  <c r="J179" i="41"/>
  <c r="J180" i="41"/>
  <c r="J181" i="41"/>
  <c r="J182" i="41"/>
  <c r="J183" i="41"/>
  <c r="J184" i="41"/>
  <c r="J185" i="41"/>
  <c r="J186" i="41"/>
  <c r="J187" i="41"/>
  <c r="J188" i="41"/>
  <c r="J189" i="41"/>
  <c r="J190" i="41"/>
  <c r="J191" i="41"/>
  <c r="J192" i="41"/>
  <c r="J193" i="41"/>
  <c r="J194" i="41"/>
  <c r="J195" i="41"/>
  <c r="J196" i="41"/>
  <c r="J197" i="41"/>
  <c r="J198" i="41"/>
  <c r="J199" i="41"/>
  <c r="J200" i="41"/>
  <c r="J201" i="41"/>
  <c r="J202" i="41"/>
  <c r="J203" i="41"/>
  <c r="J204" i="41"/>
  <c r="J205" i="41"/>
  <c r="J206" i="41"/>
  <c r="J207" i="41"/>
  <c r="J208" i="41"/>
  <c r="J209" i="41"/>
  <c r="J210" i="41"/>
  <c r="J211" i="41"/>
  <c r="J212" i="41"/>
  <c r="J213" i="41"/>
  <c r="J214" i="41"/>
  <c r="J215" i="41"/>
  <c r="J216" i="41"/>
  <c r="J217" i="41"/>
  <c r="J218" i="41"/>
  <c r="J219" i="41"/>
  <c r="J220" i="41"/>
  <c r="J221" i="41"/>
  <c r="J222" i="41"/>
  <c r="J223" i="41"/>
  <c r="J224" i="41"/>
  <c r="J225" i="41"/>
  <c r="J226" i="41"/>
  <c r="J227" i="41"/>
  <c r="J228" i="41"/>
  <c r="J229" i="41"/>
  <c r="J230" i="41"/>
  <c r="J231" i="41"/>
  <c r="J232" i="41"/>
  <c r="J233" i="41"/>
  <c r="J234" i="41"/>
  <c r="J235" i="41"/>
  <c r="J236" i="41"/>
  <c r="J237" i="41"/>
  <c r="J238" i="41"/>
  <c r="J239" i="41"/>
  <c r="J240" i="41"/>
  <c r="J241" i="41"/>
  <c r="J242" i="41"/>
  <c r="J243" i="41"/>
  <c r="J244" i="41"/>
  <c r="J245" i="41"/>
  <c r="J246" i="41"/>
  <c r="J247" i="41"/>
  <c r="J248" i="41"/>
  <c r="J249" i="41"/>
  <c r="J150" i="41"/>
  <c r="J149" i="41"/>
  <c r="H250" i="41"/>
  <c r="F36" i="2"/>
  <c r="D237" i="27"/>
  <c r="D238" i="27" s="1"/>
  <c r="I36" i="58"/>
  <c r="I37" i="58"/>
  <c r="I38" i="58"/>
  <c r="I39" i="58"/>
  <c r="I40" i="58"/>
  <c r="I41" i="58"/>
  <c r="I42" i="58"/>
  <c r="I43" i="58"/>
  <c r="I44" i="58"/>
  <c r="I45" i="58"/>
  <c r="I46" i="58"/>
  <c r="I47" i="58"/>
  <c r="I48" i="58"/>
  <c r="I49" i="58"/>
  <c r="I50" i="58"/>
  <c r="I51" i="58"/>
  <c r="I52" i="58"/>
  <c r="I53" i="58"/>
  <c r="I54" i="58"/>
  <c r="I55" i="58"/>
  <c r="I56" i="58"/>
  <c r="I57" i="58"/>
  <c r="I58" i="58"/>
  <c r="I59" i="58"/>
  <c r="I60" i="58"/>
  <c r="I61" i="58"/>
  <c r="I62" i="58"/>
  <c r="I63" i="58"/>
  <c r="I64" i="58"/>
  <c r="I65" i="58"/>
  <c r="I66" i="58"/>
  <c r="I67" i="58"/>
  <c r="I68" i="58"/>
  <c r="I69" i="58"/>
  <c r="I70" i="58"/>
  <c r="I71" i="58"/>
  <c r="I72" i="58"/>
  <c r="I73" i="58"/>
  <c r="I74" i="58"/>
  <c r="I75" i="58"/>
  <c r="I76" i="58"/>
  <c r="I77" i="58"/>
  <c r="I78" i="58"/>
  <c r="I79" i="58"/>
  <c r="I80" i="58"/>
  <c r="I81" i="58"/>
  <c r="I82" i="58"/>
  <c r="I83" i="58"/>
  <c r="I84" i="58"/>
  <c r="I85" i="58"/>
  <c r="I86" i="58"/>
  <c r="I87" i="58"/>
  <c r="I88" i="58"/>
  <c r="I89" i="58"/>
  <c r="I90" i="58"/>
  <c r="I91" i="58"/>
  <c r="I92" i="58"/>
  <c r="I93" i="58"/>
  <c r="I94" i="58"/>
  <c r="I95" i="58"/>
  <c r="I96" i="58"/>
  <c r="I97" i="58"/>
  <c r="I98" i="58"/>
  <c r="I99" i="58"/>
  <c r="I100" i="58"/>
  <c r="I101" i="58"/>
  <c r="I102" i="58"/>
  <c r="I103" i="58"/>
  <c r="I104" i="58"/>
  <c r="I105" i="58"/>
  <c r="I106" i="58"/>
  <c r="I107" i="58"/>
  <c r="I108" i="58"/>
  <c r="I109" i="58"/>
  <c r="I110" i="58"/>
  <c r="I111" i="58"/>
  <c r="I112" i="58"/>
  <c r="I113" i="58"/>
  <c r="I114" i="58"/>
  <c r="I115" i="58"/>
  <c r="I116" i="58"/>
  <c r="I117" i="58"/>
  <c r="I118" i="58"/>
  <c r="I119" i="58"/>
  <c r="I120" i="58"/>
  <c r="I121" i="58"/>
  <c r="I122" i="58"/>
  <c r="I123" i="58"/>
  <c r="I124" i="58"/>
  <c r="I125" i="58"/>
  <c r="I126" i="58"/>
  <c r="I127" i="58"/>
  <c r="I128" i="58"/>
  <c r="I129" i="58"/>
  <c r="I130" i="58"/>
  <c r="I131" i="58"/>
  <c r="I132" i="58"/>
  <c r="I133" i="58"/>
  <c r="I134" i="58"/>
  <c r="I35" i="58"/>
  <c r="D12" i="27"/>
  <c r="D13" i="27" s="1"/>
  <c r="H30" i="41" s="1"/>
  <c r="J30" i="41" s="1" a="1"/>
  <c r="J30" i="41" s="1"/>
  <c r="K35" i="58"/>
  <c r="U169" i="56"/>
  <c r="V169" i="56" s="1"/>
  <c r="D130" i="32"/>
  <c r="F130" i="32"/>
  <c r="L130" i="32"/>
  <c r="L125" i="32"/>
  <c r="C125" i="32"/>
  <c r="D124" i="32"/>
  <c r="E124" i="32"/>
  <c r="F124" i="32"/>
  <c r="C124" i="32"/>
  <c r="G73" i="32"/>
  <c r="J63" i="32"/>
  <c r="I63" i="32"/>
  <c r="R44" i="32"/>
  <c r="C63" i="32"/>
  <c r="D71" i="32"/>
  <c r="I71" i="32"/>
  <c r="J71" i="32"/>
  <c r="E63" i="32"/>
  <c r="F73" i="32"/>
  <c r="F63" i="32"/>
  <c r="G63" i="32"/>
  <c r="H63" i="32"/>
  <c r="R168" i="56"/>
  <c r="B38" i="32"/>
  <c r="B68" i="32" s="1"/>
  <c r="B97" i="32" s="1"/>
  <c r="B121" i="32" s="1"/>
  <c r="B39" i="32"/>
  <c r="B69" i="32" s="1"/>
  <c r="B98" i="32" s="1"/>
  <c r="B122" i="32" s="1"/>
  <c r="B37" i="32"/>
  <c r="N37" i="32" s="1"/>
  <c r="B36" i="32"/>
  <c r="N36" i="32" s="1"/>
  <c r="B35" i="32"/>
  <c r="B34" i="32"/>
  <c r="N34" i="32" s="1"/>
  <c r="R63" i="32"/>
  <c r="B65" i="32"/>
  <c r="B94" i="32" s="1"/>
  <c r="B118" i="32" s="1"/>
  <c r="B33" i="32"/>
  <c r="K125" i="32"/>
  <c r="K126" i="32"/>
  <c r="K127" i="32"/>
  <c r="K128" i="32"/>
  <c r="K129" i="32"/>
  <c r="K130" i="32"/>
  <c r="K131" i="32"/>
  <c r="K132" i="32"/>
  <c r="K133" i="32"/>
  <c r="K134" i="32"/>
  <c r="K124" i="32"/>
  <c r="K114" i="32"/>
  <c r="K115" i="32"/>
  <c r="K116" i="32"/>
  <c r="K117" i="32"/>
  <c r="K118" i="32"/>
  <c r="K119" i="32"/>
  <c r="K120" i="32"/>
  <c r="K121" i="32"/>
  <c r="K122" i="32"/>
  <c r="K123" i="32"/>
  <c r="K113" i="32"/>
  <c r="B125" i="32"/>
  <c r="B126" i="32"/>
  <c r="B127" i="32"/>
  <c r="B128" i="32"/>
  <c r="B129" i="32"/>
  <c r="B130" i="32"/>
  <c r="B131" i="32"/>
  <c r="B132" i="32"/>
  <c r="B133" i="32"/>
  <c r="B134" i="32"/>
  <c r="B124" i="32"/>
  <c r="B123" i="32"/>
  <c r="B110" i="32"/>
  <c r="B101" i="32"/>
  <c r="B102" i="32"/>
  <c r="B103" i="32"/>
  <c r="B104" i="32"/>
  <c r="B105" i="32"/>
  <c r="B106" i="32"/>
  <c r="B107" i="32"/>
  <c r="B108" i="32"/>
  <c r="B109" i="32"/>
  <c r="B100" i="32"/>
  <c r="B99" i="32"/>
  <c r="B82" i="32"/>
  <c r="B70" i="32"/>
  <c r="B71" i="32"/>
  <c r="B72" i="32"/>
  <c r="B73" i="32"/>
  <c r="B74" i="32"/>
  <c r="B75" i="32"/>
  <c r="B76" i="32"/>
  <c r="B77" i="32"/>
  <c r="B78" i="32"/>
  <c r="B79" i="32"/>
  <c r="B80" i="32"/>
  <c r="B63" i="32"/>
  <c r="B92" i="32" s="1"/>
  <c r="B116" i="32" s="1"/>
  <c r="N45" i="32"/>
  <c r="N46" i="32"/>
  <c r="N47" i="32"/>
  <c r="N48" i="32"/>
  <c r="N49" i="32"/>
  <c r="N50" i="32"/>
  <c r="N51" i="32"/>
  <c r="N52" i="32"/>
  <c r="N53" i="32"/>
  <c r="N54" i="32"/>
  <c r="N44" i="32"/>
  <c r="N40" i="32"/>
  <c r="N33" i="32"/>
  <c r="J58" i="3"/>
  <c r="D8" i="58"/>
  <c r="D8" i="46"/>
  <c r="E10" i="49"/>
  <c r="E11" i="49"/>
  <c r="E12" i="49"/>
  <c r="E13" i="49"/>
  <c r="E14" i="49"/>
  <c r="E15" i="49"/>
  <c r="E16" i="49"/>
  <c r="E9" i="49"/>
  <c r="B17" i="57"/>
  <c r="B18" i="57"/>
  <c r="B16" i="57"/>
  <c r="D210" i="27"/>
  <c r="D211" i="27"/>
  <c r="D212" i="27"/>
  <c r="D213" i="27"/>
  <c r="D214" i="27"/>
  <c r="D215" i="27"/>
  <c r="D216" i="27"/>
  <c r="D209" i="27"/>
  <c r="L14" i="16"/>
  <c r="L15" i="16"/>
  <c r="L16" i="16"/>
  <c r="L17" i="16"/>
  <c r="L18" i="16"/>
  <c r="L19" i="16"/>
  <c r="L20" i="16"/>
  <c r="L13" i="16"/>
  <c r="A11" i="16"/>
  <c r="A12" i="16"/>
  <c r="A10" i="16"/>
  <c r="A12" i="18"/>
  <c r="A13" i="18"/>
  <c r="A11" i="18"/>
  <c r="A13" i="20"/>
  <c r="A14" i="20"/>
  <c r="A15" i="20"/>
  <c r="H42" i="46" l="1"/>
  <c r="H54" i="46"/>
  <c r="H66" i="46"/>
  <c r="H78" i="46"/>
  <c r="H90" i="46"/>
  <c r="H102" i="46"/>
  <c r="H114" i="46"/>
  <c r="H126" i="46"/>
  <c r="H85" i="46"/>
  <c r="H74" i="46"/>
  <c r="H39" i="46"/>
  <c r="H76" i="46"/>
  <c r="H41" i="46"/>
  <c r="H43" i="46"/>
  <c r="H55" i="46"/>
  <c r="H67" i="46"/>
  <c r="H79" i="46"/>
  <c r="H91" i="46"/>
  <c r="H103" i="46"/>
  <c r="H115" i="46"/>
  <c r="H127" i="46"/>
  <c r="H109" i="46"/>
  <c r="H86" i="46"/>
  <c r="H87" i="46"/>
  <c r="H52" i="46"/>
  <c r="H89" i="46"/>
  <c r="H32" i="46"/>
  <c r="H44" i="46"/>
  <c r="H56" i="46"/>
  <c r="H68" i="46"/>
  <c r="H80" i="46"/>
  <c r="H92" i="46"/>
  <c r="H104" i="46"/>
  <c r="H116" i="46"/>
  <c r="H128" i="46"/>
  <c r="H97" i="46"/>
  <c r="H62" i="46"/>
  <c r="H63" i="46"/>
  <c r="H64" i="46"/>
  <c r="H124" i="46"/>
  <c r="H113" i="46"/>
  <c r="H33" i="46"/>
  <c r="H45" i="46"/>
  <c r="H57" i="46"/>
  <c r="H69" i="46"/>
  <c r="H81" i="46"/>
  <c r="H93" i="46"/>
  <c r="H105" i="46"/>
  <c r="H117" i="46"/>
  <c r="H30" i="46"/>
  <c r="H73" i="46"/>
  <c r="H98" i="46"/>
  <c r="H111" i="46"/>
  <c r="H100" i="46"/>
  <c r="H65" i="46"/>
  <c r="H34" i="46"/>
  <c r="H46" i="46"/>
  <c r="H58" i="46"/>
  <c r="H70" i="46"/>
  <c r="H82" i="46"/>
  <c r="H94" i="46"/>
  <c r="H106" i="46"/>
  <c r="H118" i="46"/>
  <c r="H31" i="46"/>
  <c r="H61" i="46"/>
  <c r="H121" i="46"/>
  <c r="H110" i="46"/>
  <c r="H75" i="46"/>
  <c r="H123" i="46"/>
  <c r="H112" i="46"/>
  <c r="H101" i="46"/>
  <c r="H35" i="46"/>
  <c r="H47" i="46"/>
  <c r="H59" i="46"/>
  <c r="H71" i="46"/>
  <c r="H83" i="46"/>
  <c r="H95" i="46"/>
  <c r="H107" i="46"/>
  <c r="H119" i="46"/>
  <c r="H29" i="46"/>
  <c r="K29" i="46" s="1"/>
  <c r="H49" i="46"/>
  <c r="H50" i="46"/>
  <c r="H51" i="46"/>
  <c r="H88" i="46"/>
  <c r="H77" i="46"/>
  <c r="H36" i="46"/>
  <c r="H48" i="46"/>
  <c r="H60" i="46"/>
  <c r="H72" i="46"/>
  <c r="H84" i="46"/>
  <c r="H96" i="46"/>
  <c r="H108" i="46"/>
  <c r="H120" i="46"/>
  <c r="H37" i="46"/>
  <c r="H38" i="46"/>
  <c r="H122" i="46"/>
  <c r="H99" i="46"/>
  <c r="H40" i="46"/>
  <c r="H53" i="46"/>
  <c r="H125" i="46"/>
  <c r="J116" i="41" a="1"/>
  <c r="J116" i="41" s="1"/>
  <c r="J92" i="41" a="1"/>
  <c r="J92" i="41" s="1"/>
  <c r="J68" i="41" a="1"/>
  <c r="J68" i="41" s="1"/>
  <c r="J44" i="41" a="1"/>
  <c r="J44" i="41" s="1"/>
  <c r="J123" i="41" a="1"/>
  <c r="J123" i="41" s="1"/>
  <c r="J99" i="41" a="1"/>
  <c r="J99" i="41" s="1"/>
  <c r="J75" i="41" a="1"/>
  <c r="J75" i="41" s="1"/>
  <c r="J43" i="41" a="1"/>
  <c r="J43" i="41" s="1"/>
  <c r="J31" i="41" a="1"/>
  <c r="J31" i="41" s="1"/>
  <c r="J90" i="41" a="1"/>
  <c r="J90" i="41" s="1"/>
  <c r="J66" i="41" a="1"/>
  <c r="J66" i="41" s="1"/>
  <c r="J34" i="41" a="1"/>
  <c r="J34" i="41" s="1"/>
  <c r="J113" i="41" a="1"/>
  <c r="J113" i="41" s="1"/>
  <c r="J57" i="41" a="1"/>
  <c r="J57" i="41" s="1"/>
  <c r="J128" i="41" a="1"/>
  <c r="J128" i="41" s="1"/>
  <c r="J120" i="41" a="1"/>
  <c r="J120" i="41" s="1"/>
  <c r="J112" i="41" a="1"/>
  <c r="J112" i="41" s="1"/>
  <c r="J104" i="41" a="1"/>
  <c r="J104" i="41" s="1"/>
  <c r="J96" i="41" a="1"/>
  <c r="J96" i="41" s="1"/>
  <c r="J88" i="41" a="1"/>
  <c r="J88" i="41" s="1"/>
  <c r="J80" i="41" a="1"/>
  <c r="J80" i="41" s="1"/>
  <c r="J72" i="41" a="1"/>
  <c r="J72" i="41" s="1"/>
  <c r="J64" i="41" a="1"/>
  <c r="J64" i="41" s="1"/>
  <c r="J56" i="41" a="1"/>
  <c r="J56" i="41" s="1"/>
  <c r="J48" i="41" a="1"/>
  <c r="J48" i="41" s="1"/>
  <c r="J40" i="41" a="1"/>
  <c r="J40" i="41" s="1"/>
  <c r="J32" i="41" a="1"/>
  <c r="J32" i="41" s="1"/>
  <c r="J124" i="41" a="1"/>
  <c r="J124" i="41" s="1"/>
  <c r="J100" i="41" a="1"/>
  <c r="J100" i="41" s="1"/>
  <c r="J76" i="41" a="1"/>
  <c r="J76" i="41" s="1"/>
  <c r="J60" i="41" a="1"/>
  <c r="J60" i="41" s="1"/>
  <c r="J36" i="41" a="1"/>
  <c r="J36" i="41" s="1"/>
  <c r="J115" i="41" a="1"/>
  <c r="J115" i="41" s="1"/>
  <c r="J91" i="41" a="1"/>
  <c r="J91" i="41" s="1"/>
  <c r="J67" i="41" a="1"/>
  <c r="J67" i="41" s="1"/>
  <c r="J59" i="41" a="1"/>
  <c r="J59" i="41" s="1"/>
  <c r="J35" i="41" a="1"/>
  <c r="J35" i="41" s="1"/>
  <c r="J106" i="41" a="1"/>
  <c r="J106" i="41" s="1"/>
  <c r="J82" i="41" a="1"/>
  <c r="J82" i="41" s="1"/>
  <c r="J50" i="41" a="1"/>
  <c r="J50" i="41" s="1"/>
  <c r="J121" i="41" a="1"/>
  <c r="J121" i="41" s="1"/>
  <c r="J89" i="41" a="1"/>
  <c r="J89" i="41" s="1"/>
  <c r="J65" i="41" a="1"/>
  <c r="J65" i="41" s="1"/>
  <c r="J49" i="41" a="1"/>
  <c r="J49" i="41" s="1"/>
  <c r="J127" i="41" a="1"/>
  <c r="J127" i="41" s="1"/>
  <c r="J119" i="41" a="1"/>
  <c r="J119" i="41" s="1"/>
  <c r="J111" i="41" a="1"/>
  <c r="J111" i="41" s="1"/>
  <c r="J103" i="41" a="1"/>
  <c r="J103" i="41" s="1"/>
  <c r="J95" i="41" a="1"/>
  <c r="J95" i="41" s="1"/>
  <c r="J87" i="41" a="1"/>
  <c r="J87" i="41" s="1"/>
  <c r="J79" i="41" a="1"/>
  <c r="J79" i="41" s="1"/>
  <c r="J71" i="41" a="1"/>
  <c r="J71" i="41" s="1"/>
  <c r="J63" i="41" a="1"/>
  <c r="J63" i="41" s="1"/>
  <c r="J55" i="41" a="1"/>
  <c r="J55" i="41" s="1"/>
  <c r="J47" i="41" a="1"/>
  <c r="J47" i="41" s="1"/>
  <c r="J39" i="41" a="1"/>
  <c r="J39" i="41" s="1"/>
  <c r="J114" i="41" a="1"/>
  <c r="J114" i="41" s="1"/>
  <c r="J58" i="41" a="1"/>
  <c r="J58" i="41" s="1"/>
  <c r="J105" i="41" a="1"/>
  <c r="J105" i="41" s="1"/>
  <c r="J73" i="41" a="1"/>
  <c r="J73" i="41" s="1"/>
  <c r="J33" i="41" a="1"/>
  <c r="J33" i="41" s="1"/>
  <c r="J126" i="41" a="1"/>
  <c r="J126" i="41" s="1"/>
  <c r="J118" i="41" a="1"/>
  <c r="J118" i="41" s="1"/>
  <c r="J110" i="41" a="1"/>
  <c r="J110" i="41" s="1"/>
  <c r="J102" i="41" a="1"/>
  <c r="J102" i="41" s="1"/>
  <c r="J94" i="41" a="1"/>
  <c r="J94" i="41" s="1"/>
  <c r="J86" i="41" a="1"/>
  <c r="J86" i="41" s="1"/>
  <c r="J78" i="41" a="1"/>
  <c r="J78" i="41" s="1"/>
  <c r="J70" i="41" a="1"/>
  <c r="J70" i="41" s="1"/>
  <c r="J62" i="41" a="1"/>
  <c r="J62" i="41" s="1"/>
  <c r="J54" i="41" a="1"/>
  <c r="J54" i="41" s="1"/>
  <c r="J46" i="41" a="1"/>
  <c r="J46" i="41" s="1"/>
  <c r="J38" i="41" a="1"/>
  <c r="J38" i="41" s="1"/>
  <c r="J108" i="41" a="1"/>
  <c r="J108" i="41" s="1"/>
  <c r="J84" i="41" a="1"/>
  <c r="J84" i="41" s="1"/>
  <c r="J52" i="41" a="1"/>
  <c r="J52" i="41" s="1"/>
  <c r="J107" i="41" a="1"/>
  <c r="J107" i="41" s="1"/>
  <c r="J83" i="41" a="1"/>
  <c r="J83" i="41" s="1"/>
  <c r="J51" i="41" a="1"/>
  <c r="J51" i="41" s="1"/>
  <c r="J122" i="41" a="1"/>
  <c r="J122" i="41" s="1"/>
  <c r="J98" i="41" a="1"/>
  <c r="J98" i="41" s="1"/>
  <c r="J74" i="41" a="1"/>
  <c r="J74" i="41" s="1"/>
  <c r="J42" i="41" a="1"/>
  <c r="J42" i="41" s="1"/>
  <c r="J129" i="41" a="1"/>
  <c r="J129" i="41" s="1"/>
  <c r="J97" i="41" a="1"/>
  <c r="J97" i="41" s="1"/>
  <c r="J81" i="41" a="1"/>
  <c r="J81" i="41" s="1"/>
  <c r="J41" i="41" a="1"/>
  <c r="J41" i="41" s="1"/>
  <c r="J125" i="41" a="1"/>
  <c r="J125" i="41" s="1"/>
  <c r="J117" i="41" a="1"/>
  <c r="J117" i="41" s="1"/>
  <c r="J109" i="41" a="1"/>
  <c r="J109" i="41" s="1"/>
  <c r="J101" i="41" a="1"/>
  <c r="J101" i="41" s="1"/>
  <c r="J93" i="41" a="1"/>
  <c r="J93" i="41" s="1"/>
  <c r="J85" i="41" a="1"/>
  <c r="J85" i="41" s="1"/>
  <c r="J77" i="41" a="1"/>
  <c r="J77" i="41" s="1"/>
  <c r="J69" i="41" a="1"/>
  <c r="J69" i="41" s="1"/>
  <c r="J61" i="41" a="1"/>
  <c r="J61" i="41" s="1"/>
  <c r="J53" i="41" a="1"/>
  <c r="J53" i="41" s="1"/>
  <c r="J45" i="41" a="1"/>
  <c r="J45" i="41" s="1"/>
  <c r="J37" i="41" a="1"/>
  <c r="J37" i="41" s="1"/>
  <c r="D14" i="27"/>
  <c r="N39" i="32"/>
  <c r="B64" i="32"/>
  <c r="B93" i="32" s="1"/>
  <c r="B117" i="32" s="1"/>
  <c r="N38" i="32"/>
  <c r="N35" i="32"/>
  <c r="B67" i="32"/>
  <c r="B96" i="32" s="1"/>
  <c r="B120" i="32" s="1"/>
  <c r="B66" i="32"/>
  <c r="B95" i="32" s="1"/>
  <c r="B119" i="32" s="1"/>
  <c r="F282" i="3"/>
  <c r="B29" i="54" l="1"/>
  <c r="B27" i="54"/>
  <c r="B31" i="54"/>
  <c r="B12" i="54"/>
  <c r="C25" i="13" l="1"/>
  <c r="D25" i="13" s="1"/>
  <c r="C27" i="13"/>
  <c r="D27" i="13" s="1"/>
  <c r="I166" i="3"/>
  <c r="I283" i="3" s="1"/>
  <c r="G166" i="3"/>
  <c r="G283" i="3" s="1"/>
  <c r="G168" i="3"/>
  <c r="G285" i="3" s="1"/>
  <c r="U290" i="56"/>
  <c r="T291" i="56"/>
  <c r="J288" i="3"/>
  <c r="J289" i="3"/>
  <c r="J290" i="3"/>
  <c r="J291" i="3"/>
  <c r="J292" i="3"/>
  <c r="J293" i="3"/>
  <c r="J294" i="3"/>
  <c r="J295" i="3"/>
  <c r="J296" i="3"/>
  <c r="J297" i="3"/>
  <c r="J287" i="3"/>
  <c r="J171" i="3"/>
  <c r="J172" i="3"/>
  <c r="J173" i="3"/>
  <c r="J174" i="3"/>
  <c r="J175" i="3"/>
  <c r="J176" i="3"/>
  <c r="J177" i="3"/>
  <c r="J178" i="3"/>
  <c r="J179" i="3"/>
  <c r="J180" i="3"/>
  <c r="J181"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66" i="3"/>
  <c r="J267" i="3"/>
  <c r="J268" i="3"/>
  <c r="J269" i="3"/>
  <c r="H166" i="3"/>
  <c r="H283" i="3" s="1"/>
  <c r="F168" i="3"/>
  <c r="F285" i="3" s="1"/>
  <c r="F166" i="3"/>
  <c r="F283" i="3" s="1"/>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E160" i="3" l="1"/>
  <c r="E277" i="3"/>
  <c r="E392" i="3"/>
  <c r="K36" i="58" l="1"/>
  <c r="K37" i="58"/>
  <c r="K38" i="58"/>
  <c r="K39" i="58"/>
  <c r="K40" i="58"/>
  <c r="K41" i="58"/>
  <c r="K42" i="58"/>
  <c r="K43" i="58"/>
  <c r="K44" i="58"/>
  <c r="K45" i="58"/>
  <c r="K46" i="58"/>
  <c r="K47" i="58"/>
  <c r="K48" i="58"/>
  <c r="K49" i="58"/>
  <c r="K50" i="58"/>
  <c r="K51" i="58"/>
  <c r="K52" i="58"/>
  <c r="K53" i="58"/>
  <c r="K54" i="58"/>
  <c r="K55" i="58"/>
  <c r="K56" i="58"/>
  <c r="K57" i="58"/>
  <c r="K58" i="58"/>
  <c r="K59" i="58"/>
  <c r="K60" i="58"/>
  <c r="K61" i="58"/>
  <c r="K62" i="58"/>
  <c r="K63" i="58"/>
  <c r="K64" i="58"/>
  <c r="K65" i="58"/>
  <c r="K66" i="58"/>
  <c r="K67" i="58"/>
  <c r="K68" i="58"/>
  <c r="K69" i="58"/>
  <c r="K70" i="58"/>
  <c r="K71" i="58"/>
  <c r="K72" i="58"/>
  <c r="K73" i="58"/>
  <c r="K74" i="58"/>
  <c r="K75" i="58"/>
  <c r="K76" i="58"/>
  <c r="K77" i="58"/>
  <c r="K78" i="58"/>
  <c r="K79" i="58"/>
  <c r="K80" i="58"/>
  <c r="K81" i="58"/>
  <c r="K82" i="58"/>
  <c r="K83" i="58"/>
  <c r="K84" i="58"/>
  <c r="K85" i="58"/>
  <c r="K86" i="58"/>
  <c r="K87" i="58"/>
  <c r="K88" i="58"/>
  <c r="K89" i="58"/>
  <c r="K90" i="58"/>
  <c r="K91" i="58"/>
  <c r="K92" i="58"/>
  <c r="K93" i="58"/>
  <c r="K94" i="58"/>
  <c r="K95" i="58"/>
  <c r="K96" i="58"/>
  <c r="K97" i="58"/>
  <c r="K98" i="58"/>
  <c r="K99" i="58"/>
  <c r="K100" i="58"/>
  <c r="K101" i="58"/>
  <c r="K102" i="58"/>
  <c r="K103" i="58"/>
  <c r="K104" i="58"/>
  <c r="K105" i="58"/>
  <c r="K106" i="58"/>
  <c r="K107" i="58"/>
  <c r="K108" i="58"/>
  <c r="K109" i="58"/>
  <c r="K110" i="58"/>
  <c r="K111" i="58"/>
  <c r="K112" i="58"/>
  <c r="K113" i="58"/>
  <c r="K114" i="58"/>
  <c r="K115" i="58"/>
  <c r="K116" i="58"/>
  <c r="K117" i="58"/>
  <c r="K118" i="58"/>
  <c r="K119" i="58"/>
  <c r="K120" i="58"/>
  <c r="K121" i="58"/>
  <c r="K122" i="58"/>
  <c r="K123" i="58"/>
  <c r="K124" i="58"/>
  <c r="K125" i="58"/>
  <c r="K126" i="58"/>
  <c r="K127" i="58"/>
  <c r="K128" i="58"/>
  <c r="K129" i="58"/>
  <c r="K130" i="58"/>
  <c r="K131" i="58"/>
  <c r="K132" i="58"/>
  <c r="K133" i="58"/>
  <c r="K134" i="58"/>
  <c r="B267" i="25"/>
  <c r="B268" i="25"/>
  <c r="B269" i="25"/>
  <c r="B266" i="25"/>
  <c r="S55" i="56"/>
  <c r="S56" i="56"/>
  <c r="S57" i="56"/>
  <c r="S58" i="56"/>
  <c r="S59" i="56"/>
  <c r="S60" i="56"/>
  <c r="S61" i="56"/>
  <c r="S62" i="56"/>
  <c r="S63" i="56"/>
  <c r="S64" i="56"/>
  <c r="S65" i="56"/>
  <c r="S66" i="56"/>
  <c r="S67" i="56"/>
  <c r="S68" i="56"/>
  <c r="S69" i="56"/>
  <c r="S70" i="56"/>
  <c r="S71" i="56"/>
  <c r="S72" i="56"/>
  <c r="S73" i="56"/>
  <c r="S74" i="56"/>
  <c r="S75" i="56"/>
  <c r="S76" i="56"/>
  <c r="S77" i="56"/>
  <c r="S78" i="56"/>
  <c r="S79" i="56"/>
  <c r="S80" i="56"/>
  <c r="S81" i="56"/>
  <c r="S82" i="56"/>
  <c r="S83" i="56"/>
  <c r="S84" i="56"/>
  <c r="S85" i="56"/>
  <c r="S86" i="56"/>
  <c r="S87" i="56"/>
  <c r="S88" i="56"/>
  <c r="S89" i="56"/>
  <c r="S90" i="56"/>
  <c r="S91" i="56"/>
  <c r="S92" i="56"/>
  <c r="S93" i="56"/>
  <c r="S94" i="56"/>
  <c r="S95" i="56"/>
  <c r="S96" i="56"/>
  <c r="S97" i="56"/>
  <c r="S98" i="56"/>
  <c r="S99" i="56"/>
  <c r="S100" i="56"/>
  <c r="S101" i="56"/>
  <c r="S102" i="56"/>
  <c r="S103" i="56"/>
  <c r="S104" i="56"/>
  <c r="S105" i="56"/>
  <c r="S106" i="56"/>
  <c r="S107" i="56"/>
  <c r="S108" i="56"/>
  <c r="S109" i="56"/>
  <c r="S110" i="56"/>
  <c r="S111" i="56"/>
  <c r="S112" i="56"/>
  <c r="S113" i="56"/>
  <c r="S114" i="56"/>
  <c r="S115" i="56"/>
  <c r="S116" i="56"/>
  <c r="S117" i="56"/>
  <c r="S118" i="56"/>
  <c r="S119" i="56"/>
  <c r="S120" i="56"/>
  <c r="S121" i="56"/>
  <c r="S122" i="56"/>
  <c r="S123" i="56"/>
  <c r="S124" i="56"/>
  <c r="S125" i="56"/>
  <c r="S126" i="56"/>
  <c r="S127" i="56"/>
  <c r="S128" i="56"/>
  <c r="S129" i="56"/>
  <c r="S130" i="56"/>
  <c r="S131" i="56"/>
  <c r="S132" i="56"/>
  <c r="S133" i="56"/>
  <c r="S134" i="56"/>
  <c r="S135" i="56"/>
  <c r="S136" i="56"/>
  <c r="S137" i="56"/>
  <c r="S138" i="56"/>
  <c r="S139" i="56"/>
  <c r="S140" i="56"/>
  <c r="S141" i="56"/>
  <c r="S53" i="56"/>
  <c r="S54" i="56"/>
  <c r="S43" i="56"/>
  <c r="S44" i="56"/>
  <c r="S45" i="56"/>
  <c r="S46" i="56"/>
  <c r="S47" i="56"/>
  <c r="S48" i="56"/>
  <c r="S49" i="56"/>
  <c r="S50" i="56"/>
  <c r="S51" i="56"/>
  <c r="S52" i="56"/>
  <c r="S42" i="56"/>
  <c r="T44" i="56"/>
  <c r="T45" i="56"/>
  <c r="T46" i="56"/>
  <c r="T47" i="56"/>
  <c r="T48" i="56"/>
  <c r="T49" i="56"/>
  <c r="T50" i="56"/>
  <c r="T51" i="56"/>
  <c r="T52" i="56"/>
  <c r="T53" i="56"/>
  <c r="T54" i="56"/>
  <c r="T55" i="56"/>
  <c r="T56" i="56"/>
  <c r="T57" i="56"/>
  <c r="T58" i="56"/>
  <c r="T59" i="56"/>
  <c r="T60" i="56"/>
  <c r="T61" i="56"/>
  <c r="T62" i="56"/>
  <c r="T63" i="56"/>
  <c r="T64" i="56"/>
  <c r="T65" i="56"/>
  <c r="T66" i="56"/>
  <c r="T67" i="56"/>
  <c r="T68" i="56"/>
  <c r="T69" i="56"/>
  <c r="T70" i="56"/>
  <c r="T71" i="56"/>
  <c r="T72" i="56"/>
  <c r="T73" i="56"/>
  <c r="T74" i="56"/>
  <c r="T75" i="56"/>
  <c r="T76" i="56"/>
  <c r="T77" i="56"/>
  <c r="T78" i="56"/>
  <c r="T79" i="56"/>
  <c r="T80" i="56"/>
  <c r="T81" i="56"/>
  <c r="T82" i="56"/>
  <c r="T83" i="56"/>
  <c r="T84" i="56"/>
  <c r="T85" i="56"/>
  <c r="T86" i="56"/>
  <c r="T87" i="56"/>
  <c r="T88" i="56"/>
  <c r="T89" i="56"/>
  <c r="T90" i="56"/>
  <c r="T91" i="56"/>
  <c r="T92" i="56"/>
  <c r="T93" i="56"/>
  <c r="T94" i="56"/>
  <c r="T95" i="56"/>
  <c r="T96" i="56"/>
  <c r="T97" i="56"/>
  <c r="T98" i="56"/>
  <c r="T99" i="56"/>
  <c r="T100" i="56"/>
  <c r="T101" i="56"/>
  <c r="T102" i="56"/>
  <c r="T103" i="56"/>
  <c r="T104" i="56"/>
  <c r="T105" i="56"/>
  <c r="T106" i="56"/>
  <c r="T107" i="56"/>
  <c r="T108" i="56"/>
  <c r="T109" i="56"/>
  <c r="T110" i="56"/>
  <c r="T111" i="56"/>
  <c r="T112" i="56"/>
  <c r="T113" i="56"/>
  <c r="T114" i="56"/>
  <c r="T115" i="56"/>
  <c r="T116" i="56"/>
  <c r="T117" i="56"/>
  <c r="T118" i="56"/>
  <c r="T119" i="56"/>
  <c r="T120" i="56"/>
  <c r="T121" i="56"/>
  <c r="T122" i="56"/>
  <c r="T123" i="56"/>
  <c r="T124" i="56"/>
  <c r="T125" i="56"/>
  <c r="T126" i="56"/>
  <c r="T127" i="56"/>
  <c r="T128" i="56"/>
  <c r="T129" i="56"/>
  <c r="T130" i="56"/>
  <c r="T131" i="56"/>
  <c r="T132" i="56"/>
  <c r="T133" i="56"/>
  <c r="T134" i="56"/>
  <c r="T135" i="56"/>
  <c r="T136" i="56"/>
  <c r="T137" i="56"/>
  <c r="T138" i="56"/>
  <c r="T139" i="56"/>
  <c r="T140" i="56"/>
  <c r="T141" i="56"/>
  <c r="T43" i="56"/>
  <c r="K43" i="56"/>
  <c r="K44" i="56"/>
  <c r="K45" i="56"/>
  <c r="K46" i="56"/>
  <c r="K47" i="56"/>
  <c r="K48" i="56"/>
  <c r="K49" i="56"/>
  <c r="K50" i="56"/>
  <c r="K51" i="56"/>
  <c r="K52" i="56"/>
  <c r="K53" i="56"/>
  <c r="K54" i="56"/>
  <c r="K55" i="56"/>
  <c r="K56" i="56"/>
  <c r="K57" i="56"/>
  <c r="K58" i="56"/>
  <c r="K59" i="56"/>
  <c r="K60" i="56"/>
  <c r="K61" i="56"/>
  <c r="K62" i="56"/>
  <c r="K63" i="56"/>
  <c r="K64" i="56"/>
  <c r="K65" i="56"/>
  <c r="K66" i="56"/>
  <c r="K67" i="56"/>
  <c r="K68" i="56"/>
  <c r="K69" i="56"/>
  <c r="K70" i="56"/>
  <c r="K71" i="56"/>
  <c r="K72" i="56"/>
  <c r="K73" i="56"/>
  <c r="K74" i="56"/>
  <c r="K75" i="56"/>
  <c r="K76" i="56"/>
  <c r="K77" i="56"/>
  <c r="K78" i="56"/>
  <c r="K79" i="56"/>
  <c r="K80" i="56"/>
  <c r="K81" i="56"/>
  <c r="K82" i="56"/>
  <c r="K83" i="56"/>
  <c r="K84" i="56"/>
  <c r="K85" i="56"/>
  <c r="K86" i="56"/>
  <c r="K87" i="56"/>
  <c r="K88" i="56"/>
  <c r="K89" i="56"/>
  <c r="K90" i="56"/>
  <c r="K91" i="56"/>
  <c r="K92" i="56"/>
  <c r="K93" i="56"/>
  <c r="K94" i="56"/>
  <c r="K95" i="56"/>
  <c r="K96" i="56"/>
  <c r="K97" i="56"/>
  <c r="K98" i="56"/>
  <c r="K99" i="56"/>
  <c r="K100" i="56"/>
  <c r="K101" i="56"/>
  <c r="K102" i="56"/>
  <c r="K103" i="56"/>
  <c r="K104" i="56"/>
  <c r="K105" i="56"/>
  <c r="K106" i="56"/>
  <c r="K107" i="56"/>
  <c r="K108" i="56"/>
  <c r="K109" i="56"/>
  <c r="K110" i="56"/>
  <c r="K111" i="56"/>
  <c r="K112" i="56"/>
  <c r="K113" i="56"/>
  <c r="K114" i="56"/>
  <c r="K115" i="56"/>
  <c r="K116" i="56"/>
  <c r="K117" i="56"/>
  <c r="K118" i="56"/>
  <c r="K119" i="56"/>
  <c r="K120" i="56"/>
  <c r="K121" i="56"/>
  <c r="K122" i="56"/>
  <c r="K123" i="56"/>
  <c r="K124" i="56"/>
  <c r="K125" i="56"/>
  <c r="K126" i="56"/>
  <c r="K127" i="56"/>
  <c r="K128" i="56"/>
  <c r="K129" i="56"/>
  <c r="K130" i="56"/>
  <c r="K131" i="56"/>
  <c r="K132" i="56"/>
  <c r="K133" i="56"/>
  <c r="K134" i="56"/>
  <c r="K135" i="56"/>
  <c r="K136" i="56"/>
  <c r="K137" i="56"/>
  <c r="K138" i="56"/>
  <c r="K139" i="56"/>
  <c r="K140" i="56"/>
  <c r="K141" i="56"/>
  <c r="K42" i="56"/>
  <c r="U168" i="56"/>
  <c r="V168" i="56" s="1"/>
  <c r="U170" i="56"/>
  <c r="V170" i="56" s="1"/>
  <c r="U171" i="56"/>
  <c r="V171" i="56" s="1"/>
  <c r="U172" i="56"/>
  <c r="V172" i="56" s="1"/>
  <c r="U173" i="56"/>
  <c r="V173" i="56" s="1"/>
  <c r="U174" i="56"/>
  <c r="V174" i="56" s="1"/>
  <c r="U175" i="56"/>
  <c r="V175" i="56" s="1"/>
  <c r="U176" i="56"/>
  <c r="V176" i="56" s="1"/>
  <c r="U177" i="56"/>
  <c r="V177" i="56" s="1"/>
  <c r="U178" i="56"/>
  <c r="V178" i="56" s="1"/>
  <c r="U179" i="56"/>
  <c r="V179" i="56" s="1"/>
  <c r="U180" i="56"/>
  <c r="V180" i="56" s="1"/>
  <c r="U181" i="56"/>
  <c r="V181" i="56" s="1"/>
  <c r="U182" i="56"/>
  <c r="V182" i="56" s="1"/>
  <c r="U183" i="56"/>
  <c r="V183" i="56" s="1"/>
  <c r="U184" i="56"/>
  <c r="V184" i="56" s="1"/>
  <c r="U185" i="56"/>
  <c r="V185" i="56" s="1"/>
  <c r="U186" i="56"/>
  <c r="V186" i="56" s="1"/>
  <c r="U187" i="56"/>
  <c r="V187" i="56" s="1"/>
  <c r="U188" i="56"/>
  <c r="V188" i="56" s="1"/>
  <c r="U189" i="56"/>
  <c r="V189" i="56" s="1"/>
  <c r="U190" i="56"/>
  <c r="V190" i="56" s="1"/>
  <c r="U191" i="56"/>
  <c r="V191" i="56" s="1"/>
  <c r="U192" i="56"/>
  <c r="V192" i="56" s="1"/>
  <c r="U193" i="56"/>
  <c r="V193" i="56" s="1"/>
  <c r="U194" i="56"/>
  <c r="V194" i="56" s="1"/>
  <c r="U195" i="56"/>
  <c r="V195" i="56" s="1"/>
  <c r="U196" i="56"/>
  <c r="V196" i="56" s="1"/>
  <c r="U197" i="56"/>
  <c r="V197" i="56" s="1"/>
  <c r="U198" i="56"/>
  <c r="V198" i="56" s="1"/>
  <c r="U199" i="56"/>
  <c r="V199" i="56" s="1"/>
  <c r="U200" i="56"/>
  <c r="V200" i="56" s="1"/>
  <c r="U201" i="56"/>
  <c r="V201" i="56" s="1"/>
  <c r="U202" i="56"/>
  <c r="V202" i="56" s="1"/>
  <c r="U203" i="56"/>
  <c r="V203" i="56" s="1"/>
  <c r="U204" i="56"/>
  <c r="V204" i="56" s="1"/>
  <c r="U205" i="56"/>
  <c r="V205" i="56" s="1"/>
  <c r="U206" i="56"/>
  <c r="V206" i="56" s="1"/>
  <c r="U207" i="56"/>
  <c r="V207" i="56" s="1"/>
  <c r="U208" i="56"/>
  <c r="V208" i="56" s="1"/>
  <c r="U209" i="56"/>
  <c r="V209" i="56" s="1"/>
  <c r="U210" i="56"/>
  <c r="V210" i="56" s="1"/>
  <c r="U211" i="56"/>
  <c r="V211" i="56" s="1"/>
  <c r="U212" i="56"/>
  <c r="V212" i="56" s="1"/>
  <c r="U213" i="56"/>
  <c r="V213" i="56" s="1"/>
  <c r="U214" i="56"/>
  <c r="V214" i="56" s="1"/>
  <c r="U215" i="56"/>
  <c r="V215" i="56" s="1"/>
  <c r="U216" i="56"/>
  <c r="V216" i="56" s="1"/>
  <c r="U217" i="56"/>
  <c r="V217" i="56" s="1"/>
  <c r="U218" i="56"/>
  <c r="V218" i="56" s="1"/>
  <c r="U219" i="56"/>
  <c r="V219" i="56" s="1"/>
  <c r="U220" i="56"/>
  <c r="V220" i="56" s="1"/>
  <c r="U221" i="56"/>
  <c r="V221" i="56" s="1"/>
  <c r="U222" i="56"/>
  <c r="V222" i="56" s="1"/>
  <c r="U223" i="56"/>
  <c r="V223" i="56" s="1"/>
  <c r="U224" i="56"/>
  <c r="V224" i="56" s="1"/>
  <c r="U225" i="56"/>
  <c r="V225" i="56" s="1"/>
  <c r="U226" i="56"/>
  <c r="V226" i="56" s="1"/>
  <c r="U227" i="56"/>
  <c r="V227" i="56" s="1"/>
  <c r="U228" i="56"/>
  <c r="V228" i="56" s="1"/>
  <c r="U229" i="56"/>
  <c r="V229" i="56" s="1"/>
  <c r="U230" i="56"/>
  <c r="V230" i="56" s="1"/>
  <c r="U231" i="56"/>
  <c r="V231" i="56" s="1"/>
  <c r="U232" i="56"/>
  <c r="V232" i="56" s="1"/>
  <c r="U233" i="56"/>
  <c r="V233" i="56" s="1"/>
  <c r="U234" i="56"/>
  <c r="V234" i="56" s="1"/>
  <c r="U235" i="56"/>
  <c r="V235" i="56" s="1"/>
  <c r="U236" i="56"/>
  <c r="V236" i="56" s="1"/>
  <c r="U237" i="56"/>
  <c r="V237" i="56" s="1"/>
  <c r="U238" i="56"/>
  <c r="V238" i="56" s="1"/>
  <c r="U239" i="56"/>
  <c r="V239" i="56" s="1"/>
  <c r="U240" i="56"/>
  <c r="V240" i="56" s="1"/>
  <c r="U241" i="56"/>
  <c r="V241" i="56" s="1"/>
  <c r="U242" i="56"/>
  <c r="V242" i="56" s="1"/>
  <c r="U243" i="56"/>
  <c r="V243" i="56" s="1"/>
  <c r="U244" i="56"/>
  <c r="V244" i="56" s="1"/>
  <c r="U245" i="56"/>
  <c r="V245" i="56" s="1"/>
  <c r="U246" i="56"/>
  <c r="V246" i="56" s="1"/>
  <c r="U247" i="56"/>
  <c r="V247" i="56" s="1"/>
  <c r="U248" i="56"/>
  <c r="V248" i="56" s="1"/>
  <c r="U249" i="56"/>
  <c r="V249" i="56" s="1"/>
  <c r="U250" i="56"/>
  <c r="V250" i="56" s="1"/>
  <c r="U251" i="56"/>
  <c r="V251" i="56" s="1"/>
  <c r="U252" i="56"/>
  <c r="V252" i="56" s="1"/>
  <c r="U253" i="56"/>
  <c r="V253" i="56" s="1"/>
  <c r="U254" i="56"/>
  <c r="V254" i="56" s="1"/>
  <c r="U255" i="56"/>
  <c r="V255" i="56" s="1"/>
  <c r="U256" i="56"/>
  <c r="V256" i="56" s="1"/>
  <c r="U257" i="56"/>
  <c r="V257" i="56" s="1"/>
  <c r="U258" i="56"/>
  <c r="V258" i="56" s="1"/>
  <c r="U259" i="56"/>
  <c r="V259" i="56" s="1"/>
  <c r="U260" i="56"/>
  <c r="V260" i="56" s="1"/>
  <c r="U261" i="56"/>
  <c r="V261" i="56" s="1"/>
  <c r="U262" i="56"/>
  <c r="V262" i="56" s="1"/>
  <c r="U263" i="56"/>
  <c r="V263" i="56" s="1"/>
  <c r="U264" i="56"/>
  <c r="V264" i="56" s="1"/>
  <c r="U265" i="56"/>
  <c r="V265" i="56" s="1"/>
  <c r="U266" i="56"/>
  <c r="V266" i="56" s="1"/>
  <c r="S168" i="56"/>
  <c r="R169" i="56"/>
  <c r="S169" i="56" s="1"/>
  <c r="R170" i="56"/>
  <c r="S170" i="56" s="1"/>
  <c r="R171" i="56"/>
  <c r="S171" i="56" s="1"/>
  <c r="R172" i="56"/>
  <c r="S172" i="56" s="1"/>
  <c r="R173" i="56"/>
  <c r="S173" i="56" s="1"/>
  <c r="R174" i="56"/>
  <c r="S174" i="56" s="1"/>
  <c r="R175" i="56"/>
  <c r="S175" i="56" s="1"/>
  <c r="R176" i="56"/>
  <c r="S176" i="56" s="1"/>
  <c r="R177" i="56"/>
  <c r="S177" i="56" s="1"/>
  <c r="R178" i="56"/>
  <c r="S178" i="56" s="1"/>
  <c r="R179" i="56"/>
  <c r="S179" i="56" s="1"/>
  <c r="R180" i="56"/>
  <c r="S180" i="56" s="1"/>
  <c r="R181" i="56"/>
  <c r="S181" i="56" s="1"/>
  <c r="R182" i="56"/>
  <c r="S182" i="56" s="1"/>
  <c r="R183" i="56"/>
  <c r="S183" i="56" s="1"/>
  <c r="R184" i="56"/>
  <c r="S184" i="56" s="1"/>
  <c r="R185" i="56"/>
  <c r="S185" i="56" s="1"/>
  <c r="R186" i="56"/>
  <c r="S186" i="56" s="1"/>
  <c r="R187" i="56"/>
  <c r="S187" i="56" s="1"/>
  <c r="R188" i="56"/>
  <c r="S188" i="56" s="1"/>
  <c r="R189" i="56"/>
  <c r="S189" i="56" s="1"/>
  <c r="R190" i="56"/>
  <c r="S190" i="56" s="1"/>
  <c r="R191" i="56"/>
  <c r="S191" i="56" s="1"/>
  <c r="R192" i="56"/>
  <c r="S192" i="56" s="1"/>
  <c r="R193" i="56"/>
  <c r="S193" i="56" s="1"/>
  <c r="R194" i="56"/>
  <c r="S194" i="56" s="1"/>
  <c r="R195" i="56"/>
  <c r="S195" i="56" s="1"/>
  <c r="R196" i="56"/>
  <c r="S196" i="56" s="1"/>
  <c r="R197" i="56"/>
  <c r="S197" i="56" s="1"/>
  <c r="R198" i="56"/>
  <c r="S198" i="56" s="1"/>
  <c r="R199" i="56"/>
  <c r="S199" i="56" s="1"/>
  <c r="R200" i="56"/>
  <c r="S200" i="56" s="1"/>
  <c r="R201" i="56"/>
  <c r="S201" i="56" s="1"/>
  <c r="R202" i="56"/>
  <c r="S202" i="56" s="1"/>
  <c r="R203" i="56"/>
  <c r="S203" i="56" s="1"/>
  <c r="R204" i="56"/>
  <c r="S204" i="56" s="1"/>
  <c r="R205" i="56"/>
  <c r="S205" i="56" s="1"/>
  <c r="R206" i="56"/>
  <c r="S206" i="56" s="1"/>
  <c r="R207" i="56"/>
  <c r="S207" i="56" s="1"/>
  <c r="R208" i="56"/>
  <c r="S208" i="56" s="1"/>
  <c r="R209" i="56"/>
  <c r="S209" i="56" s="1"/>
  <c r="R210" i="56"/>
  <c r="S210" i="56" s="1"/>
  <c r="R211" i="56"/>
  <c r="S211" i="56" s="1"/>
  <c r="R212" i="56"/>
  <c r="S212" i="56" s="1"/>
  <c r="R213" i="56"/>
  <c r="S213" i="56" s="1"/>
  <c r="R214" i="56"/>
  <c r="S214" i="56" s="1"/>
  <c r="R215" i="56"/>
  <c r="S215" i="56" s="1"/>
  <c r="R216" i="56"/>
  <c r="S216" i="56" s="1"/>
  <c r="R217" i="56"/>
  <c r="S217" i="56" s="1"/>
  <c r="R218" i="56"/>
  <c r="S218" i="56" s="1"/>
  <c r="R219" i="56"/>
  <c r="S219" i="56" s="1"/>
  <c r="R220" i="56"/>
  <c r="S220" i="56" s="1"/>
  <c r="R221" i="56"/>
  <c r="S221" i="56" s="1"/>
  <c r="R222" i="56"/>
  <c r="S222" i="56" s="1"/>
  <c r="R223" i="56"/>
  <c r="S223" i="56" s="1"/>
  <c r="R224" i="56"/>
  <c r="S224" i="56" s="1"/>
  <c r="R225" i="56"/>
  <c r="S225" i="56" s="1"/>
  <c r="R226" i="56"/>
  <c r="S226" i="56" s="1"/>
  <c r="R227" i="56"/>
  <c r="S227" i="56" s="1"/>
  <c r="R228" i="56"/>
  <c r="S228" i="56" s="1"/>
  <c r="R229" i="56"/>
  <c r="S229" i="56" s="1"/>
  <c r="R230" i="56"/>
  <c r="S230" i="56" s="1"/>
  <c r="R231" i="56"/>
  <c r="S231" i="56" s="1"/>
  <c r="R232" i="56"/>
  <c r="S232" i="56" s="1"/>
  <c r="R233" i="56"/>
  <c r="S233" i="56" s="1"/>
  <c r="R234" i="56"/>
  <c r="S234" i="56" s="1"/>
  <c r="R235" i="56"/>
  <c r="S235" i="56" s="1"/>
  <c r="R236" i="56"/>
  <c r="S236" i="56" s="1"/>
  <c r="R237" i="56"/>
  <c r="S237" i="56" s="1"/>
  <c r="R238" i="56"/>
  <c r="S238" i="56" s="1"/>
  <c r="R239" i="56"/>
  <c r="S239" i="56" s="1"/>
  <c r="R240" i="56"/>
  <c r="S240" i="56" s="1"/>
  <c r="R241" i="56"/>
  <c r="S241" i="56" s="1"/>
  <c r="R242" i="56"/>
  <c r="S242" i="56" s="1"/>
  <c r="R243" i="56"/>
  <c r="S243" i="56" s="1"/>
  <c r="R244" i="56"/>
  <c r="S244" i="56" s="1"/>
  <c r="R245" i="56"/>
  <c r="S245" i="56" s="1"/>
  <c r="R246" i="56"/>
  <c r="S246" i="56" s="1"/>
  <c r="R247" i="56"/>
  <c r="S247" i="56" s="1"/>
  <c r="R248" i="56"/>
  <c r="S248" i="56" s="1"/>
  <c r="R249" i="56"/>
  <c r="S249" i="56" s="1"/>
  <c r="R250" i="56"/>
  <c r="S250" i="56" s="1"/>
  <c r="R251" i="56"/>
  <c r="S251" i="56" s="1"/>
  <c r="R252" i="56"/>
  <c r="S252" i="56" s="1"/>
  <c r="R253" i="56"/>
  <c r="S253" i="56" s="1"/>
  <c r="R254" i="56"/>
  <c r="S254" i="56" s="1"/>
  <c r="R255" i="56"/>
  <c r="S255" i="56" s="1"/>
  <c r="R256" i="56"/>
  <c r="S256" i="56" s="1"/>
  <c r="R257" i="56"/>
  <c r="S257" i="56" s="1"/>
  <c r="R258" i="56"/>
  <c r="S258" i="56" s="1"/>
  <c r="R259" i="56"/>
  <c r="S259" i="56" s="1"/>
  <c r="R260" i="56"/>
  <c r="S260" i="56" s="1"/>
  <c r="R261" i="56"/>
  <c r="S261" i="56" s="1"/>
  <c r="R262" i="56"/>
  <c r="S262" i="56" s="1"/>
  <c r="R263" i="56"/>
  <c r="S263" i="56" s="1"/>
  <c r="R264" i="56"/>
  <c r="S264" i="56" s="1"/>
  <c r="R265" i="56"/>
  <c r="S265" i="56" s="1"/>
  <c r="R266" i="56"/>
  <c r="S266" i="56" s="1"/>
  <c r="T292" i="56"/>
  <c r="T293" i="56"/>
  <c r="T294" i="56"/>
  <c r="T295" i="56"/>
  <c r="T296" i="56"/>
  <c r="T297" i="56"/>
  <c r="T298" i="56"/>
  <c r="T299" i="56"/>
  <c r="T300" i="56"/>
  <c r="T301" i="56"/>
  <c r="T302" i="56"/>
  <c r="T303" i="56"/>
  <c r="T304" i="56"/>
  <c r="T305" i="56"/>
  <c r="T306" i="56"/>
  <c r="T307" i="56"/>
  <c r="T308" i="56"/>
  <c r="T309" i="56"/>
  <c r="T310" i="56"/>
  <c r="T311" i="56"/>
  <c r="T312" i="56"/>
  <c r="T313" i="56"/>
  <c r="T314" i="56"/>
  <c r="T315" i="56"/>
  <c r="T316" i="56"/>
  <c r="T317" i="56"/>
  <c r="T318" i="56"/>
  <c r="T319" i="56"/>
  <c r="T320" i="56"/>
  <c r="T321" i="56"/>
  <c r="T322" i="56"/>
  <c r="T323" i="56"/>
  <c r="T324" i="56"/>
  <c r="T325" i="56"/>
  <c r="T326" i="56"/>
  <c r="T327" i="56"/>
  <c r="T328" i="56"/>
  <c r="T329" i="56"/>
  <c r="T330" i="56"/>
  <c r="T331" i="56"/>
  <c r="T332" i="56"/>
  <c r="T333" i="56"/>
  <c r="T334" i="56"/>
  <c r="T335" i="56"/>
  <c r="T336" i="56"/>
  <c r="T337" i="56"/>
  <c r="T338" i="56"/>
  <c r="T339" i="56"/>
  <c r="T340" i="56"/>
  <c r="T341" i="56"/>
  <c r="T342" i="56"/>
  <c r="T343" i="56"/>
  <c r="T344" i="56"/>
  <c r="T345" i="56"/>
  <c r="T346" i="56"/>
  <c r="T347" i="56"/>
  <c r="T348" i="56"/>
  <c r="T349" i="56"/>
  <c r="T350" i="56"/>
  <c r="T351" i="56"/>
  <c r="T352" i="56"/>
  <c r="T353" i="56"/>
  <c r="T354" i="56"/>
  <c r="T355" i="56"/>
  <c r="T356" i="56"/>
  <c r="T357" i="56"/>
  <c r="T358" i="56"/>
  <c r="T359" i="56"/>
  <c r="T360" i="56"/>
  <c r="T361" i="56"/>
  <c r="T362" i="56"/>
  <c r="T363" i="56"/>
  <c r="T364" i="56"/>
  <c r="T365" i="56"/>
  <c r="T366" i="56"/>
  <c r="T367" i="56"/>
  <c r="T368" i="56"/>
  <c r="T369" i="56"/>
  <c r="T370" i="56"/>
  <c r="T371" i="56"/>
  <c r="T372" i="56"/>
  <c r="T373" i="56"/>
  <c r="T374" i="56"/>
  <c r="T375" i="56"/>
  <c r="T376" i="56"/>
  <c r="T377" i="56"/>
  <c r="T378" i="56"/>
  <c r="T379" i="56"/>
  <c r="T380" i="56"/>
  <c r="T381" i="56"/>
  <c r="T382" i="56"/>
  <c r="T383" i="56"/>
  <c r="T384" i="56"/>
  <c r="T385" i="56"/>
  <c r="T386" i="56"/>
  <c r="T387" i="56"/>
  <c r="T388" i="56"/>
  <c r="T389" i="56"/>
  <c r="T290" i="56"/>
  <c r="F399" i="56"/>
  <c r="C415" i="56"/>
  <c r="C414" i="56"/>
  <c r="C413" i="56"/>
  <c r="C412" i="56"/>
  <c r="C411" i="56"/>
  <c r="C410" i="56"/>
  <c r="C409" i="56"/>
  <c r="C408" i="56"/>
  <c r="K135" i="58" l="1"/>
  <c r="S142" i="56"/>
  <c r="S19" i="20" l="1"/>
  <c r="R19" i="20"/>
  <c r="O19" i="20"/>
  <c r="M16" i="20"/>
  <c r="K20" i="20" l="1"/>
  <c r="J20" i="20"/>
  <c r="H20" i="20"/>
  <c r="G20" i="20"/>
  <c r="I20" i="20"/>
  <c r="B574" i="19"/>
  <c r="B570" i="19"/>
  <c r="B571" i="19"/>
  <c r="B572" i="19"/>
  <c r="B573" i="19"/>
  <c r="B569" i="19"/>
  <c r="F20" i="20" l="1"/>
  <c r="C10" i="13" l="1"/>
  <c r="D10" i="13" s="1"/>
  <c r="B40" i="13" l="1"/>
  <c r="C40" i="13"/>
  <c r="D40" i="13" s="1"/>
  <c r="B39" i="13"/>
  <c r="C39" i="13"/>
  <c r="D39" i="13" s="1"/>
  <c r="B38" i="13"/>
  <c r="C38" i="13"/>
  <c r="D38" i="13" s="1"/>
  <c r="B37" i="13"/>
  <c r="C37" i="13"/>
  <c r="D37" i="13" s="1"/>
  <c r="B36" i="13"/>
  <c r="C36" i="13"/>
  <c r="D36" i="13" s="1"/>
  <c r="B35" i="13"/>
  <c r="C35" i="13"/>
  <c r="D35" i="13" s="1"/>
  <c r="B34" i="13"/>
  <c r="C34" i="13"/>
  <c r="D34" i="13" s="1"/>
  <c r="B33" i="13"/>
  <c r="C33" i="13"/>
  <c r="D33" i="13" s="1"/>
  <c r="B32" i="13"/>
  <c r="C32" i="13"/>
  <c r="D32" i="13" s="1"/>
  <c r="B31" i="13"/>
  <c r="C31" i="13"/>
  <c r="D31" i="13" s="1"/>
  <c r="B30" i="13"/>
  <c r="C30" i="13"/>
  <c r="D30" i="13" s="1"/>
  <c r="B29" i="13"/>
  <c r="C29" i="13"/>
  <c r="D29" i="13" s="1"/>
  <c r="B28" i="13"/>
  <c r="C28" i="13"/>
  <c r="D28" i="13" s="1"/>
  <c r="B27" i="13"/>
  <c r="B23" i="13"/>
  <c r="C23" i="13"/>
  <c r="D23" i="13" s="1"/>
  <c r="B26" i="13"/>
  <c r="C26" i="13"/>
  <c r="D26" i="13" s="1"/>
  <c r="B25" i="13"/>
  <c r="B24" i="13"/>
  <c r="C24" i="13"/>
  <c r="D24" i="13" s="1"/>
  <c r="B22" i="13"/>
  <c r="C22" i="13"/>
  <c r="D22" i="13" s="1"/>
  <c r="B19" i="13"/>
  <c r="B20" i="13"/>
  <c r="B21" i="13"/>
  <c r="C21" i="13"/>
  <c r="D21" i="13" s="1"/>
  <c r="C20" i="13"/>
  <c r="D20" i="13" s="1"/>
  <c r="C19" i="13"/>
  <c r="D19" i="13" s="1"/>
  <c r="B18" i="13"/>
  <c r="C18" i="13"/>
  <c r="D18" i="13" s="1"/>
  <c r="B17" i="13"/>
  <c r="C17" i="13"/>
  <c r="D17" i="13" s="1"/>
  <c r="B16" i="13"/>
  <c r="C16" i="13"/>
  <c r="D16" i="13" s="1"/>
  <c r="B15" i="13"/>
  <c r="C15" i="13"/>
  <c r="D15" i="13" s="1"/>
  <c r="B14" i="13"/>
  <c r="C14" i="13"/>
  <c r="D14" i="13" s="1"/>
  <c r="B13" i="13"/>
  <c r="C13" i="13"/>
  <c r="D13" i="13" s="1"/>
  <c r="B12" i="13"/>
  <c r="C12" i="13"/>
  <c r="D12" i="13" s="1"/>
  <c r="B11" i="13"/>
  <c r="C11" i="13"/>
  <c r="D11" i="13" s="1"/>
  <c r="B10" i="13"/>
  <c r="B406" i="3"/>
  <c r="B407" i="3"/>
  <c r="B405" i="3"/>
  <c r="D27" i="2"/>
  <c r="B32" i="35"/>
  <c r="B31" i="35"/>
  <c r="G12" i="16" l="1"/>
  <c r="F12" i="16"/>
  <c r="E12" i="16"/>
  <c r="L134" i="15"/>
  <c r="D9" i="41" l="1"/>
  <c r="D37" i="36"/>
  <c r="D36" i="36"/>
  <c r="D22" i="53"/>
  <c r="E22" i="53" s="1"/>
  <c r="A11" i="53"/>
  <c r="A10" i="53"/>
  <c r="A9" i="53"/>
  <c r="C25" i="58"/>
  <c r="D25" i="58"/>
  <c r="C26" i="58"/>
  <c r="D26" i="58"/>
  <c r="D24" i="58"/>
  <c r="C24" i="58"/>
  <c r="G143" i="58"/>
  <c r="H143" i="58"/>
  <c r="H137" i="46"/>
  <c r="K32" i="46"/>
  <c r="K52" i="46"/>
  <c r="K56" i="46"/>
  <c r="K72" i="46"/>
  <c r="K88" i="46"/>
  <c r="K124" i="46"/>
  <c r="R35" i="15"/>
  <c r="R36" i="15"/>
  <c r="R37" i="15"/>
  <c r="R38" i="15"/>
  <c r="R39" i="15"/>
  <c r="R40" i="15"/>
  <c r="R41" i="15"/>
  <c r="R42" i="15"/>
  <c r="R43" i="15"/>
  <c r="R44" i="15"/>
  <c r="R45" i="15"/>
  <c r="R46" i="15"/>
  <c r="R47" i="15"/>
  <c r="R48" i="15"/>
  <c r="R49" i="15"/>
  <c r="R50" i="15"/>
  <c r="R51" i="15"/>
  <c r="R52" i="15"/>
  <c r="R53" i="15"/>
  <c r="R54" i="15"/>
  <c r="R55" i="15"/>
  <c r="R56" i="15"/>
  <c r="R57" i="15"/>
  <c r="R58" i="15"/>
  <c r="R59" i="15"/>
  <c r="R60" i="15"/>
  <c r="R61" i="15"/>
  <c r="R62" i="15"/>
  <c r="R63" i="15"/>
  <c r="R64" i="15"/>
  <c r="R65" i="15"/>
  <c r="R66" i="15"/>
  <c r="R67" i="15"/>
  <c r="R68" i="15"/>
  <c r="R69" i="15"/>
  <c r="R70" i="15"/>
  <c r="R71" i="15"/>
  <c r="R72" i="15"/>
  <c r="R73" i="15"/>
  <c r="R74" i="15"/>
  <c r="R75" i="15"/>
  <c r="R76" i="15"/>
  <c r="R77" i="15"/>
  <c r="R78" i="15"/>
  <c r="R79" i="15"/>
  <c r="R80" i="15"/>
  <c r="R81" i="15"/>
  <c r="R82" i="15"/>
  <c r="R83" i="15"/>
  <c r="R84" i="15"/>
  <c r="R85" i="15"/>
  <c r="R86" i="15"/>
  <c r="R87" i="15"/>
  <c r="R88" i="15"/>
  <c r="R89" i="15"/>
  <c r="R90" i="15"/>
  <c r="R91" i="15"/>
  <c r="R92" i="15"/>
  <c r="R93" i="15"/>
  <c r="R94" i="15"/>
  <c r="R95" i="15"/>
  <c r="R96" i="15"/>
  <c r="R97" i="15"/>
  <c r="R98" i="15"/>
  <c r="R99" i="15"/>
  <c r="R100" i="15"/>
  <c r="R101" i="15"/>
  <c r="R102" i="15"/>
  <c r="R103" i="15"/>
  <c r="R104" i="15"/>
  <c r="R105" i="15"/>
  <c r="R106" i="15"/>
  <c r="R107" i="15"/>
  <c r="R108" i="15"/>
  <c r="R109" i="15"/>
  <c r="R110" i="15"/>
  <c r="R111" i="15"/>
  <c r="R112" i="15"/>
  <c r="R113" i="15"/>
  <c r="R114" i="15"/>
  <c r="R115" i="15"/>
  <c r="R116" i="15"/>
  <c r="R117" i="15"/>
  <c r="R118" i="15"/>
  <c r="R119" i="15"/>
  <c r="R120" i="15"/>
  <c r="R121" i="15"/>
  <c r="R122" i="15"/>
  <c r="R123" i="15"/>
  <c r="R124" i="15"/>
  <c r="R125" i="15"/>
  <c r="R126" i="15"/>
  <c r="R127" i="15"/>
  <c r="R128" i="15"/>
  <c r="R129" i="15"/>
  <c r="R130" i="15"/>
  <c r="R131" i="15"/>
  <c r="R132" i="15"/>
  <c r="R133" i="15"/>
  <c r="R34" i="15"/>
  <c r="K33" i="46"/>
  <c r="K34" i="46"/>
  <c r="F36" i="46"/>
  <c r="F37" i="46"/>
  <c r="F38" i="46"/>
  <c r="F39" i="46"/>
  <c r="F40" i="46"/>
  <c r="F41" i="46"/>
  <c r="F42" i="46"/>
  <c r="F43" i="46"/>
  <c r="F44" i="46"/>
  <c r="F45" i="46"/>
  <c r="F46" i="46"/>
  <c r="F47" i="46"/>
  <c r="F48" i="46"/>
  <c r="F49" i="46"/>
  <c r="F50" i="46"/>
  <c r="F51" i="46"/>
  <c r="F52" i="46"/>
  <c r="F53" i="46"/>
  <c r="F54" i="46"/>
  <c r="F55" i="46"/>
  <c r="F56" i="46"/>
  <c r="F57" i="46"/>
  <c r="F58" i="46"/>
  <c r="F59" i="46"/>
  <c r="F60" i="46"/>
  <c r="F61" i="46"/>
  <c r="F62" i="46"/>
  <c r="F63" i="46"/>
  <c r="F64" i="46"/>
  <c r="F65" i="46"/>
  <c r="F66" i="46"/>
  <c r="F67" i="46"/>
  <c r="F68" i="46"/>
  <c r="F69" i="46"/>
  <c r="F70" i="46"/>
  <c r="F71" i="46"/>
  <c r="F72" i="46"/>
  <c r="F73" i="46"/>
  <c r="F74" i="46"/>
  <c r="F75" i="46"/>
  <c r="F76" i="46"/>
  <c r="F77" i="46"/>
  <c r="F78" i="46"/>
  <c r="F79" i="46"/>
  <c r="F80" i="46"/>
  <c r="F81" i="46"/>
  <c r="F82" i="46"/>
  <c r="F83" i="46"/>
  <c r="F84" i="46"/>
  <c r="F85" i="46"/>
  <c r="F86" i="46"/>
  <c r="F87" i="46"/>
  <c r="F88" i="46"/>
  <c r="F89" i="46"/>
  <c r="F90" i="46"/>
  <c r="F91" i="46"/>
  <c r="F92" i="46"/>
  <c r="F93" i="46"/>
  <c r="F94" i="46"/>
  <c r="F95" i="46"/>
  <c r="F96" i="46"/>
  <c r="F97" i="46"/>
  <c r="F98" i="46"/>
  <c r="F99" i="46"/>
  <c r="F100" i="46"/>
  <c r="F101" i="46"/>
  <c r="F102" i="46"/>
  <c r="F103" i="46"/>
  <c r="F104" i="46"/>
  <c r="F105" i="46"/>
  <c r="F106" i="46"/>
  <c r="F107" i="46"/>
  <c r="F108" i="46"/>
  <c r="F109" i="46"/>
  <c r="F110" i="46"/>
  <c r="F111" i="46"/>
  <c r="F112" i="46"/>
  <c r="F113" i="46"/>
  <c r="F114" i="46"/>
  <c r="F115" i="46"/>
  <c r="F116" i="46"/>
  <c r="F117" i="46"/>
  <c r="F118" i="46"/>
  <c r="F119" i="46"/>
  <c r="F120" i="46"/>
  <c r="F121" i="46"/>
  <c r="F122" i="46"/>
  <c r="F123" i="46"/>
  <c r="F124" i="46"/>
  <c r="F125" i="46"/>
  <c r="F126" i="46"/>
  <c r="F127" i="46"/>
  <c r="F128" i="46"/>
  <c r="D17" i="49"/>
  <c r="F17" i="49"/>
  <c r="F32" i="46" s="1"/>
  <c r="D18" i="49"/>
  <c r="H18" i="49"/>
  <c r="D19" i="49"/>
  <c r="H19" i="49"/>
  <c r="F9" i="49"/>
  <c r="F10" i="49"/>
  <c r="F11" i="49"/>
  <c r="F29" i="46" s="1"/>
  <c r="F12" i="49"/>
  <c r="F13" i="49"/>
  <c r="F30" i="46" s="1"/>
  <c r="F14" i="49"/>
  <c r="F15" i="49"/>
  <c r="F31" i="46" s="1"/>
  <c r="F16" i="49"/>
  <c r="F20" i="49"/>
  <c r="H20" i="49"/>
  <c r="D20" i="49"/>
  <c r="H144" i="58" l="1"/>
  <c r="I67" i="12" s="1"/>
  <c r="G144" i="58"/>
  <c r="G67" i="12" s="1"/>
  <c r="H138" i="46"/>
  <c r="I60" i="12" s="1"/>
  <c r="F67" i="12"/>
  <c r="H67" i="12"/>
  <c r="H60" i="12"/>
  <c r="F35" i="46"/>
  <c r="K123" i="46"/>
  <c r="K119" i="46"/>
  <c r="K117" i="46"/>
  <c r="K95" i="46"/>
  <c r="K93" i="46"/>
  <c r="K91" i="46"/>
  <c r="K81" i="46"/>
  <c r="K79" i="46"/>
  <c r="K67" i="46"/>
  <c r="K65" i="46"/>
  <c r="K55" i="46"/>
  <c r="K100" i="46"/>
  <c r="K35" i="46"/>
  <c r="K37" i="46"/>
  <c r="K53" i="46"/>
  <c r="K113" i="46"/>
  <c r="K101" i="46"/>
  <c r="K85" i="46"/>
  <c r="K83" i="46"/>
  <c r="K71" i="46"/>
  <c r="K104" i="46"/>
  <c r="K54" i="46"/>
  <c r="K121" i="46"/>
  <c r="K108" i="46"/>
  <c r="K105" i="46"/>
  <c r="K103" i="46"/>
  <c r="K87" i="46"/>
  <c r="K61" i="46"/>
  <c r="K57" i="46"/>
  <c r="K116" i="46"/>
  <c r="K111" i="46"/>
  <c r="K96" i="46"/>
  <c r="K80" i="46"/>
  <c r="K77" i="46"/>
  <c r="K64" i="46"/>
  <c r="K69" i="46"/>
  <c r="K128" i="46"/>
  <c r="K120" i="46"/>
  <c r="K112" i="46"/>
  <c r="K109" i="46"/>
  <c r="K99" i="46"/>
  <c r="K75" i="46"/>
  <c r="K73" i="46"/>
  <c r="K68" i="46"/>
  <c r="K60" i="46"/>
  <c r="K115" i="46"/>
  <c r="K107" i="46"/>
  <c r="K97" i="46"/>
  <c r="K92" i="46"/>
  <c r="K89" i="46"/>
  <c r="K84" i="46"/>
  <c r="K76" i="46"/>
  <c r="K36" i="46"/>
  <c r="K39" i="46"/>
  <c r="K38" i="46"/>
  <c r="K125" i="46"/>
  <c r="K58" i="46"/>
  <c r="K62" i="46"/>
  <c r="K70" i="46"/>
  <c r="K78" i="46"/>
  <c r="K82" i="46"/>
  <c r="K86" i="46"/>
  <c r="K90" i="46"/>
  <c r="K94" i="46"/>
  <c r="K98" i="46"/>
  <c r="K102" i="46"/>
  <c r="K106" i="46"/>
  <c r="K110" i="46"/>
  <c r="K114" i="46"/>
  <c r="K118" i="46"/>
  <c r="K122" i="46"/>
  <c r="K127" i="46"/>
  <c r="K66" i="46"/>
  <c r="K74" i="46"/>
  <c r="K59" i="46"/>
  <c r="K63" i="46"/>
  <c r="K126" i="46"/>
  <c r="K42" i="46"/>
  <c r="K46" i="46"/>
  <c r="K50" i="46"/>
  <c r="K49" i="46"/>
  <c r="K45" i="46"/>
  <c r="K48" i="46"/>
  <c r="K44" i="46"/>
  <c r="K40" i="46"/>
  <c r="K41" i="46"/>
  <c r="K51" i="46"/>
  <c r="K47" i="46"/>
  <c r="K43" i="46"/>
  <c r="F18" i="49"/>
  <c r="H45" i="12"/>
  <c r="F16" i="12" s="1"/>
  <c r="I16" i="12" s="1"/>
  <c r="F45" i="12"/>
  <c r="E16" i="12" s="1"/>
  <c r="H16" i="12" s="1"/>
  <c r="D45" i="12"/>
  <c r="D16" i="12" s="1"/>
  <c r="G16" i="12" s="1"/>
  <c r="D35" i="36"/>
  <c r="F19" i="49" l="1"/>
  <c r="F33" i="46"/>
  <c r="F250" i="41"/>
  <c r="B11" i="42"/>
  <c r="B12" i="42"/>
  <c r="B13" i="42"/>
  <c r="B14" i="42"/>
  <c r="B15" i="42"/>
  <c r="B16" i="42"/>
  <c r="B17" i="42"/>
  <c r="B18" i="42"/>
  <c r="B19" i="42"/>
  <c r="B20" i="42"/>
  <c r="B21" i="42"/>
  <c r="B22" i="42"/>
  <c r="B23" i="42"/>
  <c r="B24" i="42"/>
  <c r="B25" i="42"/>
  <c r="B26" i="42"/>
  <c r="B27" i="42"/>
  <c r="B28" i="42"/>
  <c r="B29" i="42"/>
  <c r="B30" i="42"/>
  <c r="B31" i="42"/>
  <c r="B32" i="42"/>
  <c r="B33" i="42"/>
  <c r="B34" i="42"/>
  <c r="B35" i="42"/>
  <c r="B36" i="42"/>
  <c r="B37" i="42"/>
  <c r="B38" i="42"/>
  <c r="B39" i="42"/>
  <c r="B40" i="42"/>
  <c r="B41" i="42"/>
  <c r="B42" i="42"/>
  <c r="B43" i="42"/>
  <c r="B44" i="42"/>
  <c r="B45" i="42"/>
  <c r="B46" i="42"/>
  <c r="B47" i="42"/>
  <c r="B48" i="42"/>
  <c r="B49" i="42"/>
  <c r="B50" i="42"/>
  <c r="B51" i="42"/>
  <c r="B52" i="42"/>
  <c r="B53" i="42"/>
  <c r="B54" i="42"/>
  <c r="B55" i="42"/>
  <c r="B56" i="42"/>
  <c r="B57" i="42"/>
  <c r="B58" i="42"/>
  <c r="B59" i="42"/>
  <c r="B60" i="42"/>
  <c r="B61" i="42"/>
  <c r="B62" i="42"/>
  <c r="B63" i="42"/>
  <c r="B64" i="42"/>
  <c r="B65" i="42"/>
  <c r="B66" i="42"/>
  <c r="B67" i="42"/>
  <c r="B68" i="42"/>
  <c r="B69" i="42"/>
  <c r="B70" i="42"/>
  <c r="B71" i="42"/>
  <c r="B72" i="42"/>
  <c r="B73" i="42"/>
  <c r="B74" i="42"/>
  <c r="B75" i="42"/>
  <c r="B76" i="42"/>
  <c r="B77" i="42"/>
  <c r="B78" i="42"/>
  <c r="B79" i="42"/>
  <c r="B80" i="42"/>
  <c r="B81" i="42"/>
  <c r="B82" i="42"/>
  <c r="B83" i="42"/>
  <c r="B84" i="42"/>
  <c r="B85" i="42"/>
  <c r="B86" i="42"/>
  <c r="B87" i="42"/>
  <c r="B88" i="42"/>
  <c r="B89" i="42"/>
  <c r="B90" i="42"/>
  <c r="B91" i="42"/>
  <c r="B92" i="42"/>
  <c r="B93" i="42"/>
  <c r="B94" i="42"/>
  <c r="B95" i="42"/>
  <c r="B96" i="42"/>
  <c r="B97" i="42"/>
  <c r="B98" i="42"/>
  <c r="B99" i="42"/>
  <c r="B100" i="42"/>
  <c r="B101" i="42"/>
  <c r="B102" i="42"/>
  <c r="B103" i="42"/>
  <c r="B104" i="42"/>
  <c r="B105" i="42"/>
  <c r="B106" i="42"/>
  <c r="B107" i="42"/>
  <c r="B108" i="42"/>
  <c r="B109" i="42"/>
  <c r="B10" i="42"/>
  <c r="F9" i="42"/>
  <c r="G255" i="41" s="1"/>
  <c r="E9" i="42"/>
  <c r="F255" i="41" s="1"/>
  <c r="D9" i="42"/>
  <c r="E255" i="41" s="1"/>
  <c r="J250" i="41"/>
  <c r="H257" i="41" s="1"/>
  <c r="F37" i="41"/>
  <c r="E42" i="41"/>
  <c r="E43" i="41"/>
  <c r="E44" i="41"/>
  <c r="E45" i="41"/>
  <c r="E46" i="41"/>
  <c r="E47" i="41"/>
  <c r="E48" i="41"/>
  <c r="E49" i="41"/>
  <c r="E50" i="41"/>
  <c r="E51" i="41"/>
  <c r="E52" i="41"/>
  <c r="E53" i="41"/>
  <c r="E54" i="41"/>
  <c r="E55" i="41"/>
  <c r="E56" i="41"/>
  <c r="E57" i="41"/>
  <c r="E58" i="41"/>
  <c r="E59" i="41"/>
  <c r="E60" i="41"/>
  <c r="E61" i="41"/>
  <c r="E62" i="41"/>
  <c r="E63" i="41"/>
  <c r="E64" i="41"/>
  <c r="E65" i="41"/>
  <c r="E66" i="41"/>
  <c r="E67" i="41"/>
  <c r="E68" i="41"/>
  <c r="E69" i="41"/>
  <c r="E70" i="41"/>
  <c r="E71" i="41"/>
  <c r="E72" i="41"/>
  <c r="E73" i="41"/>
  <c r="E74" i="41"/>
  <c r="E75" i="41"/>
  <c r="E76" i="41"/>
  <c r="E77" i="41"/>
  <c r="E78" i="41"/>
  <c r="E79" i="41"/>
  <c r="E80" i="41"/>
  <c r="E81" i="41"/>
  <c r="E82" i="41"/>
  <c r="E83" i="41"/>
  <c r="E84" i="41"/>
  <c r="E85" i="41"/>
  <c r="E86" i="41"/>
  <c r="E87" i="41"/>
  <c r="E88" i="41"/>
  <c r="E89" i="41"/>
  <c r="E90" i="41"/>
  <c r="E91" i="41"/>
  <c r="E92" i="41"/>
  <c r="E93" i="41"/>
  <c r="E94" i="41"/>
  <c r="E95" i="41"/>
  <c r="E96" i="41"/>
  <c r="E97" i="41"/>
  <c r="E98" i="41"/>
  <c r="E99" i="41"/>
  <c r="E100" i="41"/>
  <c r="E101" i="41"/>
  <c r="E102" i="41"/>
  <c r="E103" i="41"/>
  <c r="E104" i="41"/>
  <c r="E105" i="41"/>
  <c r="E106" i="41"/>
  <c r="E107" i="41"/>
  <c r="E108" i="41"/>
  <c r="E109" i="41"/>
  <c r="E110" i="41"/>
  <c r="E111" i="41"/>
  <c r="E112" i="41"/>
  <c r="E113" i="41"/>
  <c r="E114" i="41"/>
  <c r="E115" i="41"/>
  <c r="E116" i="41"/>
  <c r="E117" i="41"/>
  <c r="E118" i="41"/>
  <c r="E119" i="41"/>
  <c r="E120" i="41"/>
  <c r="E121" i="41"/>
  <c r="E122" i="41"/>
  <c r="E123" i="41"/>
  <c r="E124" i="41"/>
  <c r="E125" i="41"/>
  <c r="E126" i="41"/>
  <c r="E127" i="41"/>
  <c r="E128" i="41"/>
  <c r="E129" i="41"/>
  <c r="E33" i="41"/>
  <c r="E34" i="41"/>
  <c r="E35" i="41"/>
  <c r="E36" i="41"/>
  <c r="E37" i="41"/>
  <c r="E38" i="41"/>
  <c r="E39" i="41"/>
  <c r="E40" i="41"/>
  <c r="E41" i="41"/>
  <c r="C14" i="26"/>
  <c r="H19" i="26" s="1"/>
  <c r="B16" i="26"/>
  <c r="G258" i="25" s="1"/>
  <c r="B15" i="26"/>
  <c r="F258" i="25" s="1"/>
  <c r="B14" i="26"/>
  <c r="E258" i="25" s="1"/>
  <c r="E265" i="25" s="1"/>
  <c r="D33" i="2"/>
  <c r="M390" i="56"/>
  <c r="M142" i="56"/>
  <c r="I150" i="57"/>
  <c r="K150" i="57" s="1"/>
  <c r="H150" i="57"/>
  <c r="J150" i="57" s="1"/>
  <c r="I48" i="57"/>
  <c r="K48" i="57" s="1"/>
  <c r="H48" i="57"/>
  <c r="J48" i="57" s="1"/>
  <c r="F109" i="41" l="1"/>
  <c r="F85" i="41"/>
  <c r="F45" i="41"/>
  <c r="F108" i="41"/>
  <c r="F92" i="41"/>
  <c r="F68" i="41"/>
  <c r="F52" i="41"/>
  <c r="F115" i="41"/>
  <c r="F99" i="41"/>
  <c r="F75" i="41"/>
  <c r="F67" i="41"/>
  <c r="F59" i="41"/>
  <c r="F43" i="41"/>
  <c r="F122" i="41"/>
  <c r="F106" i="41"/>
  <c r="F82" i="41"/>
  <c r="F66" i="41"/>
  <c r="F50" i="41"/>
  <c r="F34" i="41"/>
  <c r="F129" i="41"/>
  <c r="F121" i="41"/>
  <c r="F113" i="41"/>
  <c r="F105" i="41"/>
  <c r="F97" i="41"/>
  <c r="F89" i="41"/>
  <c r="F81" i="41"/>
  <c r="F73" i="41"/>
  <c r="F65" i="41"/>
  <c r="F57" i="41"/>
  <c r="F49" i="41"/>
  <c r="F41" i="41"/>
  <c r="F33" i="41"/>
  <c r="F117" i="41"/>
  <c r="F101" i="41"/>
  <c r="F77" i="41"/>
  <c r="F69" i="41"/>
  <c r="F61" i="41"/>
  <c r="F116" i="41"/>
  <c r="F100" i="41"/>
  <c r="F76" i="41"/>
  <c r="F60" i="41"/>
  <c r="F36" i="41"/>
  <c r="F123" i="41"/>
  <c r="F107" i="41"/>
  <c r="F83" i="41"/>
  <c r="F35" i="41"/>
  <c r="F114" i="41"/>
  <c r="F98" i="41"/>
  <c r="F74" i="41"/>
  <c r="F58" i="41"/>
  <c r="F42" i="41"/>
  <c r="F128" i="41"/>
  <c r="F120" i="41"/>
  <c r="F112" i="41"/>
  <c r="F104" i="41"/>
  <c r="F96" i="41"/>
  <c r="F88" i="41"/>
  <c r="F80" i="41"/>
  <c r="F72" i="41"/>
  <c r="F64" i="41"/>
  <c r="F56" i="41"/>
  <c r="F48" i="41"/>
  <c r="F40" i="41"/>
  <c r="F127" i="41"/>
  <c r="F119" i="41"/>
  <c r="F111" i="41"/>
  <c r="F103" i="41"/>
  <c r="F95" i="41"/>
  <c r="F87" i="41"/>
  <c r="F79" i="41"/>
  <c r="F71" i="41"/>
  <c r="F63" i="41"/>
  <c r="F55" i="41"/>
  <c r="F47" i="41"/>
  <c r="F39" i="41"/>
  <c r="F125" i="41"/>
  <c r="F93" i="41"/>
  <c r="F53" i="41"/>
  <c r="F124" i="41"/>
  <c r="F84" i="41"/>
  <c r="F44" i="41"/>
  <c r="F91" i="41"/>
  <c r="F51" i="41"/>
  <c r="F90" i="41"/>
  <c r="F126" i="41"/>
  <c r="F118" i="41"/>
  <c r="F110" i="41"/>
  <c r="F102" i="41"/>
  <c r="F94" i="41"/>
  <c r="F86" i="41"/>
  <c r="F78" i="41"/>
  <c r="F70" i="41"/>
  <c r="F62" i="41"/>
  <c r="F54" i="41"/>
  <c r="F46" i="41"/>
  <c r="F38" i="41"/>
  <c r="D399" i="3"/>
  <c r="E559" i="19" s="1"/>
  <c r="E188" i="17" s="1"/>
  <c r="W169" i="56"/>
  <c r="D53" i="26"/>
  <c r="E53" i="26"/>
  <c r="F53" i="26"/>
  <c r="F34" i="46"/>
  <c r="D39" i="57"/>
  <c r="D40" i="57"/>
  <c r="D41" i="57"/>
  <c r="D42" i="57"/>
  <c r="D38" i="57"/>
  <c r="D37" i="57"/>
  <c r="P390" i="56"/>
  <c r="Q390" i="56"/>
  <c r="O390" i="56"/>
  <c r="B38" i="57"/>
  <c r="H47" i="57" s="1"/>
  <c r="B39" i="57"/>
  <c r="J47" i="57" s="1"/>
  <c r="B37" i="57"/>
  <c r="K294" i="56" l="1"/>
  <c r="K293" i="56"/>
  <c r="K300" i="56"/>
  <c r="K292" i="56"/>
  <c r="K299" i="56"/>
  <c r="K290" i="56"/>
  <c r="K295" i="56"/>
  <c r="K298" i="56"/>
  <c r="K296" i="56"/>
  <c r="T167" i="56"/>
  <c r="W167" i="56"/>
  <c r="E568" i="19"/>
  <c r="W191" i="56"/>
  <c r="T191" i="56"/>
  <c r="W240" i="56"/>
  <c r="T240" i="56"/>
  <c r="T205" i="56"/>
  <c r="W205" i="56"/>
  <c r="T262" i="56"/>
  <c r="W262" i="56"/>
  <c r="T183" i="56"/>
  <c r="W183" i="56"/>
  <c r="W256" i="56"/>
  <c r="T256" i="56"/>
  <c r="T194" i="56"/>
  <c r="W194" i="56"/>
  <c r="T264" i="56"/>
  <c r="W264" i="56"/>
  <c r="T185" i="56"/>
  <c r="W185" i="56"/>
  <c r="T192" i="56"/>
  <c r="W192" i="56"/>
  <c r="W170" i="56"/>
  <c r="T170" i="56"/>
  <c r="T255" i="56"/>
  <c r="W255" i="56"/>
  <c r="W247" i="56"/>
  <c r="T247" i="56"/>
  <c r="W266" i="56"/>
  <c r="T266" i="56"/>
  <c r="T188" i="56"/>
  <c r="W188" i="56"/>
  <c r="T223" i="56"/>
  <c r="W223" i="56"/>
  <c r="T174" i="56"/>
  <c r="W174" i="56"/>
  <c r="T263" i="56"/>
  <c r="W263" i="56"/>
  <c r="W176" i="56"/>
  <c r="T176" i="56"/>
  <c r="T242" i="56"/>
  <c r="W242" i="56"/>
  <c r="W186" i="56"/>
  <c r="T186" i="56"/>
  <c r="T214" i="56"/>
  <c r="W214" i="56"/>
  <c r="W220" i="56"/>
  <c r="T220" i="56"/>
  <c r="W225" i="56"/>
  <c r="T225" i="56"/>
  <c r="W249" i="56"/>
  <c r="T249" i="56"/>
  <c r="T236" i="56"/>
  <c r="W236" i="56"/>
  <c r="W198" i="56"/>
  <c r="T198" i="56"/>
  <c r="T265" i="56"/>
  <c r="W265" i="56"/>
  <c r="W168" i="56"/>
  <c r="T168" i="56"/>
  <c r="W233" i="56"/>
  <c r="T233" i="56"/>
  <c r="T257" i="56"/>
  <c r="W257" i="56"/>
  <c r="T208" i="56"/>
  <c r="W208" i="56"/>
  <c r="W178" i="56"/>
  <c r="T178" i="56"/>
  <c r="T219" i="56"/>
  <c r="W219" i="56"/>
  <c r="W177" i="56"/>
  <c r="T177" i="56"/>
  <c r="T230" i="56"/>
  <c r="W230" i="56"/>
  <c r="W250" i="56"/>
  <c r="T250" i="56"/>
  <c r="W204" i="56"/>
  <c r="T204" i="56"/>
  <c r="T258" i="56"/>
  <c r="W258" i="56"/>
  <c r="W232" i="56"/>
  <c r="T232" i="56"/>
  <c r="W248" i="56"/>
  <c r="T248" i="56"/>
  <c r="T252" i="56"/>
  <c r="W252" i="56"/>
  <c r="T238" i="56"/>
  <c r="W238" i="56"/>
  <c r="W245" i="56"/>
  <c r="T245" i="56"/>
  <c r="T202" i="56"/>
  <c r="W202" i="56"/>
  <c r="W173" i="56"/>
  <c r="T173" i="56"/>
  <c r="T213" i="56"/>
  <c r="W213" i="56"/>
  <c r="T172" i="56"/>
  <c r="W172" i="56"/>
  <c r="T224" i="56"/>
  <c r="W224" i="56"/>
  <c r="T261" i="56"/>
  <c r="W261" i="56"/>
  <c r="T211" i="56"/>
  <c r="W211" i="56"/>
  <c r="T237" i="56"/>
  <c r="W237" i="56"/>
  <c r="T226" i="56"/>
  <c r="W226" i="56"/>
  <c r="T246" i="56"/>
  <c r="W246" i="56"/>
  <c r="W217" i="56"/>
  <c r="T217" i="56"/>
  <c r="T234" i="56"/>
  <c r="W234" i="56"/>
  <c r="T196" i="56"/>
  <c r="W196" i="56"/>
  <c r="T207" i="56"/>
  <c r="W207" i="56"/>
  <c r="W218" i="56"/>
  <c r="T218" i="56"/>
  <c r="T260" i="56"/>
  <c r="W260" i="56"/>
  <c r="T244" i="56"/>
  <c r="W244" i="56"/>
  <c r="W229" i="56"/>
  <c r="T229" i="56"/>
  <c r="W210" i="56"/>
  <c r="T210" i="56"/>
  <c r="T251" i="56"/>
  <c r="W251" i="56"/>
  <c r="T231" i="56"/>
  <c r="W231" i="56"/>
  <c r="W239" i="56"/>
  <c r="T239" i="56"/>
  <c r="W221" i="56"/>
  <c r="T221" i="56"/>
  <c r="W215" i="56"/>
  <c r="T215" i="56"/>
  <c r="T227" i="56"/>
  <c r="W227" i="56"/>
  <c r="W241" i="56"/>
  <c r="T241" i="56"/>
  <c r="T175" i="56"/>
  <c r="W175" i="56"/>
  <c r="W209" i="56"/>
  <c r="T209" i="56"/>
  <c r="W179" i="56"/>
  <c r="T179" i="56"/>
  <c r="W190" i="56"/>
  <c r="T190" i="56"/>
  <c r="W187" i="56"/>
  <c r="T187" i="56"/>
  <c r="W201" i="56"/>
  <c r="T201" i="56"/>
  <c r="T259" i="56"/>
  <c r="W259" i="56"/>
  <c r="W212" i="56"/>
  <c r="T212" i="56"/>
  <c r="W182" i="56"/>
  <c r="T182" i="56"/>
  <c r="T254" i="56"/>
  <c r="W254" i="56"/>
  <c r="W206" i="56"/>
  <c r="T206" i="56"/>
  <c r="W171" i="56"/>
  <c r="T171" i="56"/>
  <c r="T243" i="56"/>
  <c r="W243" i="56"/>
  <c r="T228" i="56"/>
  <c r="W228" i="56"/>
  <c r="W180" i="56"/>
  <c r="T180" i="56"/>
  <c r="T203" i="56"/>
  <c r="W203" i="56"/>
  <c r="W235" i="56"/>
  <c r="T235" i="56"/>
  <c r="T184" i="56"/>
  <c r="W184" i="56"/>
  <c r="W181" i="56"/>
  <c r="T181" i="56"/>
  <c r="W195" i="56"/>
  <c r="T195" i="56"/>
  <c r="T199" i="56"/>
  <c r="W199" i="56"/>
  <c r="T169" i="56"/>
  <c r="T197" i="56"/>
  <c r="W197" i="56"/>
  <c r="T193" i="56"/>
  <c r="W193" i="56"/>
  <c r="W253" i="56"/>
  <c r="T253" i="56"/>
  <c r="T216" i="56"/>
  <c r="W216" i="56"/>
  <c r="T189" i="56"/>
  <c r="W189" i="56"/>
  <c r="T222" i="56"/>
  <c r="W222" i="56"/>
  <c r="T200" i="56"/>
  <c r="W200" i="56"/>
  <c r="K297" i="56"/>
  <c r="G310" i="56"/>
  <c r="G322" i="56"/>
  <c r="G334" i="56"/>
  <c r="G346" i="56"/>
  <c r="G358" i="56"/>
  <c r="G370" i="56"/>
  <c r="G382" i="56"/>
  <c r="G299" i="56"/>
  <c r="G311" i="56"/>
  <c r="G323" i="56"/>
  <c r="G335" i="56"/>
  <c r="G347" i="56"/>
  <c r="G359" i="56"/>
  <c r="G371" i="56"/>
  <c r="G383" i="56"/>
  <c r="G300" i="56"/>
  <c r="G312" i="56"/>
  <c r="G324" i="56"/>
  <c r="G336" i="56"/>
  <c r="G348" i="56"/>
  <c r="G360" i="56"/>
  <c r="G372" i="56"/>
  <c r="G384" i="56"/>
  <c r="G301" i="56"/>
  <c r="G313" i="56"/>
  <c r="G325" i="56"/>
  <c r="G337" i="56"/>
  <c r="G349" i="56"/>
  <c r="G361" i="56"/>
  <c r="G373" i="56"/>
  <c r="G385" i="56"/>
  <c r="G302" i="56"/>
  <c r="G314" i="56"/>
  <c r="G326" i="56"/>
  <c r="G338" i="56"/>
  <c r="G362" i="56"/>
  <c r="G374" i="56"/>
  <c r="G386" i="56"/>
  <c r="K291" i="56"/>
  <c r="G303" i="56"/>
  <c r="G315" i="56"/>
  <c r="G327" i="56"/>
  <c r="G339" i="56"/>
  <c r="G351" i="56"/>
  <c r="G363" i="56"/>
  <c r="G375" i="56"/>
  <c r="G387" i="56"/>
  <c r="G304" i="56"/>
  <c r="G316" i="56"/>
  <c r="G328" i="56"/>
  <c r="G340" i="56"/>
  <c r="G352" i="56"/>
  <c r="G364" i="56"/>
  <c r="G376" i="56"/>
  <c r="G388" i="56"/>
  <c r="G317" i="56"/>
  <c r="G329" i="56"/>
  <c r="G353" i="56"/>
  <c r="G365" i="56"/>
  <c r="G389" i="56"/>
  <c r="G306" i="56"/>
  <c r="G330" i="56"/>
  <c r="G354" i="56"/>
  <c r="G366" i="56"/>
  <c r="G319" i="56"/>
  <c r="G343" i="56"/>
  <c r="G367" i="56"/>
  <c r="G308" i="56"/>
  <c r="G332" i="56"/>
  <c r="G368" i="56"/>
  <c r="G380" i="56"/>
  <c r="G321" i="56"/>
  <c r="G345" i="56"/>
  <c r="G357" i="56"/>
  <c r="G381" i="56"/>
  <c r="G350" i="56"/>
  <c r="G305" i="56"/>
  <c r="G341" i="56"/>
  <c r="G377" i="56"/>
  <c r="G318" i="56"/>
  <c r="G342" i="56"/>
  <c r="G378" i="56"/>
  <c r="G307" i="56"/>
  <c r="G331" i="56"/>
  <c r="G355" i="56"/>
  <c r="G379" i="56"/>
  <c r="G320" i="56"/>
  <c r="G344" i="56"/>
  <c r="G356" i="56"/>
  <c r="G309" i="56"/>
  <c r="G333" i="56"/>
  <c r="G369" i="56"/>
  <c r="L53" i="26"/>
  <c r="L155" i="26" s="1"/>
  <c r="J164" i="26" s="1"/>
  <c r="F155" i="26"/>
  <c r="G164" i="26" s="1"/>
  <c r="E155" i="26"/>
  <c r="F164" i="26" s="1"/>
  <c r="K53" i="26"/>
  <c r="K155" i="26" s="1"/>
  <c r="I164" i="26" s="1"/>
  <c r="D155" i="26"/>
  <c r="E164" i="26" s="1"/>
  <c r="J53" i="26"/>
  <c r="J155" i="26" s="1"/>
  <c r="H164" i="26" s="1"/>
  <c r="F141" i="15"/>
  <c r="F136" i="46"/>
  <c r="F142" i="58"/>
  <c r="F143" i="58" s="1"/>
  <c r="H397" i="56"/>
  <c r="G397" i="56"/>
  <c r="F397" i="56"/>
  <c r="F402" i="56" s="1"/>
  <c r="H399" i="56"/>
  <c r="F267" i="56"/>
  <c r="K267" i="56"/>
  <c r="M267" i="56"/>
  <c r="C116" i="32"/>
  <c r="N178" i="56" l="1"/>
  <c r="O178" i="56" s="1"/>
  <c r="N190" i="56"/>
  <c r="O190" i="56" s="1"/>
  <c r="N202" i="56"/>
  <c r="O202" i="56" s="1"/>
  <c r="N214" i="56"/>
  <c r="O214" i="56" s="1"/>
  <c r="N226" i="56"/>
  <c r="O226" i="56" s="1"/>
  <c r="N238" i="56"/>
  <c r="O238" i="56" s="1"/>
  <c r="N250" i="56"/>
  <c r="O250" i="56" s="1"/>
  <c r="N262" i="56"/>
  <c r="O262" i="56" s="1"/>
  <c r="N242" i="56"/>
  <c r="O242" i="56" s="1"/>
  <c r="N208" i="56"/>
  <c r="O208" i="56" s="1"/>
  <c r="N209" i="56"/>
  <c r="O209" i="56" s="1"/>
  <c r="N259" i="56"/>
  <c r="O259" i="56" s="1"/>
  <c r="N212" i="56"/>
  <c r="O212" i="56" s="1"/>
  <c r="N261" i="56"/>
  <c r="O261" i="56" s="1"/>
  <c r="N179" i="56"/>
  <c r="O179" i="56" s="1"/>
  <c r="N191" i="56"/>
  <c r="O191" i="56" s="1"/>
  <c r="N203" i="56"/>
  <c r="O203" i="56" s="1"/>
  <c r="N215" i="56"/>
  <c r="O215" i="56" s="1"/>
  <c r="N227" i="56"/>
  <c r="O227" i="56" s="1"/>
  <c r="N239" i="56"/>
  <c r="O239" i="56" s="1"/>
  <c r="N251" i="56"/>
  <c r="O251" i="56" s="1"/>
  <c r="N263" i="56"/>
  <c r="O263" i="56" s="1"/>
  <c r="N254" i="56"/>
  <c r="O254" i="56" s="1"/>
  <c r="N220" i="56"/>
  <c r="O220" i="56" s="1"/>
  <c r="N256" i="56"/>
  <c r="O256" i="56" s="1"/>
  <c r="N257" i="56"/>
  <c r="O257" i="56" s="1"/>
  <c r="N235" i="56"/>
  <c r="O235" i="56" s="1"/>
  <c r="N180" i="56"/>
  <c r="O180" i="56" s="1"/>
  <c r="N192" i="56"/>
  <c r="O192" i="56" s="1"/>
  <c r="N204" i="56"/>
  <c r="O204" i="56" s="1"/>
  <c r="N216" i="56"/>
  <c r="O216" i="56" s="1"/>
  <c r="N228" i="56"/>
  <c r="O228" i="56" s="1"/>
  <c r="N240" i="56"/>
  <c r="O240" i="56" s="1"/>
  <c r="N252" i="56"/>
  <c r="O252" i="56" s="1"/>
  <c r="N264" i="56"/>
  <c r="O264" i="56" s="1"/>
  <c r="N266" i="56"/>
  <c r="O266" i="56" s="1"/>
  <c r="N196" i="56"/>
  <c r="O196" i="56" s="1"/>
  <c r="N233" i="56"/>
  <c r="O233" i="56" s="1"/>
  <c r="N260" i="56"/>
  <c r="O260" i="56" s="1"/>
  <c r="O169" i="56"/>
  <c r="N181" i="56"/>
  <c r="O181" i="56" s="1"/>
  <c r="N193" i="56"/>
  <c r="O193" i="56" s="1"/>
  <c r="N205" i="56"/>
  <c r="O205" i="56" s="1"/>
  <c r="N217" i="56"/>
  <c r="O217" i="56" s="1"/>
  <c r="N229" i="56"/>
  <c r="O229" i="56" s="1"/>
  <c r="N241" i="56"/>
  <c r="O241" i="56" s="1"/>
  <c r="N253" i="56"/>
  <c r="O253" i="56" s="1"/>
  <c r="N265" i="56"/>
  <c r="O265" i="56" s="1"/>
  <c r="N255" i="56"/>
  <c r="O255" i="56" s="1"/>
  <c r="N232" i="56"/>
  <c r="O232" i="56" s="1"/>
  <c r="N197" i="56"/>
  <c r="O197" i="56" s="1"/>
  <c r="N248" i="56"/>
  <c r="O248" i="56" s="1"/>
  <c r="N237" i="56"/>
  <c r="O237" i="56" s="1"/>
  <c r="O170" i="56"/>
  <c r="N182" i="56"/>
  <c r="O182" i="56" s="1"/>
  <c r="N194" i="56"/>
  <c r="O194" i="56" s="1"/>
  <c r="N206" i="56"/>
  <c r="O206" i="56" s="1"/>
  <c r="N218" i="56"/>
  <c r="O218" i="56" s="1"/>
  <c r="N230" i="56"/>
  <c r="O230" i="56" s="1"/>
  <c r="N184" i="56"/>
  <c r="O184" i="56" s="1"/>
  <c r="N221" i="56"/>
  <c r="O221" i="56" s="1"/>
  <c r="N211" i="56"/>
  <c r="O211" i="56" s="1"/>
  <c r="N224" i="56"/>
  <c r="O224" i="56" s="1"/>
  <c r="N201" i="56"/>
  <c r="O201" i="56" s="1"/>
  <c r="O171" i="56"/>
  <c r="N183" i="56"/>
  <c r="O183" i="56" s="1"/>
  <c r="N195" i="56"/>
  <c r="O195" i="56" s="1"/>
  <c r="N207" i="56"/>
  <c r="O207" i="56" s="1"/>
  <c r="N219" i="56"/>
  <c r="O219" i="56" s="1"/>
  <c r="N231" i="56"/>
  <c r="O231" i="56" s="1"/>
  <c r="N243" i="56"/>
  <c r="O243" i="56" s="1"/>
  <c r="O168" i="56"/>
  <c r="N244" i="56"/>
  <c r="O244" i="56" s="1"/>
  <c r="N245" i="56"/>
  <c r="O245" i="56" s="1"/>
  <c r="N247" i="56"/>
  <c r="O247" i="56" s="1"/>
  <c r="N213" i="56"/>
  <c r="O213" i="56" s="1"/>
  <c r="O172" i="56"/>
  <c r="O173" i="56"/>
  <c r="N185" i="56"/>
  <c r="O185" i="56" s="1"/>
  <c r="N188" i="56"/>
  <c r="O188" i="56" s="1"/>
  <c r="O177" i="56"/>
  <c r="O174" i="56"/>
  <c r="N186" i="56"/>
  <c r="O186" i="56" s="1"/>
  <c r="N198" i="56"/>
  <c r="O198" i="56" s="1"/>
  <c r="N210" i="56"/>
  <c r="O210" i="56" s="1"/>
  <c r="N222" i="56"/>
  <c r="O222" i="56" s="1"/>
  <c r="N234" i="56"/>
  <c r="O234" i="56" s="1"/>
  <c r="N246" i="56"/>
  <c r="O246" i="56" s="1"/>
  <c r="N258" i="56"/>
  <c r="O258" i="56" s="1"/>
  <c r="N187" i="56"/>
  <c r="O187" i="56" s="1"/>
  <c r="N199" i="56"/>
  <c r="O199" i="56" s="1"/>
  <c r="N223" i="56"/>
  <c r="O223" i="56" s="1"/>
  <c r="O176" i="56"/>
  <c r="N200" i="56"/>
  <c r="O200" i="56" s="1"/>
  <c r="N236" i="56"/>
  <c r="O236" i="56" s="1"/>
  <c r="N189" i="56"/>
  <c r="O189" i="56" s="1"/>
  <c r="N225" i="56"/>
  <c r="O225" i="56" s="1"/>
  <c r="O175" i="56"/>
  <c r="N249" i="56"/>
  <c r="O249" i="56" s="1"/>
  <c r="H402" i="56"/>
  <c r="H412" i="56" s="1"/>
  <c r="H401" i="56"/>
  <c r="H411" i="56" s="1"/>
  <c r="F409" i="56"/>
  <c r="F144" i="58"/>
  <c r="D67" i="12"/>
  <c r="F47" i="57"/>
  <c r="U267" i="56"/>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47" i="13"/>
  <c r="H400" i="56" l="1"/>
  <c r="H54" i="12" s="1"/>
  <c r="F21" i="12" s="1"/>
  <c r="E67" i="12"/>
  <c r="J67" i="12" s="1"/>
  <c r="I144" i="58"/>
  <c r="L67" i="12" s="1"/>
  <c r="H410" i="56"/>
  <c r="I54" i="12" s="1"/>
  <c r="I21" i="12" s="1"/>
  <c r="W267" i="56"/>
  <c r="V267" i="56"/>
  <c r="C23" i="18"/>
  <c r="J45" i="17"/>
  <c r="J46" i="17"/>
  <c r="J47" i="17"/>
  <c r="J48" i="17"/>
  <c r="J49" i="17"/>
  <c r="J50" i="17"/>
  <c r="J51" i="17"/>
  <c r="J52" i="17"/>
  <c r="J53" i="17"/>
  <c r="J54" i="17"/>
  <c r="J55" i="17"/>
  <c r="J56" i="17"/>
  <c r="J57" i="17"/>
  <c r="J58" i="17"/>
  <c r="J59" i="17"/>
  <c r="J60" i="17"/>
  <c r="J61" i="17"/>
  <c r="J62" i="17"/>
  <c r="J63" i="17"/>
  <c r="J64" i="17"/>
  <c r="M18" i="20"/>
  <c r="M17" i="20"/>
  <c r="H51" i="19"/>
  <c r="M51" i="19" s="1"/>
  <c r="C11" i="54"/>
  <c r="B11" i="54"/>
  <c r="T42" i="56" l="1"/>
  <c r="D9" i="25"/>
  <c r="D236" i="27"/>
  <c r="B10" i="53"/>
  <c r="B11" i="53"/>
  <c r="B9" i="53"/>
  <c r="B12" i="7"/>
  <c r="F262" i="25"/>
  <c r="F269" i="25" s="1"/>
  <c r="B46" i="26"/>
  <c r="B47" i="26"/>
  <c r="B35" i="26"/>
  <c r="B36" i="26"/>
  <c r="B37" i="26"/>
  <c r="B38" i="26"/>
  <c r="B39" i="26"/>
  <c r="B40" i="26"/>
  <c r="B41" i="26"/>
  <c r="B42" i="26"/>
  <c r="B43" i="26"/>
  <c r="B44" i="26"/>
  <c r="B45" i="26"/>
  <c r="B28" i="26"/>
  <c r="B29" i="26"/>
  <c r="B30" i="26"/>
  <c r="B31" i="26"/>
  <c r="B32" i="26"/>
  <c r="B33" i="26"/>
  <c r="B34" i="26"/>
  <c r="D34" i="36"/>
  <c r="D251" i="25"/>
  <c r="G262" i="25"/>
  <c r="G269" i="25" s="1"/>
  <c r="E262" i="25"/>
  <c r="E44" i="25"/>
  <c r="F44" i="25"/>
  <c r="E45" i="25"/>
  <c r="F45" i="25"/>
  <c r="E46" i="25"/>
  <c r="F46" i="25"/>
  <c r="E47" i="25"/>
  <c r="F47" i="25"/>
  <c r="E48" i="25"/>
  <c r="F48" i="25"/>
  <c r="E49" i="25"/>
  <c r="F49" i="25"/>
  <c r="E50" i="25"/>
  <c r="F50" i="25"/>
  <c r="E51" i="25"/>
  <c r="F51" i="25"/>
  <c r="E52" i="25"/>
  <c r="F52" i="25"/>
  <c r="E53" i="25"/>
  <c r="F53" i="25"/>
  <c r="E54" i="25"/>
  <c r="F54" i="25"/>
  <c r="E55" i="25"/>
  <c r="F55" i="25"/>
  <c r="E56" i="25"/>
  <c r="F56" i="25"/>
  <c r="E57" i="25"/>
  <c r="F57" i="25"/>
  <c r="E58" i="25"/>
  <c r="F58" i="25"/>
  <c r="E59" i="25"/>
  <c r="F59" i="25"/>
  <c r="E60" i="25"/>
  <c r="F60" i="25"/>
  <c r="E61" i="25"/>
  <c r="F61" i="25"/>
  <c r="E62" i="25"/>
  <c r="F62" i="25"/>
  <c r="E63" i="25"/>
  <c r="F63" i="25"/>
  <c r="E64" i="25"/>
  <c r="F64" i="25"/>
  <c r="E65" i="25"/>
  <c r="F65" i="25"/>
  <c r="E66" i="25"/>
  <c r="F66" i="25"/>
  <c r="E67" i="25"/>
  <c r="F67" i="25"/>
  <c r="E68" i="25"/>
  <c r="F68" i="25"/>
  <c r="E69" i="25"/>
  <c r="F69" i="25"/>
  <c r="E70" i="25"/>
  <c r="F70" i="25"/>
  <c r="E71" i="25"/>
  <c r="F71" i="25"/>
  <c r="E72" i="25"/>
  <c r="F72" i="25"/>
  <c r="E73" i="25"/>
  <c r="F73" i="25"/>
  <c r="E74" i="25"/>
  <c r="F74" i="25"/>
  <c r="E75" i="25"/>
  <c r="F75" i="25"/>
  <c r="E76" i="25"/>
  <c r="F76" i="25"/>
  <c r="E77" i="25"/>
  <c r="F77" i="25"/>
  <c r="E78" i="25"/>
  <c r="F78" i="25"/>
  <c r="E79" i="25"/>
  <c r="F79" i="25"/>
  <c r="E80" i="25"/>
  <c r="F80" i="25"/>
  <c r="E81" i="25"/>
  <c r="F81" i="25"/>
  <c r="E82" i="25"/>
  <c r="F82" i="25"/>
  <c r="E83" i="25"/>
  <c r="F83" i="25"/>
  <c r="E84" i="25"/>
  <c r="F84" i="25"/>
  <c r="E85" i="25"/>
  <c r="F85" i="25"/>
  <c r="E86" i="25"/>
  <c r="F86" i="25"/>
  <c r="E87" i="25"/>
  <c r="F87" i="25"/>
  <c r="E88" i="25"/>
  <c r="F88" i="25"/>
  <c r="E89" i="25"/>
  <c r="F89" i="25"/>
  <c r="E90" i="25"/>
  <c r="F90" i="25"/>
  <c r="E91" i="25"/>
  <c r="F91" i="25"/>
  <c r="E92" i="25"/>
  <c r="F92" i="25"/>
  <c r="E93" i="25"/>
  <c r="F93" i="25"/>
  <c r="E94" i="25"/>
  <c r="F94" i="25"/>
  <c r="E95" i="25"/>
  <c r="F95" i="25"/>
  <c r="E96" i="25"/>
  <c r="F96" i="25"/>
  <c r="E97" i="25"/>
  <c r="F97" i="25"/>
  <c r="E98" i="25"/>
  <c r="F98" i="25"/>
  <c r="E99" i="25"/>
  <c r="F99" i="25"/>
  <c r="E100" i="25"/>
  <c r="F100" i="25"/>
  <c r="E101" i="25"/>
  <c r="F101" i="25"/>
  <c r="E102" i="25"/>
  <c r="F102" i="25"/>
  <c r="E103" i="25"/>
  <c r="F103" i="25"/>
  <c r="E104" i="25"/>
  <c r="F104" i="25"/>
  <c r="E105" i="25"/>
  <c r="F105" i="25"/>
  <c r="E106" i="25"/>
  <c r="F106" i="25"/>
  <c r="E107" i="25"/>
  <c r="F107" i="25"/>
  <c r="E108" i="25"/>
  <c r="F108" i="25"/>
  <c r="E109" i="25"/>
  <c r="F109" i="25"/>
  <c r="E110" i="25"/>
  <c r="F110" i="25"/>
  <c r="E111" i="25"/>
  <c r="F111" i="25"/>
  <c r="E112" i="25"/>
  <c r="F112" i="25"/>
  <c r="E113" i="25"/>
  <c r="F113" i="25"/>
  <c r="E114" i="25"/>
  <c r="F114" i="25"/>
  <c r="E115" i="25"/>
  <c r="F115" i="25"/>
  <c r="E116" i="25"/>
  <c r="F116" i="25"/>
  <c r="E117" i="25"/>
  <c r="F117" i="25"/>
  <c r="E118" i="25"/>
  <c r="F118" i="25"/>
  <c r="E119" i="25"/>
  <c r="F119" i="25"/>
  <c r="E120" i="25"/>
  <c r="F120" i="25"/>
  <c r="E121" i="25"/>
  <c r="F121" i="25"/>
  <c r="E122" i="25"/>
  <c r="F122" i="25"/>
  <c r="E123" i="25"/>
  <c r="F123" i="25"/>
  <c r="E124" i="25"/>
  <c r="F124" i="25"/>
  <c r="E125" i="25"/>
  <c r="F125" i="25"/>
  <c r="E126" i="25"/>
  <c r="F126" i="25"/>
  <c r="E127" i="25"/>
  <c r="F127" i="25"/>
  <c r="E128" i="25"/>
  <c r="F128" i="25"/>
  <c r="E129" i="25"/>
  <c r="F129" i="25"/>
  <c r="E130" i="25"/>
  <c r="F130" i="25"/>
  <c r="E131" i="25"/>
  <c r="F131" i="25"/>
  <c r="E132" i="25"/>
  <c r="F132" i="25"/>
  <c r="D133" i="25"/>
  <c r="G20" i="26"/>
  <c r="G21" i="26"/>
  <c r="G19" i="26"/>
  <c r="D43" i="26"/>
  <c r="E375" i="27"/>
  <c r="E374" i="27"/>
  <c r="F374" i="27"/>
  <c r="G374" i="27"/>
  <c r="E34" i="25" l="1"/>
  <c r="E35" i="25"/>
  <c r="E36" i="25"/>
  <c r="E37" i="25"/>
  <c r="E38" i="25"/>
  <c r="E39" i="25"/>
  <c r="E40" i="25"/>
  <c r="E41" i="25"/>
  <c r="E42" i="25"/>
  <c r="E43" i="25"/>
  <c r="D58" i="12"/>
  <c r="E269" i="25"/>
  <c r="D38" i="26"/>
  <c r="D29" i="26"/>
  <c r="D35" i="26"/>
  <c r="D34" i="26"/>
  <c r="D32" i="26"/>
  <c r="D41" i="26"/>
  <c r="D30" i="26"/>
  <c r="D42" i="26"/>
  <c r="D36" i="26"/>
  <c r="D33" i="26"/>
  <c r="D39" i="26"/>
  <c r="D31" i="26"/>
  <c r="D28" i="26"/>
  <c r="D40" i="26"/>
  <c r="D37" i="26"/>
  <c r="F375" i="27"/>
  <c r="E19" i="26" l="1"/>
  <c r="D44" i="26"/>
  <c r="F376" i="27"/>
  <c r="D45" i="26" l="1"/>
  <c r="E20" i="26"/>
  <c r="G376" i="27"/>
  <c r="D47" i="26" l="1"/>
  <c r="D48" i="26" s="1"/>
  <c r="D46" i="26"/>
  <c r="F377" i="27"/>
  <c r="C28" i="26"/>
  <c r="E21" i="26" l="1"/>
  <c r="G377" i="27"/>
  <c r="F378" i="27"/>
  <c r="C29" i="26"/>
  <c r="F379" i="27" l="1"/>
  <c r="G378" i="27"/>
  <c r="E22" i="26"/>
  <c r="C30" i="26"/>
  <c r="E385" i="27"/>
  <c r="G379" i="27" l="1"/>
  <c r="E23" i="26"/>
  <c r="F380" i="27"/>
  <c r="E386" i="27"/>
  <c r="C31" i="26"/>
  <c r="F381" i="27" l="1"/>
  <c r="F382" i="27" s="1"/>
  <c r="G380" i="27"/>
  <c r="E24" i="26"/>
  <c r="E25" i="26"/>
  <c r="G381" i="27"/>
  <c r="E387" i="27"/>
  <c r="C32" i="26"/>
  <c r="E388" i="27" l="1"/>
  <c r="C33" i="26"/>
  <c r="F383" i="27"/>
  <c r="E26" i="26"/>
  <c r="G382" i="27"/>
  <c r="E31" i="41" l="1"/>
  <c r="E30" i="41"/>
  <c r="E389" i="27"/>
  <c r="C34" i="26"/>
  <c r="F384" i="27"/>
  <c r="E28" i="26" s="1"/>
  <c r="E27" i="26"/>
  <c r="G383" i="27"/>
  <c r="F31" i="41" l="1"/>
  <c r="F30" i="41"/>
  <c r="C35" i="26"/>
  <c r="E390" i="27"/>
  <c r="G384" i="27"/>
  <c r="F385" i="27"/>
  <c r="E29" i="26" s="1"/>
  <c r="C36" i="26" l="1"/>
  <c r="E391" i="27"/>
  <c r="G385" i="27"/>
  <c r="F386" i="27"/>
  <c r="E30" i="26" s="1"/>
  <c r="E392" i="27" l="1"/>
  <c r="C37" i="26"/>
  <c r="F387" i="27"/>
  <c r="E31" i="26" s="1"/>
  <c r="G386" i="27"/>
  <c r="E393" i="27" l="1"/>
  <c r="C38" i="26"/>
  <c r="G387" i="27"/>
  <c r="F388" i="27"/>
  <c r="E32" i="26" l="1"/>
  <c r="E32" i="41"/>
  <c r="G388" i="27"/>
  <c r="F389" i="27"/>
  <c r="E33" i="26" s="1"/>
  <c r="C39" i="26"/>
  <c r="E394" i="27"/>
  <c r="F32" i="41" l="1"/>
  <c r="E395" i="27"/>
  <c r="C40" i="26"/>
  <c r="F390" i="27"/>
  <c r="E34" i="26" s="1"/>
  <c r="G389" i="27"/>
  <c r="G390" i="27" l="1"/>
  <c r="F391" i="27"/>
  <c r="E35" i="26" s="1"/>
  <c r="E396" i="27"/>
  <c r="C41" i="26"/>
  <c r="E397" i="27" l="1"/>
  <c r="C42" i="26"/>
  <c r="G391" i="27"/>
  <c r="F392" i="27"/>
  <c r="E36" i="26" s="1"/>
  <c r="F393" i="27" l="1"/>
  <c r="E37" i="26" s="1"/>
  <c r="G392" i="27"/>
  <c r="E398" i="27"/>
  <c r="E399" i="27" l="1"/>
  <c r="C43" i="26"/>
  <c r="G393" i="27"/>
  <c r="F394" i="27"/>
  <c r="E38" i="26" s="1"/>
  <c r="C44" i="26" l="1"/>
  <c r="E400" i="27"/>
  <c r="G394" i="27"/>
  <c r="F395" i="27"/>
  <c r="E39" i="26" s="1"/>
  <c r="C45" i="26" l="1"/>
  <c r="E401" i="27"/>
  <c r="G395" i="27"/>
  <c r="F396" i="27"/>
  <c r="E40" i="26" s="1"/>
  <c r="C46" i="26" l="1"/>
  <c r="E402" i="27"/>
  <c r="F397" i="27"/>
  <c r="E41" i="26" s="1"/>
  <c r="G396" i="27"/>
  <c r="C47" i="26" l="1"/>
  <c r="C48" i="26" s="1"/>
  <c r="E403" i="27"/>
  <c r="G397" i="27"/>
  <c r="F398" i="27"/>
  <c r="E42" i="26" s="1"/>
  <c r="G398" i="27" l="1"/>
  <c r="F399" i="27"/>
  <c r="G399" i="27" l="1"/>
  <c r="E43" i="26"/>
  <c r="F400" i="27"/>
  <c r="G400" i="27" l="1"/>
  <c r="E44" i="26"/>
  <c r="F401" i="27"/>
  <c r="E45" i="26" l="1"/>
  <c r="G401" i="27"/>
  <c r="F402" i="27"/>
  <c r="E46" i="26" l="1"/>
  <c r="F403" i="27"/>
  <c r="G402" i="27"/>
  <c r="I65" i="41" l="1"/>
  <c r="I120" i="41"/>
  <c r="I83" i="41"/>
  <c r="I34" i="41"/>
  <c r="I118" i="41"/>
  <c r="I35" i="41"/>
  <c r="I98" i="41"/>
  <c r="I117" i="41"/>
  <c r="I42" i="41"/>
  <c r="I105" i="41"/>
  <c r="I110" i="41"/>
  <c r="I122" i="41"/>
  <c r="I43" i="41"/>
  <c r="I36" i="41"/>
  <c r="I100" i="41"/>
  <c r="I108" i="41"/>
  <c r="I71" i="41"/>
  <c r="I33" i="41"/>
  <c r="I93" i="41"/>
  <c r="I116" i="41"/>
  <c r="I121" i="41"/>
  <c r="I128" i="41"/>
  <c r="I125" i="41"/>
  <c r="I123" i="41"/>
  <c r="I78" i="41"/>
  <c r="I95" i="41"/>
  <c r="I75" i="41"/>
  <c r="I96" i="41"/>
  <c r="I59" i="41"/>
  <c r="I106" i="41"/>
  <c r="I81" i="41"/>
  <c r="I104" i="41"/>
  <c r="I119" i="41"/>
  <c r="I127" i="41"/>
  <c r="I70" i="41"/>
  <c r="I51" i="41"/>
  <c r="I86" i="41"/>
  <c r="I84" i="41"/>
  <c r="I47" i="41"/>
  <c r="I82" i="41"/>
  <c r="I69" i="41"/>
  <c r="I92" i="41"/>
  <c r="I94" i="41"/>
  <c r="I103" i="41"/>
  <c r="I80" i="41"/>
  <c r="I109" i="41"/>
  <c r="I74" i="41"/>
  <c r="I50" i="41"/>
  <c r="I85" i="41"/>
  <c r="I72" i="41"/>
  <c r="I57" i="41"/>
  <c r="I41" i="41"/>
  <c r="I99" i="41"/>
  <c r="I62" i="41"/>
  <c r="I66" i="41"/>
  <c r="I97" i="41"/>
  <c r="I54" i="41"/>
  <c r="I73" i="41"/>
  <c r="I60" i="41"/>
  <c r="I112" i="41"/>
  <c r="I58" i="41"/>
  <c r="I45" i="41"/>
  <c r="I68" i="41"/>
  <c r="I115" i="41"/>
  <c r="I126" i="41"/>
  <c r="I55" i="41"/>
  <c r="I107" i="41"/>
  <c r="I61" i="41"/>
  <c r="I48" i="41"/>
  <c r="I76" i="41"/>
  <c r="I46" i="41"/>
  <c r="I40" i="41"/>
  <c r="I56" i="41"/>
  <c r="I91" i="41"/>
  <c r="I114" i="41"/>
  <c r="I39" i="41"/>
  <c r="I37" i="41"/>
  <c r="I87" i="41"/>
  <c r="I49" i="41"/>
  <c r="I53" i="41"/>
  <c r="I111" i="41"/>
  <c r="I113" i="41"/>
  <c r="I89" i="41"/>
  <c r="I44" i="41"/>
  <c r="I79" i="41"/>
  <c r="I102" i="41"/>
  <c r="I64" i="41"/>
  <c r="I77" i="41"/>
  <c r="I38" i="41"/>
  <c r="I63" i="41"/>
  <c r="I124" i="41"/>
  <c r="I88" i="41"/>
  <c r="I101" i="41"/>
  <c r="I67" i="41"/>
  <c r="I90" i="41"/>
  <c r="I52" i="41"/>
  <c r="I129" i="41"/>
  <c r="I31" i="41"/>
  <c r="I32" i="41"/>
  <c r="E47" i="26"/>
  <c r="E48" i="26" s="1"/>
  <c r="G403" i="27"/>
  <c r="D226" i="27" l="1"/>
  <c r="D225" i="27"/>
  <c r="C224" i="27"/>
  <c r="S390" i="56" s="1"/>
  <c r="D224" i="27"/>
  <c r="C223" i="27"/>
  <c r="G38" i="57" s="1"/>
  <c r="D223" i="27"/>
  <c r="D222" i="27"/>
  <c r="D8" i="56"/>
  <c r="D33" i="36"/>
  <c r="F39" i="57"/>
  <c r="F38" i="57"/>
  <c r="B50" i="57"/>
  <c r="B51" i="57"/>
  <c r="B52" i="57"/>
  <c r="B53" i="57"/>
  <c r="B54" i="57"/>
  <c r="B55" i="57"/>
  <c r="B56" i="57"/>
  <c r="B57" i="57"/>
  <c r="B58" i="57"/>
  <c r="B59" i="57"/>
  <c r="B60" i="57"/>
  <c r="B61" i="57"/>
  <c r="B62" i="57"/>
  <c r="B63" i="57"/>
  <c r="B64" i="57"/>
  <c r="B65" i="57"/>
  <c r="B66" i="57"/>
  <c r="B67" i="57"/>
  <c r="B68" i="57"/>
  <c r="B69" i="57"/>
  <c r="B70" i="57"/>
  <c r="B71" i="57"/>
  <c r="B72" i="57"/>
  <c r="B73" i="57"/>
  <c r="B74" i="57"/>
  <c r="B75" i="57"/>
  <c r="B76" i="57"/>
  <c r="B77" i="57"/>
  <c r="B78" i="57"/>
  <c r="B79" i="57"/>
  <c r="B80" i="57"/>
  <c r="B81" i="57"/>
  <c r="B82" i="57"/>
  <c r="B83" i="57"/>
  <c r="B84" i="57"/>
  <c r="B85" i="57"/>
  <c r="B86" i="57"/>
  <c r="B87" i="57"/>
  <c r="B88" i="57"/>
  <c r="B89" i="57"/>
  <c r="B90" i="57"/>
  <c r="B91" i="57"/>
  <c r="B92" i="57"/>
  <c r="B93" i="57"/>
  <c r="B94" i="57"/>
  <c r="B95" i="57"/>
  <c r="B96" i="57"/>
  <c r="B97" i="57"/>
  <c r="B98" i="57"/>
  <c r="B99" i="57"/>
  <c r="B100" i="57"/>
  <c r="B101" i="57"/>
  <c r="B102" i="57"/>
  <c r="B103" i="57"/>
  <c r="B104" i="57"/>
  <c r="B105" i="57"/>
  <c r="B106" i="57"/>
  <c r="B107" i="57"/>
  <c r="B108" i="57"/>
  <c r="B109" i="57"/>
  <c r="B110" i="57"/>
  <c r="B111" i="57"/>
  <c r="B112" i="57"/>
  <c r="B113" i="57"/>
  <c r="B114" i="57"/>
  <c r="B115" i="57"/>
  <c r="B116" i="57"/>
  <c r="B117" i="57"/>
  <c r="B118" i="57"/>
  <c r="B119" i="57"/>
  <c r="B120" i="57"/>
  <c r="B121" i="57"/>
  <c r="B122" i="57"/>
  <c r="B123" i="57"/>
  <c r="B124" i="57"/>
  <c r="B125" i="57"/>
  <c r="B126" i="57"/>
  <c r="B127" i="57"/>
  <c r="B128" i="57"/>
  <c r="B129" i="57"/>
  <c r="B130" i="57"/>
  <c r="B131" i="57"/>
  <c r="B132" i="57"/>
  <c r="B133" i="57"/>
  <c r="B134" i="57"/>
  <c r="B135" i="57"/>
  <c r="B136" i="57"/>
  <c r="B137" i="57"/>
  <c r="B138" i="57"/>
  <c r="B139" i="57"/>
  <c r="B140" i="57"/>
  <c r="B141" i="57"/>
  <c r="B142" i="57"/>
  <c r="B143" i="57"/>
  <c r="B144" i="57"/>
  <c r="B145" i="57"/>
  <c r="B146" i="57"/>
  <c r="B147" i="57"/>
  <c r="B148" i="57"/>
  <c r="B49" i="57"/>
  <c r="C133" i="57"/>
  <c r="C134" i="57"/>
  <c r="C135" i="57"/>
  <c r="C136" i="57"/>
  <c r="C137" i="57"/>
  <c r="C138" i="57"/>
  <c r="C139" i="57"/>
  <c r="C140" i="57"/>
  <c r="C141" i="57"/>
  <c r="C142" i="57"/>
  <c r="C143" i="57"/>
  <c r="C144" i="57"/>
  <c r="C145" i="57"/>
  <c r="C146" i="57"/>
  <c r="C147" i="57"/>
  <c r="C148" i="57"/>
  <c r="C103" i="57"/>
  <c r="C104" i="57"/>
  <c r="C105" i="57"/>
  <c r="C106" i="57"/>
  <c r="C107" i="57"/>
  <c r="C108" i="57"/>
  <c r="C109" i="57"/>
  <c r="C110" i="57"/>
  <c r="C111" i="57"/>
  <c r="C112" i="57"/>
  <c r="C113" i="57"/>
  <c r="C114" i="57"/>
  <c r="C115" i="57"/>
  <c r="C116" i="57"/>
  <c r="C117" i="57"/>
  <c r="C118" i="57"/>
  <c r="C119" i="57"/>
  <c r="C120" i="57"/>
  <c r="C121" i="57"/>
  <c r="C122" i="57"/>
  <c r="C123" i="57"/>
  <c r="C124" i="57"/>
  <c r="C125" i="57"/>
  <c r="C126" i="57"/>
  <c r="C127" i="57"/>
  <c r="C128" i="57"/>
  <c r="C129" i="57"/>
  <c r="C130" i="57"/>
  <c r="C131" i="57"/>
  <c r="C132" i="57"/>
  <c r="C50" i="57"/>
  <c r="C51" i="57"/>
  <c r="C52" i="57"/>
  <c r="C53" i="57"/>
  <c r="C54" i="57"/>
  <c r="C55" i="57"/>
  <c r="C56" i="57"/>
  <c r="C57" i="57"/>
  <c r="C58" i="57"/>
  <c r="C59" i="57"/>
  <c r="C60" i="57"/>
  <c r="C61" i="57"/>
  <c r="C62" i="57"/>
  <c r="C63" i="57"/>
  <c r="C64" i="57"/>
  <c r="C65" i="57"/>
  <c r="C66" i="57"/>
  <c r="C67" i="57"/>
  <c r="C68" i="57"/>
  <c r="C69" i="57"/>
  <c r="C70" i="57"/>
  <c r="C71" i="57"/>
  <c r="C72" i="57"/>
  <c r="C73" i="57"/>
  <c r="C74" i="57"/>
  <c r="C75" i="57"/>
  <c r="C76" i="57"/>
  <c r="C77" i="57"/>
  <c r="C78" i="57"/>
  <c r="C79" i="57"/>
  <c r="C80" i="57"/>
  <c r="C81" i="57"/>
  <c r="C82" i="57"/>
  <c r="C83" i="57"/>
  <c r="C84" i="57"/>
  <c r="C85" i="57"/>
  <c r="C86" i="57"/>
  <c r="C87" i="57"/>
  <c r="C88" i="57"/>
  <c r="C89" i="57"/>
  <c r="C90" i="57"/>
  <c r="C91" i="57"/>
  <c r="C92" i="57"/>
  <c r="C93" i="57"/>
  <c r="C94" i="57"/>
  <c r="C95" i="57"/>
  <c r="C96" i="57"/>
  <c r="C97" i="57"/>
  <c r="C98" i="57"/>
  <c r="C99" i="57"/>
  <c r="C100" i="57"/>
  <c r="C101" i="57"/>
  <c r="C102" i="57"/>
  <c r="C49" i="57"/>
  <c r="D49" i="57" s="1"/>
  <c r="F41" i="57"/>
  <c r="F40" i="57"/>
  <c r="F37" i="57"/>
  <c r="H52" i="12"/>
  <c r="G43" i="56"/>
  <c r="G44" i="56"/>
  <c r="G45" i="56"/>
  <c r="G46" i="56"/>
  <c r="G47" i="56"/>
  <c r="G48" i="56"/>
  <c r="G49" i="56"/>
  <c r="G50" i="56"/>
  <c r="G51" i="56"/>
  <c r="G52" i="56"/>
  <c r="G53" i="56"/>
  <c r="G54" i="56"/>
  <c r="G55" i="56"/>
  <c r="G56" i="56"/>
  <c r="G57" i="56"/>
  <c r="G58" i="56"/>
  <c r="G59" i="56"/>
  <c r="G60" i="56"/>
  <c r="G61" i="56"/>
  <c r="G62" i="56"/>
  <c r="G63" i="56"/>
  <c r="G64" i="56"/>
  <c r="G65" i="56"/>
  <c r="G66" i="56"/>
  <c r="G67" i="56"/>
  <c r="G68" i="56"/>
  <c r="G69" i="56"/>
  <c r="G70" i="56"/>
  <c r="G71" i="56"/>
  <c r="G72" i="56"/>
  <c r="G73" i="56"/>
  <c r="G74" i="56"/>
  <c r="G75" i="56"/>
  <c r="G76" i="56"/>
  <c r="G77" i="56"/>
  <c r="G78" i="56"/>
  <c r="G79" i="56"/>
  <c r="G80" i="56"/>
  <c r="G81" i="56"/>
  <c r="G82" i="56"/>
  <c r="G83" i="56"/>
  <c r="G84" i="56"/>
  <c r="G85" i="56"/>
  <c r="G86" i="56"/>
  <c r="G87" i="56"/>
  <c r="G88" i="56"/>
  <c r="G89" i="56"/>
  <c r="G90" i="56"/>
  <c r="G91" i="56"/>
  <c r="G92" i="56"/>
  <c r="G93" i="56"/>
  <c r="G94" i="56"/>
  <c r="G95" i="56"/>
  <c r="G96" i="56"/>
  <c r="G97" i="56"/>
  <c r="G98" i="56"/>
  <c r="G99" i="56"/>
  <c r="G100" i="56"/>
  <c r="G101" i="56"/>
  <c r="G102" i="56"/>
  <c r="G103" i="56"/>
  <c r="G104" i="56"/>
  <c r="G105" i="56"/>
  <c r="G106" i="56"/>
  <c r="G107" i="56"/>
  <c r="G108" i="56"/>
  <c r="G109" i="56"/>
  <c r="G110" i="56"/>
  <c r="G111" i="56"/>
  <c r="G112" i="56"/>
  <c r="G113" i="56"/>
  <c r="G114" i="56"/>
  <c r="G115" i="56"/>
  <c r="G116" i="56"/>
  <c r="G117" i="56"/>
  <c r="G118" i="56"/>
  <c r="G119" i="56"/>
  <c r="G120" i="56"/>
  <c r="G121" i="56"/>
  <c r="G122" i="56"/>
  <c r="G123" i="56"/>
  <c r="G124" i="56"/>
  <c r="G125" i="56"/>
  <c r="G126" i="56"/>
  <c r="G127" i="56"/>
  <c r="G128" i="56"/>
  <c r="G129" i="56"/>
  <c r="G130" i="56"/>
  <c r="G131" i="56"/>
  <c r="G132" i="56"/>
  <c r="G133" i="56"/>
  <c r="G134" i="56"/>
  <c r="G135" i="56"/>
  <c r="G136" i="56"/>
  <c r="G137" i="56"/>
  <c r="G138" i="56"/>
  <c r="G139" i="56"/>
  <c r="G140" i="56"/>
  <c r="G141" i="56"/>
  <c r="G42" i="56"/>
  <c r="Q142" i="56"/>
  <c r="P142" i="56"/>
  <c r="O142" i="56"/>
  <c r="J49" i="57" l="1"/>
  <c r="F151" i="57"/>
  <c r="G145" i="57"/>
  <c r="G141" i="57"/>
  <c r="G137" i="57"/>
  <c r="G133" i="57"/>
  <c r="G129" i="57"/>
  <c r="G125" i="57"/>
  <c r="G121" i="57"/>
  <c r="G117" i="57"/>
  <c r="G113" i="57"/>
  <c r="F109" i="57"/>
  <c r="F105" i="57"/>
  <c r="G105" i="57"/>
  <c r="G101" i="57"/>
  <c r="F101" i="57"/>
  <c r="G97" i="57"/>
  <c r="F97" i="57"/>
  <c r="G93" i="57"/>
  <c r="F93" i="57"/>
  <c r="G89" i="57"/>
  <c r="F89" i="57"/>
  <c r="G85" i="57"/>
  <c r="F85" i="57"/>
  <c r="G81" i="57"/>
  <c r="F81" i="57"/>
  <c r="G77" i="57"/>
  <c r="F77" i="57"/>
  <c r="G73" i="57"/>
  <c r="F73" i="57"/>
  <c r="G69" i="57"/>
  <c r="F69" i="57"/>
  <c r="G65" i="57"/>
  <c r="F65" i="57"/>
  <c r="G61" i="57"/>
  <c r="F61" i="57"/>
  <c r="G57" i="57"/>
  <c r="F57" i="57"/>
  <c r="G53" i="57"/>
  <c r="F53" i="57"/>
  <c r="F148" i="57"/>
  <c r="G148" i="57"/>
  <c r="F144" i="57"/>
  <c r="G144" i="57"/>
  <c r="F140" i="57"/>
  <c r="G140" i="57"/>
  <c r="F136" i="57"/>
  <c r="G136" i="57"/>
  <c r="F132" i="57"/>
  <c r="G132" i="57"/>
  <c r="F128" i="57"/>
  <c r="G128" i="57"/>
  <c r="F124" i="57"/>
  <c r="G124" i="57"/>
  <c r="F120" i="57"/>
  <c r="G120" i="57"/>
  <c r="F116" i="57"/>
  <c r="G116" i="57"/>
  <c r="F112" i="57"/>
  <c r="G112" i="57"/>
  <c r="F108" i="57"/>
  <c r="G108" i="57"/>
  <c r="F104" i="57"/>
  <c r="G104" i="57"/>
  <c r="F100" i="57"/>
  <c r="G100" i="57"/>
  <c r="G96" i="57"/>
  <c r="F96" i="57"/>
  <c r="F88" i="57"/>
  <c r="G88" i="57"/>
  <c r="F80" i="57"/>
  <c r="G80" i="57"/>
  <c r="F72" i="57"/>
  <c r="G72" i="57"/>
  <c r="F64" i="57"/>
  <c r="G64" i="57"/>
  <c r="G39" i="57"/>
  <c r="E49" i="57"/>
  <c r="G49" i="57" s="1"/>
  <c r="F147" i="57"/>
  <c r="G147" i="57"/>
  <c r="F143" i="57"/>
  <c r="F139" i="57"/>
  <c r="G139" i="57"/>
  <c r="F135" i="57"/>
  <c r="F131" i="57"/>
  <c r="G131" i="57"/>
  <c r="F127" i="57"/>
  <c r="F123" i="57"/>
  <c r="G123" i="57"/>
  <c r="F119" i="57"/>
  <c r="F115" i="57"/>
  <c r="G115" i="57"/>
  <c r="F111" i="57"/>
  <c r="F107" i="57"/>
  <c r="G107" i="57"/>
  <c r="G103" i="57"/>
  <c r="G99" i="57"/>
  <c r="G95" i="57"/>
  <c r="F95" i="57"/>
  <c r="G91" i="57"/>
  <c r="G87" i="57"/>
  <c r="F87" i="57"/>
  <c r="G83" i="57"/>
  <c r="G79" i="57"/>
  <c r="F79" i="57"/>
  <c r="G75" i="57"/>
  <c r="G71" i="57"/>
  <c r="F71" i="57"/>
  <c r="G67" i="57"/>
  <c r="G63" i="57"/>
  <c r="F63" i="57"/>
  <c r="G59" i="57"/>
  <c r="G51" i="57"/>
  <c r="F146" i="57"/>
  <c r="F142" i="57"/>
  <c r="F138" i="57"/>
  <c r="F134" i="57"/>
  <c r="F130" i="57"/>
  <c r="F126" i="57"/>
  <c r="F122" i="57"/>
  <c r="F118" i="57"/>
  <c r="F114" i="57"/>
  <c r="F110" i="57"/>
  <c r="G110" i="57"/>
  <c r="F106" i="57"/>
  <c r="G106" i="57"/>
  <c r="F102" i="57"/>
  <c r="G102" i="57"/>
  <c r="F98" i="57"/>
  <c r="G94" i="57"/>
  <c r="F90" i="57"/>
  <c r="G86" i="57"/>
  <c r="F82" i="57"/>
  <c r="G78" i="57"/>
  <c r="F74" i="57"/>
  <c r="G70" i="57"/>
  <c r="F66" i="57"/>
  <c r="G62" i="57"/>
  <c r="F58" i="57"/>
  <c r="G54" i="57"/>
  <c r="F50" i="57"/>
  <c r="H49" i="57"/>
  <c r="E91" i="57"/>
  <c r="D91" i="57"/>
  <c r="E83" i="57"/>
  <c r="D83" i="57"/>
  <c r="D75" i="57"/>
  <c r="E75" i="57"/>
  <c r="D67" i="57"/>
  <c r="E67" i="57"/>
  <c r="D51" i="57"/>
  <c r="E51" i="57"/>
  <c r="E126" i="57"/>
  <c r="D126" i="57"/>
  <c r="E118" i="57"/>
  <c r="D118" i="57"/>
  <c r="E110" i="57"/>
  <c r="D110" i="57"/>
  <c r="E102" i="57"/>
  <c r="D102" i="57"/>
  <c r="E98" i="57"/>
  <c r="D98" i="57"/>
  <c r="E94" i="57"/>
  <c r="D94" i="57"/>
  <c r="E90" i="57"/>
  <c r="D90" i="57"/>
  <c r="E86" i="57"/>
  <c r="D86" i="57"/>
  <c r="E82" i="57"/>
  <c r="D82" i="57"/>
  <c r="E78" i="57"/>
  <c r="D78" i="57"/>
  <c r="E74" i="57"/>
  <c r="D74" i="57"/>
  <c r="E70" i="57"/>
  <c r="D70" i="57"/>
  <c r="E66" i="57"/>
  <c r="D66" i="57"/>
  <c r="E62" i="57"/>
  <c r="D62" i="57"/>
  <c r="E58" i="57"/>
  <c r="D58" i="57"/>
  <c r="E54" i="57"/>
  <c r="D54" i="57"/>
  <c r="D50" i="57"/>
  <c r="E50" i="57"/>
  <c r="D129" i="57"/>
  <c r="E129" i="57"/>
  <c r="D125" i="57"/>
  <c r="E125" i="57"/>
  <c r="D121" i="57"/>
  <c r="E121" i="57"/>
  <c r="D117" i="57"/>
  <c r="E117" i="57"/>
  <c r="D113" i="57"/>
  <c r="E113" i="57"/>
  <c r="D109" i="57"/>
  <c r="E109" i="57"/>
  <c r="D105" i="57"/>
  <c r="E105" i="57"/>
  <c r="D147" i="57"/>
  <c r="E147" i="57"/>
  <c r="D143" i="57"/>
  <c r="E143" i="57"/>
  <c r="E139" i="57"/>
  <c r="D139" i="57"/>
  <c r="E135" i="57"/>
  <c r="D135" i="57"/>
  <c r="E99" i="57"/>
  <c r="D99" i="57"/>
  <c r="E144" i="57"/>
  <c r="D144" i="57"/>
  <c r="D101" i="57"/>
  <c r="E101" i="57"/>
  <c r="D97" i="57"/>
  <c r="E97" i="57"/>
  <c r="D93" i="57"/>
  <c r="E93" i="57"/>
  <c r="D89" i="57"/>
  <c r="E89" i="57"/>
  <c r="D85" i="57"/>
  <c r="E85" i="57"/>
  <c r="D81" i="57"/>
  <c r="E81" i="57"/>
  <c r="D77" i="57"/>
  <c r="E77" i="57"/>
  <c r="E73" i="57"/>
  <c r="D73" i="57"/>
  <c r="D69" i="57"/>
  <c r="E69" i="57"/>
  <c r="E65" i="57"/>
  <c r="D65" i="57"/>
  <c r="D61" i="57"/>
  <c r="E61" i="57"/>
  <c r="E57" i="57"/>
  <c r="D57" i="57"/>
  <c r="D53" i="57"/>
  <c r="E53" i="57"/>
  <c r="E132" i="57"/>
  <c r="D132" i="57"/>
  <c r="E128" i="57"/>
  <c r="D128" i="57"/>
  <c r="E124" i="57"/>
  <c r="D124" i="57"/>
  <c r="E120" i="57"/>
  <c r="D120" i="57"/>
  <c r="E116" i="57"/>
  <c r="D116" i="57"/>
  <c r="E112" i="57"/>
  <c r="D112" i="57"/>
  <c r="E108" i="57"/>
  <c r="D108" i="57"/>
  <c r="E104" i="57"/>
  <c r="D104" i="57"/>
  <c r="E146" i="57"/>
  <c r="D146" i="57"/>
  <c r="E142" i="57"/>
  <c r="D142" i="57"/>
  <c r="E138" i="57"/>
  <c r="D138" i="57"/>
  <c r="E134" i="57"/>
  <c r="D134" i="57"/>
  <c r="E95" i="57"/>
  <c r="D95" i="57"/>
  <c r="E87" i="57"/>
  <c r="D87" i="57"/>
  <c r="E79" i="57"/>
  <c r="D79" i="57"/>
  <c r="E71" i="57"/>
  <c r="D71" i="57"/>
  <c r="E63" i="57"/>
  <c r="D63" i="57"/>
  <c r="D59" i="57"/>
  <c r="E59" i="57"/>
  <c r="E55" i="57"/>
  <c r="G55" i="57" s="1"/>
  <c r="D55" i="57"/>
  <c r="F55" i="57" s="1"/>
  <c r="E130" i="57"/>
  <c r="D130" i="57"/>
  <c r="E122" i="57"/>
  <c r="D122" i="57"/>
  <c r="E114" i="57"/>
  <c r="D114" i="57"/>
  <c r="E106" i="57"/>
  <c r="D106" i="57"/>
  <c r="E148" i="57"/>
  <c r="D148" i="57"/>
  <c r="E140" i="57"/>
  <c r="D140" i="57"/>
  <c r="E136" i="57"/>
  <c r="D136" i="57"/>
  <c r="E100" i="57"/>
  <c r="D100" i="57"/>
  <c r="E96" i="57"/>
  <c r="D96" i="57"/>
  <c r="E92" i="57"/>
  <c r="D92" i="57"/>
  <c r="E88" i="57"/>
  <c r="D88" i="57"/>
  <c r="E84" i="57"/>
  <c r="D84" i="57"/>
  <c r="E80" i="57"/>
  <c r="D80" i="57"/>
  <c r="E76" i="57"/>
  <c r="D76" i="57"/>
  <c r="E72" i="57"/>
  <c r="D72" i="57"/>
  <c r="E68" i="57"/>
  <c r="D68" i="57"/>
  <c r="E64" i="57"/>
  <c r="D64" i="57"/>
  <c r="E60" i="57"/>
  <c r="D60" i="57"/>
  <c r="E56" i="57"/>
  <c r="G56" i="57" s="1"/>
  <c r="D56" i="57"/>
  <c r="F56" i="57" s="1"/>
  <c r="E52" i="57"/>
  <c r="D52" i="57"/>
  <c r="E131" i="57"/>
  <c r="D131" i="57"/>
  <c r="E127" i="57"/>
  <c r="D127" i="57"/>
  <c r="E123" i="57"/>
  <c r="D123" i="57"/>
  <c r="E119" i="57"/>
  <c r="D119" i="57"/>
  <c r="E115" i="57"/>
  <c r="D115" i="57"/>
  <c r="E111" i="57"/>
  <c r="D111" i="57"/>
  <c r="E107" i="57"/>
  <c r="D107" i="57"/>
  <c r="E103" i="57"/>
  <c r="D103" i="57"/>
  <c r="D145" i="57"/>
  <c r="E145" i="57"/>
  <c r="D141" i="57"/>
  <c r="E141" i="57"/>
  <c r="D137" i="57"/>
  <c r="E137" i="57"/>
  <c r="D133" i="57"/>
  <c r="E133" i="57"/>
  <c r="G399" i="56"/>
  <c r="F52" i="12" s="1"/>
  <c r="H409" i="56"/>
  <c r="K49" i="57" l="1"/>
  <c r="K146" i="57"/>
  <c r="J82" i="57"/>
  <c r="K130" i="57"/>
  <c r="K82" i="57"/>
  <c r="K122" i="57"/>
  <c r="J146" i="57"/>
  <c r="J122" i="57"/>
  <c r="F49" i="57"/>
  <c r="J58" i="57"/>
  <c r="J66" i="57"/>
  <c r="J90" i="57"/>
  <c r="K60" i="57"/>
  <c r="K134" i="57"/>
  <c r="K66" i="57"/>
  <c r="K90" i="57"/>
  <c r="K126" i="57"/>
  <c r="J106" i="57"/>
  <c r="J138" i="57"/>
  <c r="J72" i="57"/>
  <c r="J114" i="57"/>
  <c r="K50" i="57"/>
  <c r="J74" i="57"/>
  <c r="J98" i="57"/>
  <c r="K58" i="57"/>
  <c r="K114" i="57"/>
  <c r="K142" i="57"/>
  <c r="J50" i="57"/>
  <c r="K74" i="57"/>
  <c r="K98" i="57"/>
  <c r="J141" i="57"/>
  <c r="K103" i="57"/>
  <c r="J107" i="57"/>
  <c r="K52" i="57"/>
  <c r="J88" i="57"/>
  <c r="J105" i="57"/>
  <c r="J133" i="57"/>
  <c r="K118" i="57"/>
  <c r="J130" i="57"/>
  <c r="K138" i="57"/>
  <c r="J99" i="57"/>
  <c r="J56" i="57"/>
  <c r="J64" i="57"/>
  <c r="K84" i="57"/>
  <c r="K92" i="57"/>
  <c r="K76" i="57"/>
  <c r="J117" i="57"/>
  <c r="H151" i="57"/>
  <c r="I49" i="57"/>
  <c r="I105" i="57"/>
  <c r="I89" i="57"/>
  <c r="I81" i="57"/>
  <c r="I73" i="57"/>
  <c r="I65" i="57"/>
  <c r="I57" i="57"/>
  <c r="H148" i="57"/>
  <c r="H144" i="57"/>
  <c r="H140" i="57"/>
  <c r="H136" i="57"/>
  <c r="H132" i="57"/>
  <c r="H128" i="57"/>
  <c r="H124" i="57"/>
  <c r="H120" i="57"/>
  <c r="H116" i="57"/>
  <c r="H112" i="57"/>
  <c r="I108" i="57"/>
  <c r="H100" i="57"/>
  <c r="H88" i="57"/>
  <c r="H80" i="57"/>
  <c r="H72" i="57"/>
  <c r="H64" i="57"/>
  <c r="H56" i="57"/>
  <c r="H103" i="57"/>
  <c r="H102" i="57"/>
  <c r="H141" i="57"/>
  <c r="H133" i="57"/>
  <c r="H125" i="57"/>
  <c r="H117" i="57"/>
  <c r="H109" i="57"/>
  <c r="H89" i="57"/>
  <c r="H81" i="57"/>
  <c r="H73" i="57"/>
  <c r="H65" i="57"/>
  <c r="H57" i="57"/>
  <c r="I148" i="57"/>
  <c r="I144" i="57"/>
  <c r="I140" i="57"/>
  <c r="I136" i="57"/>
  <c r="I132" i="57"/>
  <c r="I128" i="57"/>
  <c r="I124" i="57"/>
  <c r="I120" i="57"/>
  <c r="I116" i="57"/>
  <c r="I112" i="57"/>
  <c r="H104" i="57"/>
  <c r="I96" i="57"/>
  <c r="I88" i="57"/>
  <c r="I80" i="57"/>
  <c r="I72" i="57"/>
  <c r="I64" i="57"/>
  <c r="I56" i="57"/>
  <c r="H147" i="57"/>
  <c r="I143" i="57"/>
  <c r="H139" i="57"/>
  <c r="I135" i="57"/>
  <c r="H131" i="57"/>
  <c r="I127" i="57"/>
  <c r="H123" i="57"/>
  <c r="I119" i="57"/>
  <c r="H115" i="57"/>
  <c r="I111" i="57"/>
  <c r="H107" i="57"/>
  <c r="I103" i="57"/>
  <c r="H99" i="57"/>
  <c r="H95" i="57"/>
  <c r="I91" i="57"/>
  <c r="H87" i="57"/>
  <c r="I83" i="57"/>
  <c r="H79" i="57"/>
  <c r="I75" i="57"/>
  <c r="H71" i="57"/>
  <c r="I67" i="57"/>
  <c r="H63" i="57"/>
  <c r="I59" i="57"/>
  <c r="H55" i="57"/>
  <c r="I51" i="57"/>
  <c r="H146" i="57"/>
  <c r="H142" i="57"/>
  <c r="H138" i="57"/>
  <c r="H134" i="57"/>
  <c r="H130" i="57"/>
  <c r="H126" i="57"/>
  <c r="H122" i="57"/>
  <c r="H118" i="57"/>
  <c r="H114" i="57"/>
  <c r="H106" i="57"/>
  <c r="I98" i="57"/>
  <c r="H98" i="57"/>
  <c r="I90" i="57"/>
  <c r="H90" i="57"/>
  <c r="I82" i="57"/>
  <c r="H82" i="57"/>
  <c r="I74" i="57"/>
  <c r="H74" i="57"/>
  <c r="I66" i="57"/>
  <c r="H66" i="57"/>
  <c r="I58" i="57"/>
  <c r="H58" i="57"/>
  <c r="I50" i="57"/>
  <c r="H50" i="57"/>
  <c r="I141" i="57"/>
  <c r="I133" i="57"/>
  <c r="I125" i="57"/>
  <c r="I117" i="57"/>
  <c r="I109" i="57"/>
  <c r="H101" i="57"/>
  <c r="H97" i="57"/>
  <c r="I93" i="57"/>
  <c r="I85" i="57"/>
  <c r="I77" i="57"/>
  <c r="I69" i="57"/>
  <c r="I61" i="57"/>
  <c r="I53" i="57"/>
  <c r="I104" i="57"/>
  <c r="H92" i="57"/>
  <c r="H84" i="57"/>
  <c r="H76" i="57"/>
  <c r="H68" i="57"/>
  <c r="H60" i="57"/>
  <c r="H52" i="57"/>
  <c r="I147" i="57"/>
  <c r="I139" i="57"/>
  <c r="I131" i="57"/>
  <c r="I123" i="57"/>
  <c r="I115" i="57"/>
  <c r="I107" i="57"/>
  <c r="I99" i="57"/>
  <c r="I130" i="57"/>
  <c r="I142" i="57"/>
  <c r="H51" i="57"/>
  <c r="I71" i="57"/>
  <c r="H83" i="57"/>
  <c r="I68" i="57"/>
  <c r="H108" i="57"/>
  <c r="H53" i="57"/>
  <c r="H85" i="57"/>
  <c r="H105" i="57"/>
  <c r="H113" i="57"/>
  <c r="I129" i="57"/>
  <c r="H145" i="57"/>
  <c r="I54" i="57"/>
  <c r="H62" i="57"/>
  <c r="I70" i="57"/>
  <c r="H78" i="57"/>
  <c r="I86" i="57"/>
  <c r="H94" i="57"/>
  <c r="I102" i="57"/>
  <c r="I122" i="57"/>
  <c r="I134" i="57"/>
  <c r="H59" i="57"/>
  <c r="I79" i="57"/>
  <c r="H91" i="57"/>
  <c r="I76" i="57"/>
  <c r="H96" i="57"/>
  <c r="I100" i="57"/>
  <c r="H61" i="57"/>
  <c r="H93" i="57"/>
  <c r="H121" i="57"/>
  <c r="I137" i="57"/>
  <c r="I106" i="57"/>
  <c r="I110" i="57"/>
  <c r="I114" i="57"/>
  <c r="I126" i="57"/>
  <c r="I146" i="57"/>
  <c r="I55" i="57"/>
  <c r="H67" i="57"/>
  <c r="I87" i="57"/>
  <c r="H111" i="57"/>
  <c r="H119" i="57"/>
  <c r="H127" i="57"/>
  <c r="H135" i="57"/>
  <c r="H143" i="57"/>
  <c r="I52" i="57"/>
  <c r="I84" i="57"/>
  <c r="H69" i="57"/>
  <c r="I113" i="57"/>
  <c r="H129" i="57"/>
  <c r="I145" i="57"/>
  <c r="H54" i="57"/>
  <c r="I62" i="57"/>
  <c r="H70" i="57"/>
  <c r="I78" i="57"/>
  <c r="H86" i="57"/>
  <c r="I94" i="57"/>
  <c r="H110" i="57"/>
  <c r="I118" i="57"/>
  <c r="I138" i="57"/>
  <c r="J151" i="57"/>
  <c r="J145" i="57"/>
  <c r="J137" i="57"/>
  <c r="J129" i="57"/>
  <c r="J121" i="57"/>
  <c r="J113" i="57"/>
  <c r="K105" i="57"/>
  <c r="J101" i="57"/>
  <c r="K97" i="57"/>
  <c r="J97" i="57"/>
  <c r="J93" i="57"/>
  <c r="K89" i="57"/>
  <c r="J85" i="57"/>
  <c r="K81" i="57"/>
  <c r="J77" i="57"/>
  <c r="K73" i="57"/>
  <c r="J69" i="57"/>
  <c r="K65" i="57"/>
  <c r="J61" i="57"/>
  <c r="K57" i="57"/>
  <c r="J53" i="57"/>
  <c r="J148" i="57"/>
  <c r="J140" i="57"/>
  <c r="J132" i="57"/>
  <c r="J124" i="57"/>
  <c r="J116" i="57"/>
  <c r="J108" i="57"/>
  <c r="K104" i="57"/>
  <c r="J100" i="57"/>
  <c r="J96" i="57"/>
  <c r="K147" i="57"/>
  <c r="K143" i="57"/>
  <c r="K139" i="57"/>
  <c r="K135" i="57"/>
  <c r="K131" i="57"/>
  <c r="K127" i="57"/>
  <c r="K123" i="57"/>
  <c r="K119" i="57"/>
  <c r="K115" i="57"/>
  <c r="K111" i="57"/>
  <c r="K107" i="57"/>
  <c r="K95" i="57"/>
  <c r="J95" i="57"/>
  <c r="K87" i="57"/>
  <c r="J87" i="57"/>
  <c r="K79" i="57"/>
  <c r="J79" i="57"/>
  <c r="K71" i="57"/>
  <c r="J71" i="57"/>
  <c r="K63" i="57"/>
  <c r="J63" i="57"/>
  <c r="K55" i="57"/>
  <c r="J55" i="57"/>
  <c r="J142" i="57"/>
  <c r="J134" i="57"/>
  <c r="J126" i="57"/>
  <c r="J118" i="57"/>
  <c r="J110" i="57"/>
  <c r="K110" i="57"/>
  <c r="K106" i="57"/>
  <c r="K102" i="57"/>
  <c r="K94" i="57"/>
  <c r="K86" i="57"/>
  <c r="K78" i="57"/>
  <c r="K70" i="57"/>
  <c r="K62" i="57"/>
  <c r="K54" i="57"/>
  <c r="K145" i="57"/>
  <c r="K141" i="57"/>
  <c r="K137" i="57"/>
  <c r="K133" i="57"/>
  <c r="K129" i="57"/>
  <c r="K125" i="57"/>
  <c r="K121" i="57"/>
  <c r="K117" i="57"/>
  <c r="K113" i="57"/>
  <c r="J109" i="57"/>
  <c r="K96" i="57"/>
  <c r="J92" i="57"/>
  <c r="K88" i="57"/>
  <c r="J84" i="57"/>
  <c r="K80" i="57"/>
  <c r="J76" i="57"/>
  <c r="K72" i="57"/>
  <c r="J68" i="57"/>
  <c r="K64" i="57"/>
  <c r="J60" i="57"/>
  <c r="K56" i="57"/>
  <c r="J52" i="57"/>
  <c r="J102" i="57"/>
  <c r="J94" i="57"/>
  <c r="J86" i="57"/>
  <c r="J78" i="57"/>
  <c r="J70" i="57"/>
  <c r="J62" i="57"/>
  <c r="J54" i="57"/>
  <c r="K109" i="57"/>
  <c r="K101" i="57"/>
  <c r="K93" i="57"/>
  <c r="J89" i="57"/>
  <c r="K85" i="57"/>
  <c r="J81" i="57"/>
  <c r="K77" i="57"/>
  <c r="J73" i="57"/>
  <c r="K69" i="57"/>
  <c r="J65" i="57"/>
  <c r="K61" i="57"/>
  <c r="J57" i="57"/>
  <c r="K53" i="57"/>
  <c r="K148" i="57"/>
  <c r="J144" i="57"/>
  <c r="K144" i="57"/>
  <c r="K140" i="57"/>
  <c r="J136" i="57"/>
  <c r="K136" i="57"/>
  <c r="K132" i="57"/>
  <c r="J128" i="57"/>
  <c r="K128" i="57"/>
  <c r="K124" i="57"/>
  <c r="J120" i="57"/>
  <c r="K120" i="57"/>
  <c r="K116" i="57"/>
  <c r="J112" i="57"/>
  <c r="K112" i="57"/>
  <c r="K108" i="57"/>
  <c r="J104" i="57"/>
  <c r="K100" i="57"/>
  <c r="J147" i="57"/>
  <c r="J143" i="57"/>
  <c r="J139" i="57"/>
  <c r="J135" i="57"/>
  <c r="J131" i="57"/>
  <c r="J127" i="57"/>
  <c r="J123" i="57"/>
  <c r="J119" i="57"/>
  <c r="J115" i="57"/>
  <c r="J111" i="57"/>
  <c r="J103" i="57"/>
  <c r="K99" i="57"/>
  <c r="K91" i="57"/>
  <c r="J91" i="57"/>
  <c r="K83" i="57"/>
  <c r="J83" i="57"/>
  <c r="K75" i="57"/>
  <c r="J75" i="57"/>
  <c r="K67" i="57"/>
  <c r="J67" i="57"/>
  <c r="K59" i="57"/>
  <c r="J59" i="57"/>
  <c r="K51" i="57"/>
  <c r="J51" i="57"/>
  <c r="I63" i="57"/>
  <c r="H75" i="57"/>
  <c r="I95" i="57"/>
  <c r="I60" i="57"/>
  <c r="K68" i="57"/>
  <c r="J80" i="57"/>
  <c r="I92" i="57"/>
  <c r="H77" i="57"/>
  <c r="I97" i="57"/>
  <c r="I101" i="57"/>
  <c r="I121" i="57"/>
  <c r="J125" i="57"/>
  <c r="H137" i="57"/>
  <c r="G50" i="57"/>
  <c r="F54" i="57"/>
  <c r="G58" i="57"/>
  <c r="F62" i="57"/>
  <c r="G66" i="57"/>
  <c r="F70" i="57"/>
  <c r="G74" i="57"/>
  <c r="F78" i="57"/>
  <c r="G82" i="57"/>
  <c r="F86" i="57"/>
  <c r="G90" i="57"/>
  <c r="F94" i="57"/>
  <c r="G98" i="57"/>
  <c r="G114" i="57"/>
  <c r="G118" i="57"/>
  <c r="G122" i="57"/>
  <c r="G126" i="57"/>
  <c r="G130" i="57"/>
  <c r="G134" i="57"/>
  <c r="G138" i="57"/>
  <c r="G142" i="57"/>
  <c r="G146" i="57"/>
  <c r="F51" i="57"/>
  <c r="F59" i="57"/>
  <c r="F67" i="57"/>
  <c r="F75" i="57"/>
  <c r="F83" i="57"/>
  <c r="F91" i="57"/>
  <c r="F99" i="57"/>
  <c r="F103" i="57"/>
  <c r="G111" i="57"/>
  <c r="G119" i="57"/>
  <c r="G127" i="57"/>
  <c r="G135" i="57"/>
  <c r="G143" i="57"/>
  <c r="G52" i="57"/>
  <c r="F52" i="57"/>
  <c r="G60" i="57"/>
  <c r="F60" i="57"/>
  <c r="G68" i="57"/>
  <c r="F68" i="57"/>
  <c r="G76" i="57"/>
  <c r="F76" i="57"/>
  <c r="G84" i="57"/>
  <c r="F84" i="57"/>
  <c r="G92" i="57"/>
  <c r="F92" i="57"/>
  <c r="G109" i="57"/>
  <c r="F113" i="57"/>
  <c r="F117" i="57"/>
  <c r="F121" i="57"/>
  <c r="F125" i="57"/>
  <c r="F129" i="57"/>
  <c r="F133" i="57"/>
  <c r="F137" i="57"/>
  <c r="F141" i="57"/>
  <c r="F145" i="57"/>
  <c r="G409" i="56"/>
  <c r="I52" i="12"/>
  <c r="D52" i="12"/>
  <c r="J149" i="57" l="1"/>
  <c r="H404" i="56" s="1"/>
  <c r="H414" i="56" s="1"/>
  <c r="K149" i="57"/>
  <c r="H405" i="56" s="1"/>
  <c r="H415" i="56" s="1"/>
  <c r="H149" i="57"/>
  <c r="G404" i="56" s="1"/>
  <c r="F149" i="57"/>
  <c r="G149" i="57"/>
  <c r="F405" i="56" s="1"/>
  <c r="F415" i="56" s="1"/>
  <c r="I149" i="57"/>
  <c r="E52" i="12"/>
  <c r="G52" i="12"/>
  <c r="I409" i="56"/>
  <c r="C104" i="18"/>
  <c r="D104" i="18"/>
  <c r="F104" i="18"/>
  <c r="C101" i="18"/>
  <c r="D101" i="18"/>
  <c r="E101" i="18"/>
  <c r="F101" i="18"/>
  <c r="H101" i="18"/>
  <c r="C102" i="18"/>
  <c r="D102" i="18"/>
  <c r="E102" i="18"/>
  <c r="F102" i="18"/>
  <c r="H102" i="18"/>
  <c r="C103" i="18"/>
  <c r="D103" i="18"/>
  <c r="E103" i="18"/>
  <c r="F103" i="18"/>
  <c r="H103" i="18"/>
  <c r="B102" i="18"/>
  <c r="B103" i="18"/>
  <c r="C100" i="18"/>
  <c r="D100" i="18"/>
  <c r="F100" i="18"/>
  <c r="C97" i="18"/>
  <c r="D97" i="18"/>
  <c r="E97" i="18"/>
  <c r="F97" i="18"/>
  <c r="H97" i="18"/>
  <c r="C98" i="18"/>
  <c r="D98" i="18"/>
  <c r="E98" i="18"/>
  <c r="F98" i="18"/>
  <c r="H98" i="18"/>
  <c r="C99" i="18"/>
  <c r="D99" i="18"/>
  <c r="E99" i="18"/>
  <c r="F99" i="18"/>
  <c r="H99" i="18"/>
  <c r="B98" i="18"/>
  <c r="B99" i="18"/>
  <c r="C96" i="18"/>
  <c r="D96" i="18"/>
  <c r="F96" i="18"/>
  <c r="B104" i="18"/>
  <c r="B101" i="18"/>
  <c r="B100" i="18"/>
  <c r="B97" i="18"/>
  <c r="B96" i="18"/>
  <c r="C93" i="18"/>
  <c r="D93" i="18"/>
  <c r="E93" i="18"/>
  <c r="F93" i="18"/>
  <c r="H93" i="18"/>
  <c r="C94" i="18"/>
  <c r="D94" i="18"/>
  <c r="E94" i="18"/>
  <c r="F94" i="18"/>
  <c r="H94" i="18"/>
  <c r="C95" i="18"/>
  <c r="D95" i="18"/>
  <c r="E95" i="18"/>
  <c r="F95" i="18"/>
  <c r="H95" i="18"/>
  <c r="B94" i="18"/>
  <c r="B95" i="18"/>
  <c r="B93" i="18"/>
  <c r="C83" i="18"/>
  <c r="D83" i="18"/>
  <c r="E83" i="18"/>
  <c r="F83" i="18"/>
  <c r="G83" i="18"/>
  <c r="H83" i="18"/>
  <c r="C84" i="18"/>
  <c r="D84" i="18"/>
  <c r="E84" i="18"/>
  <c r="F84" i="18"/>
  <c r="H84" i="18"/>
  <c r="C85" i="18"/>
  <c r="D85" i="18"/>
  <c r="E85" i="18"/>
  <c r="F85" i="18"/>
  <c r="G85" i="18"/>
  <c r="H85" i="18"/>
  <c r="C86" i="18"/>
  <c r="D86" i="18"/>
  <c r="E86" i="18"/>
  <c r="F86" i="18"/>
  <c r="G86" i="18"/>
  <c r="H86" i="18"/>
  <c r="C87" i="18"/>
  <c r="D87" i="18"/>
  <c r="E87" i="18"/>
  <c r="F87" i="18"/>
  <c r="G87" i="18"/>
  <c r="H87" i="18"/>
  <c r="C88" i="18"/>
  <c r="D88" i="18"/>
  <c r="E88" i="18"/>
  <c r="F88" i="18"/>
  <c r="H88" i="18"/>
  <c r="C89" i="18"/>
  <c r="D89" i="18"/>
  <c r="E89" i="18"/>
  <c r="F89" i="18"/>
  <c r="G89" i="18"/>
  <c r="H89" i="18"/>
  <c r="C90" i="18"/>
  <c r="D90" i="18"/>
  <c r="E90" i="18"/>
  <c r="F90" i="18"/>
  <c r="G90" i="18"/>
  <c r="H90" i="18"/>
  <c r="C91" i="18"/>
  <c r="D91" i="18"/>
  <c r="E91" i="18"/>
  <c r="F91" i="18"/>
  <c r="G91" i="18"/>
  <c r="H91" i="18"/>
  <c r="C92" i="18"/>
  <c r="D92" i="18"/>
  <c r="E92" i="18"/>
  <c r="F92" i="18"/>
  <c r="G92" i="18"/>
  <c r="H92" i="18"/>
  <c r="B84" i="18"/>
  <c r="B85" i="18"/>
  <c r="B86" i="18"/>
  <c r="B87" i="18"/>
  <c r="B88" i="18"/>
  <c r="B89" i="18"/>
  <c r="B90" i="18"/>
  <c r="B91" i="18"/>
  <c r="B92" i="18"/>
  <c r="C82" i="18"/>
  <c r="D82" i="18"/>
  <c r="E82" i="18"/>
  <c r="F82" i="18"/>
  <c r="G82" i="18"/>
  <c r="H82" i="18"/>
  <c r="B83" i="18"/>
  <c r="B82" i="18"/>
  <c r="H81" i="18"/>
  <c r="G81" i="18"/>
  <c r="F81" i="18"/>
  <c r="E81" i="18"/>
  <c r="D81" i="18"/>
  <c r="C81" i="18"/>
  <c r="C80" i="18"/>
  <c r="D80" i="18"/>
  <c r="E80" i="18"/>
  <c r="F80" i="18"/>
  <c r="G80" i="18"/>
  <c r="H80" i="18"/>
  <c r="B80" i="18"/>
  <c r="B81" i="18"/>
  <c r="E204" i="27"/>
  <c r="E104" i="18" s="1"/>
  <c r="E200" i="27"/>
  <c r="E100" i="18" s="1"/>
  <c r="E196" i="27"/>
  <c r="E96" i="18" s="1"/>
  <c r="D19" i="18"/>
  <c r="E19" i="18"/>
  <c r="H19" i="18"/>
  <c r="I19" i="18"/>
  <c r="J19" i="18"/>
  <c r="D20" i="18"/>
  <c r="E20" i="18"/>
  <c r="H20" i="18"/>
  <c r="I20" i="18"/>
  <c r="J20" i="18"/>
  <c r="D21" i="18"/>
  <c r="E21" i="18"/>
  <c r="H21" i="18"/>
  <c r="I21" i="18"/>
  <c r="J21" i="18"/>
  <c r="D22" i="18"/>
  <c r="E22" i="18"/>
  <c r="H22" i="18"/>
  <c r="I22" i="18"/>
  <c r="J22" i="18"/>
  <c r="D23" i="18"/>
  <c r="E23" i="18"/>
  <c r="H23" i="18"/>
  <c r="I23" i="18"/>
  <c r="J23" i="18"/>
  <c r="D24" i="18"/>
  <c r="E24" i="18"/>
  <c r="H24" i="18"/>
  <c r="I24" i="18"/>
  <c r="J24" i="18"/>
  <c r="D25" i="18"/>
  <c r="E25" i="18"/>
  <c r="H25" i="18"/>
  <c r="I25" i="18"/>
  <c r="D26" i="18"/>
  <c r="E26" i="18"/>
  <c r="H26" i="18"/>
  <c r="I26" i="18"/>
  <c r="E18" i="18"/>
  <c r="H18" i="18"/>
  <c r="I18" i="18"/>
  <c r="J18" i="18"/>
  <c r="C19" i="18"/>
  <c r="C20" i="18"/>
  <c r="C21" i="18"/>
  <c r="C22" i="18"/>
  <c r="C24" i="18"/>
  <c r="C25" i="18"/>
  <c r="C26" i="18"/>
  <c r="D18" i="18"/>
  <c r="C18" i="18"/>
  <c r="I175" i="27"/>
  <c r="I176" i="27" s="1"/>
  <c r="J26" i="18" s="1"/>
  <c r="F176" i="27"/>
  <c r="G26" i="18" s="1"/>
  <c r="E176" i="27"/>
  <c r="F26" i="18" s="1"/>
  <c r="F175" i="27"/>
  <c r="G25" i="18" s="1"/>
  <c r="E175" i="27"/>
  <c r="F25" i="18" s="1"/>
  <c r="F174" i="27"/>
  <c r="G24" i="18" s="1"/>
  <c r="E174" i="27"/>
  <c r="F24" i="18" s="1"/>
  <c r="F173" i="27"/>
  <c r="G23" i="18" s="1"/>
  <c r="E173" i="27"/>
  <c r="F23" i="18" s="1"/>
  <c r="F172" i="27"/>
  <c r="G22" i="18" s="1"/>
  <c r="E172" i="27"/>
  <c r="F22" i="18" s="1"/>
  <c r="F171" i="27"/>
  <c r="G21" i="18" s="1"/>
  <c r="E171" i="27"/>
  <c r="F21" i="18" s="1"/>
  <c r="F170" i="27"/>
  <c r="G20" i="18" s="1"/>
  <c r="E170" i="27"/>
  <c r="F20" i="18" s="1"/>
  <c r="F169" i="27"/>
  <c r="G19" i="18" s="1"/>
  <c r="E169" i="27"/>
  <c r="F19" i="18" s="1"/>
  <c r="F168" i="27"/>
  <c r="G18" i="18" s="1"/>
  <c r="E168" i="27"/>
  <c r="F18" i="18" s="1"/>
  <c r="C8" i="3"/>
  <c r="B24" i="53"/>
  <c r="B25" i="53"/>
  <c r="B23" i="53"/>
  <c r="A24" i="53"/>
  <c r="A25" i="53"/>
  <c r="A23" i="53"/>
  <c r="D8" i="15"/>
  <c r="D27" i="16"/>
  <c r="E27" i="16"/>
  <c r="F27" i="16"/>
  <c r="G27" i="16"/>
  <c r="H27" i="16"/>
  <c r="J27" i="16"/>
  <c r="L27" i="16"/>
  <c r="M27" i="16"/>
  <c r="N27" i="16"/>
  <c r="O27" i="16"/>
  <c r="P27" i="16"/>
  <c r="D28" i="16"/>
  <c r="E28" i="16"/>
  <c r="F28" i="16"/>
  <c r="G28" i="16"/>
  <c r="H28" i="16"/>
  <c r="J28" i="16"/>
  <c r="L28" i="16"/>
  <c r="M28" i="16"/>
  <c r="N28" i="16"/>
  <c r="O28" i="16"/>
  <c r="P28" i="16"/>
  <c r="D29" i="16"/>
  <c r="E29" i="16"/>
  <c r="F29" i="16"/>
  <c r="G29" i="16"/>
  <c r="H29" i="16"/>
  <c r="J29" i="16"/>
  <c r="L29" i="16"/>
  <c r="M29" i="16"/>
  <c r="N29" i="16"/>
  <c r="O29" i="16"/>
  <c r="P29" i="16"/>
  <c r="D30" i="16"/>
  <c r="E30" i="16"/>
  <c r="F30" i="16"/>
  <c r="G30" i="16"/>
  <c r="H30" i="16"/>
  <c r="J30" i="16"/>
  <c r="L30" i="16"/>
  <c r="M30" i="16"/>
  <c r="N30" i="16"/>
  <c r="O30" i="16"/>
  <c r="P30" i="16"/>
  <c r="D31" i="16"/>
  <c r="E31" i="16"/>
  <c r="F31" i="16"/>
  <c r="G31" i="16"/>
  <c r="H31" i="16"/>
  <c r="J31" i="16"/>
  <c r="L31" i="16"/>
  <c r="M31" i="16"/>
  <c r="N31" i="16"/>
  <c r="O31" i="16"/>
  <c r="P31" i="16"/>
  <c r="D32" i="16"/>
  <c r="E32" i="16"/>
  <c r="F32" i="16"/>
  <c r="G32" i="16"/>
  <c r="H32" i="16"/>
  <c r="J32" i="16"/>
  <c r="L32" i="16"/>
  <c r="M32" i="16"/>
  <c r="N32" i="16"/>
  <c r="O32" i="16"/>
  <c r="P32" i="16"/>
  <c r="D33" i="16"/>
  <c r="E33" i="16"/>
  <c r="F33" i="16"/>
  <c r="G33" i="16"/>
  <c r="H33" i="16"/>
  <c r="J33" i="16"/>
  <c r="L33" i="16"/>
  <c r="M33" i="16"/>
  <c r="N33" i="16"/>
  <c r="O33" i="16"/>
  <c r="P33" i="16"/>
  <c r="D34" i="16"/>
  <c r="E34" i="16"/>
  <c r="F34" i="16"/>
  <c r="G34" i="16"/>
  <c r="H34" i="16"/>
  <c r="J34" i="16"/>
  <c r="L34" i="16"/>
  <c r="M34" i="16"/>
  <c r="N34" i="16"/>
  <c r="O34" i="16"/>
  <c r="P34" i="16"/>
  <c r="D35" i="16"/>
  <c r="E35" i="16"/>
  <c r="F35" i="16"/>
  <c r="G35" i="16"/>
  <c r="H35" i="16"/>
  <c r="J35" i="16"/>
  <c r="L35" i="16"/>
  <c r="M35" i="16"/>
  <c r="N35" i="16"/>
  <c r="O35" i="16"/>
  <c r="P35" i="16"/>
  <c r="D36" i="16"/>
  <c r="E36" i="16"/>
  <c r="F36" i="16"/>
  <c r="G36" i="16"/>
  <c r="H36" i="16"/>
  <c r="J36" i="16"/>
  <c r="L36" i="16"/>
  <c r="M36" i="16"/>
  <c r="N36" i="16"/>
  <c r="O36" i="16"/>
  <c r="P36" i="16"/>
  <c r="D37" i="16"/>
  <c r="E37" i="16"/>
  <c r="F37" i="16"/>
  <c r="G37" i="16"/>
  <c r="H37" i="16"/>
  <c r="J37" i="16"/>
  <c r="L37" i="16"/>
  <c r="M37" i="16"/>
  <c r="N37" i="16"/>
  <c r="O37" i="16"/>
  <c r="P37" i="16"/>
  <c r="D38" i="16"/>
  <c r="E38" i="16"/>
  <c r="F38" i="16"/>
  <c r="G38" i="16"/>
  <c r="H38" i="16"/>
  <c r="J38" i="16"/>
  <c r="L38" i="16"/>
  <c r="M38" i="16"/>
  <c r="N38" i="16"/>
  <c r="O38" i="16"/>
  <c r="P38" i="16"/>
  <c r="D39" i="16"/>
  <c r="E39" i="16"/>
  <c r="F39" i="16"/>
  <c r="G39" i="16"/>
  <c r="H39" i="16"/>
  <c r="J39" i="16"/>
  <c r="L39" i="16"/>
  <c r="M39" i="16"/>
  <c r="N39" i="16"/>
  <c r="O39" i="16"/>
  <c r="P39" i="16"/>
  <c r="D40" i="16"/>
  <c r="E40" i="16"/>
  <c r="F40" i="16"/>
  <c r="G40" i="16"/>
  <c r="H40" i="16"/>
  <c r="J40" i="16"/>
  <c r="L40" i="16"/>
  <c r="M40" i="16"/>
  <c r="N40" i="16"/>
  <c r="O40" i="16"/>
  <c r="P40" i="16"/>
  <c r="D41" i="16"/>
  <c r="E41" i="16"/>
  <c r="F41" i="16"/>
  <c r="G41" i="16"/>
  <c r="H41" i="16"/>
  <c r="J41" i="16"/>
  <c r="L41" i="16"/>
  <c r="M41" i="16"/>
  <c r="N41" i="16"/>
  <c r="O41" i="16"/>
  <c r="P41" i="16"/>
  <c r="D42" i="16"/>
  <c r="E42" i="16"/>
  <c r="F42" i="16"/>
  <c r="G42" i="16"/>
  <c r="H42" i="16"/>
  <c r="J42" i="16"/>
  <c r="L42" i="16"/>
  <c r="M42" i="16"/>
  <c r="N42" i="16"/>
  <c r="O42" i="16"/>
  <c r="P42" i="16"/>
  <c r="D43" i="16"/>
  <c r="E43" i="16"/>
  <c r="F43" i="16"/>
  <c r="G43" i="16"/>
  <c r="H43" i="16"/>
  <c r="J43" i="16"/>
  <c r="L43" i="16"/>
  <c r="M43" i="16"/>
  <c r="N43" i="16"/>
  <c r="O43" i="16"/>
  <c r="P43" i="16"/>
  <c r="D44" i="16"/>
  <c r="E44" i="16"/>
  <c r="F44" i="16"/>
  <c r="G44" i="16"/>
  <c r="H44" i="16"/>
  <c r="J44" i="16"/>
  <c r="L44" i="16"/>
  <c r="M44" i="16"/>
  <c r="N44" i="16"/>
  <c r="O44" i="16"/>
  <c r="P44" i="16"/>
  <c r="D45" i="16"/>
  <c r="E45" i="16"/>
  <c r="F45" i="16"/>
  <c r="G45" i="16"/>
  <c r="H45" i="16"/>
  <c r="J45" i="16"/>
  <c r="L45" i="16"/>
  <c r="M45" i="16"/>
  <c r="N45" i="16"/>
  <c r="O45" i="16"/>
  <c r="P45" i="16"/>
  <c r="D46" i="16"/>
  <c r="E46" i="16"/>
  <c r="F46" i="16"/>
  <c r="G46" i="16"/>
  <c r="H46" i="16"/>
  <c r="J46" i="16"/>
  <c r="L46" i="16"/>
  <c r="M46" i="16"/>
  <c r="N46" i="16"/>
  <c r="O46" i="16"/>
  <c r="P46" i="16"/>
  <c r="D47" i="16"/>
  <c r="E47" i="16"/>
  <c r="F47" i="16"/>
  <c r="G47" i="16"/>
  <c r="H47" i="16"/>
  <c r="J47" i="16"/>
  <c r="L47" i="16"/>
  <c r="M47" i="16"/>
  <c r="N47" i="16"/>
  <c r="O47" i="16"/>
  <c r="P47" i="16"/>
  <c r="D48" i="16"/>
  <c r="E48" i="16"/>
  <c r="F48" i="16"/>
  <c r="G48" i="16"/>
  <c r="H48" i="16"/>
  <c r="J48" i="16"/>
  <c r="L48" i="16"/>
  <c r="M48" i="16"/>
  <c r="N48" i="16"/>
  <c r="O48" i="16"/>
  <c r="P48" i="16"/>
  <c r="D49" i="16"/>
  <c r="E49" i="16"/>
  <c r="F49" i="16"/>
  <c r="G49" i="16"/>
  <c r="H49" i="16"/>
  <c r="J49" i="16"/>
  <c r="L49" i="16"/>
  <c r="M49" i="16"/>
  <c r="N49" i="16"/>
  <c r="O49" i="16"/>
  <c r="P49" i="16"/>
  <c r="D50" i="16"/>
  <c r="E50" i="16"/>
  <c r="F50" i="16"/>
  <c r="G50" i="16"/>
  <c r="H50" i="16"/>
  <c r="J50" i="16"/>
  <c r="L50" i="16"/>
  <c r="M50" i="16"/>
  <c r="N50" i="16"/>
  <c r="O50" i="16"/>
  <c r="P50" i="16"/>
  <c r="D51" i="16"/>
  <c r="E51" i="16"/>
  <c r="F51" i="16"/>
  <c r="G51" i="16"/>
  <c r="H51" i="16"/>
  <c r="J51" i="16"/>
  <c r="L51" i="16"/>
  <c r="M51" i="16"/>
  <c r="N51" i="16"/>
  <c r="O51" i="16"/>
  <c r="P51" i="16"/>
  <c r="D52" i="16"/>
  <c r="E52" i="16"/>
  <c r="F52" i="16"/>
  <c r="G52" i="16"/>
  <c r="H52" i="16"/>
  <c r="J52" i="16"/>
  <c r="L52" i="16"/>
  <c r="M52" i="16"/>
  <c r="N52" i="16"/>
  <c r="O52" i="16"/>
  <c r="P52" i="16"/>
  <c r="D53" i="16"/>
  <c r="E53" i="16"/>
  <c r="F53" i="16"/>
  <c r="G53" i="16"/>
  <c r="H53" i="16"/>
  <c r="J53" i="16"/>
  <c r="L53" i="16"/>
  <c r="M53" i="16"/>
  <c r="N53" i="16"/>
  <c r="O53" i="16"/>
  <c r="P53" i="16"/>
  <c r="D54" i="16"/>
  <c r="E54" i="16"/>
  <c r="F54" i="16"/>
  <c r="G54" i="16"/>
  <c r="H54" i="16"/>
  <c r="J54" i="16"/>
  <c r="L54" i="16"/>
  <c r="M54" i="16"/>
  <c r="N54" i="16"/>
  <c r="O54" i="16"/>
  <c r="P54" i="16"/>
  <c r="D55" i="16"/>
  <c r="E55" i="16"/>
  <c r="F55" i="16"/>
  <c r="G55" i="16"/>
  <c r="H55" i="16"/>
  <c r="J55" i="16"/>
  <c r="L55" i="16"/>
  <c r="M55" i="16"/>
  <c r="N55" i="16"/>
  <c r="O55" i="16"/>
  <c r="P55" i="16"/>
  <c r="D56" i="16"/>
  <c r="E56" i="16"/>
  <c r="F56" i="16"/>
  <c r="G56" i="16"/>
  <c r="H56" i="16"/>
  <c r="J56" i="16"/>
  <c r="L56" i="16"/>
  <c r="M56" i="16"/>
  <c r="N56" i="16"/>
  <c r="O56" i="16"/>
  <c r="P56" i="16"/>
  <c r="D57" i="16"/>
  <c r="E57" i="16"/>
  <c r="F57" i="16"/>
  <c r="G57" i="16"/>
  <c r="H57" i="16"/>
  <c r="J57" i="16"/>
  <c r="L57" i="16"/>
  <c r="M57" i="16"/>
  <c r="N57" i="16"/>
  <c r="O57" i="16"/>
  <c r="P57" i="16"/>
  <c r="D58" i="16"/>
  <c r="E58" i="16"/>
  <c r="F58" i="16"/>
  <c r="G58" i="16"/>
  <c r="H58" i="16"/>
  <c r="J58" i="16"/>
  <c r="L58" i="16"/>
  <c r="M58" i="16"/>
  <c r="N58" i="16"/>
  <c r="O58" i="16"/>
  <c r="P58" i="16"/>
  <c r="D59" i="16"/>
  <c r="E59" i="16"/>
  <c r="F59" i="16"/>
  <c r="G59" i="16"/>
  <c r="H59" i="16"/>
  <c r="J59" i="16"/>
  <c r="L59" i="16"/>
  <c r="M59" i="16"/>
  <c r="N59" i="16"/>
  <c r="O59" i="16"/>
  <c r="P59" i="16"/>
  <c r="D60" i="16"/>
  <c r="E60" i="16"/>
  <c r="F60" i="16"/>
  <c r="G60" i="16"/>
  <c r="H60" i="16"/>
  <c r="J60" i="16"/>
  <c r="L60" i="16"/>
  <c r="M60" i="16"/>
  <c r="N60" i="16"/>
  <c r="O60" i="16"/>
  <c r="P60" i="16"/>
  <c r="D61" i="16"/>
  <c r="E61" i="16"/>
  <c r="F61" i="16"/>
  <c r="G61" i="16"/>
  <c r="H61" i="16"/>
  <c r="J61" i="16"/>
  <c r="L61" i="16"/>
  <c r="M61" i="16"/>
  <c r="N61" i="16"/>
  <c r="O61" i="16"/>
  <c r="P61" i="16"/>
  <c r="D62" i="16"/>
  <c r="E62" i="16"/>
  <c r="F62" i="16"/>
  <c r="G62" i="16"/>
  <c r="H62" i="16"/>
  <c r="J62" i="16"/>
  <c r="L62" i="16"/>
  <c r="M62" i="16"/>
  <c r="N62" i="16"/>
  <c r="O62" i="16"/>
  <c r="P62" i="16"/>
  <c r="D63" i="16"/>
  <c r="E63" i="16"/>
  <c r="F63" i="16"/>
  <c r="G63" i="16"/>
  <c r="H63" i="16"/>
  <c r="J63" i="16"/>
  <c r="L63" i="16"/>
  <c r="M63" i="16"/>
  <c r="N63" i="16"/>
  <c r="O63" i="16"/>
  <c r="P63" i="16"/>
  <c r="D64" i="16"/>
  <c r="E64" i="16"/>
  <c r="F64" i="16"/>
  <c r="G64" i="16"/>
  <c r="H64" i="16"/>
  <c r="J64" i="16"/>
  <c r="L64" i="16"/>
  <c r="M64" i="16"/>
  <c r="N64" i="16"/>
  <c r="O64" i="16"/>
  <c r="P64" i="16"/>
  <c r="D65" i="16"/>
  <c r="E65" i="16"/>
  <c r="F65" i="16"/>
  <c r="G65" i="16"/>
  <c r="H65" i="16"/>
  <c r="J65" i="16"/>
  <c r="L65" i="16"/>
  <c r="M65" i="16"/>
  <c r="N65" i="16"/>
  <c r="O65" i="16"/>
  <c r="P65" i="16"/>
  <c r="D66" i="16"/>
  <c r="E66" i="16"/>
  <c r="F66" i="16"/>
  <c r="G66" i="16"/>
  <c r="H66" i="16"/>
  <c r="J66" i="16"/>
  <c r="L66" i="16"/>
  <c r="M66" i="16"/>
  <c r="N66" i="16"/>
  <c r="O66" i="16"/>
  <c r="P66" i="16"/>
  <c r="D67" i="16"/>
  <c r="E67" i="16"/>
  <c r="F67" i="16"/>
  <c r="G67" i="16"/>
  <c r="H67" i="16"/>
  <c r="J67" i="16"/>
  <c r="L67" i="16"/>
  <c r="M67" i="16"/>
  <c r="N67" i="16"/>
  <c r="O67" i="16"/>
  <c r="P67" i="16"/>
  <c r="D68" i="16"/>
  <c r="E68" i="16"/>
  <c r="F68" i="16"/>
  <c r="G68" i="16"/>
  <c r="H68" i="16"/>
  <c r="J68" i="16"/>
  <c r="L68" i="16"/>
  <c r="M68" i="16"/>
  <c r="N68" i="16"/>
  <c r="O68" i="16"/>
  <c r="P68" i="16"/>
  <c r="D69" i="16"/>
  <c r="E69" i="16"/>
  <c r="F69" i="16"/>
  <c r="G69" i="16"/>
  <c r="H69" i="16"/>
  <c r="J69" i="16"/>
  <c r="L69" i="16"/>
  <c r="M69" i="16"/>
  <c r="N69" i="16"/>
  <c r="O69" i="16"/>
  <c r="P69" i="16"/>
  <c r="D70" i="16"/>
  <c r="E70" i="16"/>
  <c r="F70" i="16"/>
  <c r="G70" i="16"/>
  <c r="H70" i="16"/>
  <c r="J70" i="16"/>
  <c r="L70" i="16"/>
  <c r="M70" i="16"/>
  <c r="N70" i="16"/>
  <c r="O70" i="16"/>
  <c r="P70" i="16"/>
  <c r="D71" i="16"/>
  <c r="E71" i="16"/>
  <c r="F71" i="16"/>
  <c r="G71" i="16"/>
  <c r="H71" i="16"/>
  <c r="J71" i="16"/>
  <c r="L71" i="16"/>
  <c r="M71" i="16"/>
  <c r="N71" i="16"/>
  <c r="O71" i="16"/>
  <c r="P71" i="16"/>
  <c r="D72" i="16"/>
  <c r="E72" i="16"/>
  <c r="F72" i="16"/>
  <c r="G72" i="16"/>
  <c r="H72" i="16"/>
  <c r="J72" i="16"/>
  <c r="L72" i="16"/>
  <c r="M72" i="16"/>
  <c r="N72" i="16"/>
  <c r="O72" i="16"/>
  <c r="P72" i="16"/>
  <c r="D73" i="16"/>
  <c r="E73" i="16"/>
  <c r="F73" i="16"/>
  <c r="G73" i="16"/>
  <c r="H73" i="16"/>
  <c r="J73" i="16"/>
  <c r="L73" i="16"/>
  <c r="M73" i="16"/>
  <c r="N73" i="16"/>
  <c r="O73" i="16"/>
  <c r="P73" i="16"/>
  <c r="D74" i="16"/>
  <c r="E74" i="16"/>
  <c r="F74" i="16"/>
  <c r="G74" i="16"/>
  <c r="H74" i="16"/>
  <c r="J74" i="16"/>
  <c r="L74" i="16"/>
  <c r="M74" i="16"/>
  <c r="N74" i="16"/>
  <c r="O74" i="16"/>
  <c r="P74" i="16"/>
  <c r="D75" i="16"/>
  <c r="E75" i="16"/>
  <c r="F75" i="16"/>
  <c r="G75" i="16"/>
  <c r="H75" i="16"/>
  <c r="J75" i="16"/>
  <c r="L75" i="16"/>
  <c r="M75" i="16"/>
  <c r="N75" i="16"/>
  <c r="O75" i="16"/>
  <c r="P75" i="16"/>
  <c r="D76" i="16"/>
  <c r="E76" i="16"/>
  <c r="F76" i="16"/>
  <c r="G76" i="16"/>
  <c r="H76" i="16"/>
  <c r="J76" i="16"/>
  <c r="L76" i="16"/>
  <c r="M76" i="16"/>
  <c r="N76" i="16"/>
  <c r="O76" i="16"/>
  <c r="P76" i="16"/>
  <c r="D77" i="16"/>
  <c r="E77" i="16"/>
  <c r="F77" i="16"/>
  <c r="G77" i="16"/>
  <c r="H77" i="16"/>
  <c r="J77" i="16"/>
  <c r="L77" i="16"/>
  <c r="M77" i="16"/>
  <c r="N77" i="16"/>
  <c r="O77" i="16"/>
  <c r="P77" i="16"/>
  <c r="D78" i="16"/>
  <c r="E78" i="16"/>
  <c r="F78" i="16"/>
  <c r="G78" i="16"/>
  <c r="H78" i="16"/>
  <c r="J78" i="16"/>
  <c r="L78" i="16"/>
  <c r="M78" i="16"/>
  <c r="N78" i="16"/>
  <c r="O78" i="16"/>
  <c r="P78" i="16"/>
  <c r="D79" i="16"/>
  <c r="E79" i="16"/>
  <c r="F79" i="16"/>
  <c r="G79" i="16"/>
  <c r="H79" i="16"/>
  <c r="J79" i="16"/>
  <c r="L79" i="16"/>
  <c r="M79" i="16"/>
  <c r="N79" i="16"/>
  <c r="O79" i="16"/>
  <c r="P79" i="16"/>
  <c r="D80" i="16"/>
  <c r="E80" i="16"/>
  <c r="F80" i="16"/>
  <c r="G80" i="16"/>
  <c r="H80" i="16"/>
  <c r="J80" i="16"/>
  <c r="L80" i="16"/>
  <c r="M80" i="16"/>
  <c r="N80" i="16"/>
  <c r="O80" i="16"/>
  <c r="P80" i="16"/>
  <c r="D81" i="16"/>
  <c r="E81" i="16"/>
  <c r="F81" i="16"/>
  <c r="G81" i="16"/>
  <c r="H81" i="16"/>
  <c r="J81" i="16"/>
  <c r="L81" i="16"/>
  <c r="M81" i="16"/>
  <c r="N81" i="16"/>
  <c r="O81" i="16"/>
  <c r="P81" i="16"/>
  <c r="D82" i="16"/>
  <c r="E82" i="16"/>
  <c r="F82" i="16"/>
  <c r="G82" i="16"/>
  <c r="H82" i="16"/>
  <c r="J82" i="16"/>
  <c r="L82" i="16"/>
  <c r="M82" i="16"/>
  <c r="N82" i="16"/>
  <c r="O82" i="16"/>
  <c r="P82" i="16"/>
  <c r="D83" i="16"/>
  <c r="E83" i="16"/>
  <c r="F83" i="16"/>
  <c r="G83" i="16"/>
  <c r="H83" i="16"/>
  <c r="J83" i="16"/>
  <c r="L83" i="16"/>
  <c r="M83" i="16"/>
  <c r="N83" i="16"/>
  <c r="O83" i="16"/>
  <c r="P83" i="16"/>
  <c r="D84" i="16"/>
  <c r="E84" i="16"/>
  <c r="F84" i="16"/>
  <c r="G84" i="16"/>
  <c r="H84" i="16"/>
  <c r="J84" i="16"/>
  <c r="L84" i="16"/>
  <c r="M84" i="16"/>
  <c r="N84" i="16"/>
  <c r="O84" i="16"/>
  <c r="P84" i="16"/>
  <c r="D85" i="16"/>
  <c r="E85" i="16"/>
  <c r="F85" i="16"/>
  <c r="G85" i="16"/>
  <c r="H85" i="16"/>
  <c r="J85" i="16"/>
  <c r="L85" i="16"/>
  <c r="M85" i="16"/>
  <c r="N85" i="16"/>
  <c r="O85" i="16"/>
  <c r="P85" i="16"/>
  <c r="D86" i="16"/>
  <c r="E86" i="16"/>
  <c r="F86" i="16"/>
  <c r="G86" i="16"/>
  <c r="H86" i="16"/>
  <c r="J86" i="16"/>
  <c r="L86" i="16"/>
  <c r="M86" i="16"/>
  <c r="N86" i="16"/>
  <c r="O86" i="16"/>
  <c r="P86" i="16"/>
  <c r="D87" i="16"/>
  <c r="E87" i="16"/>
  <c r="F87" i="16"/>
  <c r="G87" i="16"/>
  <c r="H87" i="16"/>
  <c r="J87" i="16"/>
  <c r="L87" i="16"/>
  <c r="M87" i="16"/>
  <c r="N87" i="16"/>
  <c r="O87" i="16"/>
  <c r="P87" i="16"/>
  <c r="D88" i="16"/>
  <c r="E88" i="16"/>
  <c r="F88" i="16"/>
  <c r="G88" i="16"/>
  <c r="H88" i="16"/>
  <c r="J88" i="16"/>
  <c r="L88" i="16"/>
  <c r="M88" i="16"/>
  <c r="N88" i="16"/>
  <c r="O88" i="16"/>
  <c r="P88" i="16"/>
  <c r="D89" i="16"/>
  <c r="E89" i="16"/>
  <c r="F89" i="16"/>
  <c r="G89" i="16"/>
  <c r="H89" i="16"/>
  <c r="J89" i="16"/>
  <c r="L89" i="16"/>
  <c r="M89" i="16"/>
  <c r="N89" i="16"/>
  <c r="O89" i="16"/>
  <c r="P89" i="16"/>
  <c r="D90" i="16"/>
  <c r="E90" i="16"/>
  <c r="F90" i="16"/>
  <c r="G90" i="16"/>
  <c r="H90" i="16"/>
  <c r="J90" i="16"/>
  <c r="L90" i="16"/>
  <c r="M90" i="16"/>
  <c r="N90" i="16"/>
  <c r="O90" i="16"/>
  <c r="P90" i="16"/>
  <c r="D91" i="16"/>
  <c r="E91" i="16"/>
  <c r="F91" i="16"/>
  <c r="G91" i="16"/>
  <c r="H91" i="16"/>
  <c r="J91" i="16"/>
  <c r="L91" i="16"/>
  <c r="M91" i="16"/>
  <c r="N91" i="16"/>
  <c r="O91" i="16"/>
  <c r="P91" i="16"/>
  <c r="D92" i="16"/>
  <c r="E92" i="16"/>
  <c r="F92" i="16"/>
  <c r="G92" i="16"/>
  <c r="H92" i="16"/>
  <c r="J92" i="16"/>
  <c r="L92" i="16"/>
  <c r="M92" i="16"/>
  <c r="N92" i="16"/>
  <c r="O92" i="16"/>
  <c r="P92" i="16"/>
  <c r="D93" i="16"/>
  <c r="E93" i="16"/>
  <c r="F93" i="16"/>
  <c r="G93" i="16"/>
  <c r="H93" i="16"/>
  <c r="J93" i="16"/>
  <c r="L93" i="16"/>
  <c r="M93" i="16"/>
  <c r="N93" i="16"/>
  <c r="O93" i="16"/>
  <c r="P93" i="16"/>
  <c r="D94" i="16"/>
  <c r="E94" i="16"/>
  <c r="F94" i="16"/>
  <c r="G94" i="16"/>
  <c r="H94" i="16"/>
  <c r="J94" i="16"/>
  <c r="L94" i="16"/>
  <c r="M94" i="16"/>
  <c r="N94" i="16"/>
  <c r="O94" i="16"/>
  <c r="P94" i="16"/>
  <c r="D95" i="16"/>
  <c r="E95" i="16"/>
  <c r="F95" i="16"/>
  <c r="G95" i="16"/>
  <c r="H95" i="16"/>
  <c r="J95" i="16"/>
  <c r="L95" i="16"/>
  <c r="M95" i="16"/>
  <c r="N95" i="16"/>
  <c r="O95" i="16"/>
  <c r="P95" i="16"/>
  <c r="D96" i="16"/>
  <c r="E96" i="16"/>
  <c r="F96" i="16"/>
  <c r="G96" i="16"/>
  <c r="H96" i="16"/>
  <c r="J96" i="16"/>
  <c r="L96" i="16"/>
  <c r="M96" i="16"/>
  <c r="N96" i="16"/>
  <c r="O96" i="16"/>
  <c r="P96" i="16"/>
  <c r="D97" i="16"/>
  <c r="E97" i="16"/>
  <c r="F97" i="16"/>
  <c r="G97" i="16"/>
  <c r="H97" i="16"/>
  <c r="J97" i="16"/>
  <c r="L97" i="16"/>
  <c r="M97" i="16"/>
  <c r="N97" i="16"/>
  <c r="O97" i="16"/>
  <c r="P97" i="16"/>
  <c r="D98" i="16"/>
  <c r="E98" i="16"/>
  <c r="F98" i="16"/>
  <c r="G98" i="16"/>
  <c r="H98" i="16"/>
  <c r="J98" i="16"/>
  <c r="L98" i="16"/>
  <c r="M98" i="16"/>
  <c r="N98" i="16"/>
  <c r="O98" i="16"/>
  <c r="P98" i="16"/>
  <c r="D99" i="16"/>
  <c r="E99" i="16"/>
  <c r="F99" i="16"/>
  <c r="G99" i="16"/>
  <c r="H99" i="16"/>
  <c r="J99" i="16"/>
  <c r="L99" i="16"/>
  <c r="M99" i="16"/>
  <c r="N99" i="16"/>
  <c r="O99" i="16"/>
  <c r="P99" i="16"/>
  <c r="D100" i="16"/>
  <c r="E100" i="16"/>
  <c r="F100" i="16"/>
  <c r="G100" i="16"/>
  <c r="H100" i="16"/>
  <c r="J100" i="16"/>
  <c r="L100" i="16"/>
  <c r="M100" i="16"/>
  <c r="N100" i="16"/>
  <c r="O100" i="16"/>
  <c r="P100" i="16"/>
  <c r="D101" i="16"/>
  <c r="E101" i="16"/>
  <c r="F101" i="16"/>
  <c r="G101" i="16"/>
  <c r="H101" i="16"/>
  <c r="J101" i="16"/>
  <c r="L101" i="16"/>
  <c r="M101" i="16"/>
  <c r="N101" i="16"/>
  <c r="O101" i="16"/>
  <c r="P101" i="16"/>
  <c r="D102" i="16"/>
  <c r="E102" i="16"/>
  <c r="F102" i="16"/>
  <c r="G102" i="16"/>
  <c r="H102" i="16"/>
  <c r="J102" i="16"/>
  <c r="L102" i="16"/>
  <c r="M102" i="16"/>
  <c r="N102" i="16"/>
  <c r="O102" i="16"/>
  <c r="P102" i="16"/>
  <c r="D103" i="16"/>
  <c r="E103" i="16"/>
  <c r="F103" i="16"/>
  <c r="G103" i="16"/>
  <c r="H103" i="16"/>
  <c r="J103" i="16"/>
  <c r="L103" i="16"/>
  <c r="M103" i="16"/>
  <c r="N103" i="16"/>
  <c r="O103" i="16"/>
  <c r="P103" i="16"/>
  <c r="D104" i="16"/>
  <c r="E104" i="16"/>
  <c r="F104" i="16"/>
  <c r="G104" i="16"/>
  <c r="H104" i="16"/>
  <c r="J104" i="16"/>
  <c r="L104" i="16"/>
  <c r="M104" i="16"/>
  <c r="N104" i="16"/>
  <c r="O104" i="16"/>
  <c r="P104" i="16"/>
  <c r="D105" i="16"/>
  <c r="E105" i="16"/>
  <c r="F105" i="16"/>
  <c r="G105" i="16"/>
  <c r="H105" i="16"/>
  <c r="J105" i="16"/>
  <c r="L105" i="16"/>
  <c r="M105" i="16"/>
  <c r="N105" i="16"/>
  <c r="O105" i="16"/>
  <c r="P105" i="16"/>
  <c r="D106" i="16"/>
  <c r="E106" i="16"/>
  <c r="F106" i="16"/>
  <c r="G106" i="16"/>
  <c r="H106" i="16"/>
  <c r="J106" i="16"/>
  <c r="L106" i="16"/>
  <c r="M106" i="16"/>
  <c r="N106" i="16"/>
  <c r="O106" i="16"/>
  <c r="P106" i="16"/>
  <c r="D107" i="16"/>
  <c r="E107" i="16"/>
  <c r="F107" i="16"/>
  <c r="G107" i="16"/>
  <c r="H107" i="16"/>
  <c r="J107" i="16"/>
  <c r="L107" i="16"/>
  <c r="M107" i="16"/>
  <c r="N107" i="16"/>
  <c r="O107" i="16"/>
  <c r="P107" i="16"/>
  <c r="D108" i="16"/>
  <c r="E108" i="16"/>
  <c r="F108" i="16"/>
  <c r="G108" i="16"/>
  <c r="H108" i="16"/>
  <c r="J108" i="16"/>
  <c r="L108" i="16"/>
  <c r="M108" i="16"/>
  <c r="N108" i="16"/>
  <c r="O108" i="16"/>
  <c r="P108" i="16"/>
  <c r="D109" i="16"/>
  <c r="E109" i="16"/>
  <c r="F109" i="16"/>
  <c r="G109" i="16"/>
  <c r="H109" i="16"/>
  <c r="J109" i="16"/>
  <c r="L109" i="16"/>
  <c r="M109" i="16"/>
  <c r="N109" i="16"/>
  <c r="O109" i="16"/>
  <c r="P109" i="16"/>
  <c r="D110" i="16"/>
  <c r="E110" i="16"/>
  <c r="F110" i="16"/>
  <c r="G110" i="16"/>
  <c r="H110" i="16"/>
  <c r="J110" i="16"/>
  <c r="L110" i="16"/>
  <c r="M110" i="16"/>
  <c r="N110" i="16"/>
  <c r="O110" i="16"/>
  <c r="P110" i="16"/>
  <c r="D111" i="16"/>
  <c r="E111" i="16"/>
  <c r="F111" i="16"/>
  <c r="G111" i="16"/>
  <c r="H111" i="16"/>
  <c r="J111" i="16"/>
  <c r="L111" i="16"/>
  <c r="M111" i="16"/>
  <c r="N111" i="16"/>
  <c r="O111" i="16"/>
  <c r="P111" i="16"/>
  <c r="D112" i="16"/>
  <c r="E112" i="16"/>
  <c r="F112" i="16"/>
  <c r="G112" i="16"/>
  <c r="H112" i="16"/>
  <c r="J112" i="16"/>
  <c r="L112" i="16"/>
  <c r="M112" i="16"/>
  <c r="N112" i="16"/>
  <c r="O112" i="16"/>
  <c r="P112" i="16"/>
  <c r="D113" i="16"/>
  <c r="E113" i="16"/>
  <c r="F113" i="16"/>
  <c r="G113" i="16"/>
  <c r="H113" i="16"/>
  <c r="J113" i="16"/>
  <c r="L113" i="16"/>
  <c r="M113" i="16"/>
  <c r="N113" i="16"/>
  <c r="O113" i="16"/>
  <c r="P113" i="16"/>
  <c r="D114" i="16"/>
  <c r="E114" i="16"/>
  <c r="F114" i="16"/>
  <c r="G114" i="16"/>
  <c r="H114" i="16"/>
  <c r="J114" i="16"/>
  <c r="L114" i="16"/>
  <c r="M114" i="16"/>
  <c r="N114" i="16"/>
  <c r="O114" i="16"/>
  <c r="P114" i="16"/>
  <c r="D115" i="16"/>
  <c r="E115" i="16"/>
  <c r="F115" i="16"/>
  <c r="G115" i="16"/>
  <c r="H115" i="16"/>
  <c r="J115" i="16"/>
  <c r="L115" i="16"/>
  <c r="M115" i="16"/>
  <c r="N115" i="16"/>
  <c r="O115" i="16"/>
  <c r="P115" i="16"/>
  <c r="D116" i="16"/>
  <c r="E116" i="16"/>
  <c r="F116" i="16"/>
  <c r="G116" i="16"/>
  <c r="H116" i="16"/>
  <c r="J116" i="16"/>
  <c r="L116" i="16"/>
  <c r="M116" i="16"/>
  <c r="N116" i="16"/>
  <c r="O116" i="16"/>
  <c r="P116" i="16"/>
  <c r="D117" i="16"/>
  <c r="E117" i="16"/>
  <c r="F117" i="16"/>
  <c r="G117" i="16"/>
  <c r="H117" i="16"/>
  <c r="J117" i="16"/>
  <c r="L117" i="16"/>
  <c r="M117" i="16"/>
  <c r="N117" i="16"/>
  <c r="O117" i="16"/>
  <c r="P117" i="16"/>
  <c r="D118" i="16"/>
  <c r="E118" i="16"/>
  <c r="F118" i="16"/>
  <c r="G118" i="16"/>
  <c r="H118" i="16"/>
  <c r="J118" i="16"/>
  <c r="L118" i="16"/>
  <c r="M118" i="16"/>
  <c r="N118" i="16"/>
  <c r="O118" i="16"/>
  <c r="P118" i="16"/>
  <c r="D119" i="16"/>
  <c r="E119" i="16"/>
  <c r="F119" i="16"/>
  <c r="G119" i="16"/>
  <c r="H119" i="16"/>
  <c r="J119" i="16"/>
  <c r="L119" i="16"/>
  <c r="M119" i="16"/>
  <c r="N119" i="16"/>
  <c r="O119" i="16"/>
  <c r="P119" i="16"/>
  <c r="D120" i="16"/>
  <c r="E120" i="16"/>
  <c r="F120" i="16"/>
  <c r="G120" i="16"/>
  <c r="H120" i="16"/>
  <c r="J120" i="16"/>
  <c r="L120" i="16"/>
  <c r="M120" i="16"/>
  <c r="N120" i="16"/>
  <c r="O120" i="16"/>
  <c r="P120" i="16"/>
  <c r="D121" i="16"/>
  <c r="E121" i="16"/>
  <c r="F121" i="16"/>
  <c r="G121" i="16"/>
  <c r="H121" i="16"/>
  <c r="J121" i="16"/>
  <c r="L121" i="16"/>
  <c r="M121" i="16"/>
  <c r="N121" i="16"/>
  <c r="O121" i="16"/>
  <c r="P121" i="16"/>
  <c r="D122" i="16"/>
  <c r="E122" i="16"/>
  <c r="F122" i="16"/>
  <c r="G122" i="16"/>
  <c r="H122" i="16"/>
  <c r="J122" i="16"/>
  <c r="L122" i="16"/>
  <c r="M122" i="16"/>
  <c r="N122" i="16"/>
  <c r="O122" i="16"/>
  <c r="P122" i="16"/>
  <c r="D123" i="16"/>
  <c r="E123" i="16"/>
  <c r="F123" i="16"/>
  <c r="G123" i="16"/>
  <c r="H123" i="16"/>
  <c r="J123" i="16"/>
  <c r="L123" i="16"/>
  <c r="M123" i="16"/>
  <c r="N123" i="16"/>
  <c r="O123" i="16"/>
  <c r="P123" i="16"/>
  <c r="D124" i="16"/>
  <c r="E124" i="16"/>
  <c r="F124" i="16"/>
  <c r="G124" i="16"/>
  <c r="H124" i="16"/>
  <c r="J124" i="16"/>
  <c r="L124" i="16"/>
  <c r="M124" i="16"/>
  <c r="N124" i="16"/>
  <c r="O124" i="16"/>
  <c r="P124" i="16"/>
  <c r="D125" i="16"/>
  <c r="E125" i="16"/>
  <c r="F125" i="16"/>
  <c r="G125" i="16"/>
  <c r="H125" i="16"/>
  <c r="J125" i="16"/>
  <c r="L125" i="16"/>
  <c r="M125" i="16"/>
  <c r="N125" i="16"/>
  <c r="O125" i="16"/>
  <c r="P125" i="16"/>
  <c r="E26" i="16"/>
  <c r="F26" i="16"/>
  <c r="G26" i="16"/>
  <c r="H26" i="16"/>
  <c r="J26" i="16"/>
  <c r="L26" i="16"/>
  <c r="M26" i="16"/>
  <c r="N26" i="16"/>
  <c r="O26" i="16"/>
  <c r="P26" i="16"/>
  <c r="D26" i="16"/>
  <c r="N134" i="15"/>
  <c r="O134" i="15"/>
  <c r="M134" i="15"/>
  <c r="M14" i="16"/>
  <c r="G10" i="49" s="1"/>
  <c r="N14" i="16"/>
  <c r="H10" i="49" s="1"/>
  <c r="M15" i="16"/>
  <c r="G11" i="49" s="1"/>
  <c r="N15" i="16"/>
  <c r="H11" i="49" s="1"/>
  <c r="M16" i="16"/>
  <c r="G12" i="49" s="1"/>
  <c r="N16" i="16"/>
  <c r="H12" i="49" s="1"/>
  <c r="M17" i="16"/>
  <c r="G13" i="49" s="1"/>
  <c r="N17" i="16"/>
  <c r="H13" i="49" s="1"/>
  <c r="M18" i="16"/>
  <c r="G14" i="49" s="1"/>
  <c r="N18" i="16"/>
  <c r="H14" i="49" s="1"/>
  <c r="M19" i="16"/>
  <c r="G15" i="49" s="1"/>
  <c r="K31" i="46" s="1"/>
  <c r="N19" i="16"/>
  <c r="H15" i="49" s="1"/>
  <c r="M20" i="16"/>
  <c r="G16" i="49" s="1"/>
  <c r="N20" i="16"/>
  <c r="H16" i="49" s="1"/>
  <c r="N13" i="16"/>
  <c r="H9" i="49" s="1"/>
  <c r="M13" i="16"/>
  <c r="G9" i="49" s="1"/>
  <c r="K14" i="16"/>
  <c r="D10" i="49" s="1"/>
  <c r="K15" i="16"/>
  <c r="D11" i="49" s="1"/>
  <c r="K16" i="16"/>
  <c r="D12" i="49" s="1"/>
  <c r="K17" i="16"/>
  <c r="D13" i="49" s="1"/>
  <c r="K18" i="16"/>
  <c r="D14" i="49" s="1"/>
  <c r="K19" i="16"/>
  <c r="D15" i="49" s="1"/>
  <c r="K20" i="16"/>
  <c r="D16" i="49" s="1"/>
  <c r="K13" i="16"/>
  <c r="H413" i="56" l="1"/>
  <c r="H403" i="56"/>
  <c r="H398" i="56" s="1"/>
  <c r="F137" i="46"/>
  <c r="K30" i="46"/>
  <c r="I38" i="15"/>
  <c r="K30" i="16" s="1"/>
  <c r="Q30" i="16" s="1"/>
  <c r="I50" i="15"/>
  <c r="I62" i="15"/>
  <c r="I74" i="15"/>
  <c r="I86" i="15"/>
  <c r="I98" i="15"/>
  <c r="I110" i="15"/>
  <c r="I122" i="15"/>
  <c r="I34" i="15"/>
  <c r="K26" i="16" s="1"/>
  <c r="Q26" i="16" s="1"/>
  <c r="I107" i="15"/>
  <c r="I96" i="15"/>
  <c r="I85" i="15"/>
  <c r="I39" i="15"/>
  <c r="I51" i="15"/>
  <c r="I63" i="15"/>
  <c r="I75" i="15"/>
  <c r="I87" i="15"/>
  <c r="I99" i="15"/>
  <c r="I111" i="15"/>
  <c r="I123" i="15"/>
  <c r="I35" i="15"/>
  <c r="K27" i="16" s="1"/>
  <c r="Q27" i="16" s="1"/>
  <c r="Q35" i="15" s="1"/>
  <c r="I83" i="15"/>
  <c r="I108" i="15"/>
  <c r="I49" i="15"/>
  <c r="I40" i="15"/>
  <c r="K32" i="16" s="1"/>
  <c r="Q32" i="16" s="1"/>
  <c r="I52" i="15"/>
  <c r="I64" i="15"/>
  <c r="I76" i="15"/>
  <c r="I88" i="15"/>
  <c r="I100" i="15"/>
  <c r="I112" i="15"/>
  <c r="I124" i="15"/>
  <c r="I59" i="15"/>
  <c r="I60" i="15"/>
  <c r="I61" i="15"/>
  <c r="I41" i="15"/>
  <c r="K33" i="16" s="1"/>
  <c r="Q33" i="16" s="1"/>
  <c r="I53" i="15"/>
  <c r="I65" i="15"/>
  <c r="I77" i="15"/>
  <c r="I89" i="15"/>
  <c r="I101" i="15"/>
  <c r="I113" i="15"/>
  <c r="I125" i="15"/>
  <c r="I95" i="15"/>
  <c r="I84" i="15"/>
  <c r="I73" i="15"/>
  <c r="I42" i="15"/>
  <c r="K34" i="16" s="1"/>
  <c r="Q34" i="16" s="1"/>
  <c r="I54" i="15"/>
  <c r="I66" i="15"/>
  <c r="I78" i="15"/>
  <c r="I90" i="15"/>
  <c r="I102" i="15"/>
  <c r="I114" i="15"/>
  <c r="I126" i="15"/>
  <c r="I71" i="15"/>
  <c r="I120" i="15"/>
  <c r="I133" i="15"/>
  <c r="I43" i="15"/>
  <c r="K35" i="16" s="1"/>
  <c r="Q35" i="16" s="1"/>
  <c r="I55" i="15"/>
  <c r="I67" i="15"/>
  <c r="I79" i="15"/>
  <c r="I91" i="15"/>
  <c r="I103" i="15"/>
  <c r="I115" i="15"/>
  <c r="I127" i="15"/>
  <c r="I47" i="15"/>
  <c r="I48" i="15"/>
  <c r="I121" i="15"/>
  <c r="I44" i="15"/>
  <c r="K36" i="16" s="1"/>
  <c r="Q36" i="16" s="1"/>
  <c r="I56" i="15"/>
  <c r="I68" i="15"/>
  <c r="I80" i="15"/>
  <c r="I92" i="15"/>
  <c r="I104" i="15"/>
  <c r="I116" i="15"/>
  <c r="I128" i="15"/>
  <c r="I119" i="15"/>
  <c r="I36" i="15"/>
  <c r="K28" i="16" s="1"/>
  <c r="Q28" i="16" s="1"/>
  <c r="I97" i="15"/>
  <c r="I45" i="15"/>
  <c r="I57" i="15"/>
  <c r="I69" i="15"/>
  <c r="I81" i="15"/>
  <c r="I93" i="15"/>
  <c r="I105" i="15"/>
  <c r="I117" i="15"/>
  <c r="I129" i="15"/>
  <c r="I131" i="15"/>
  <c r="I72" i="15"/>
  <c r="I109" i="15"/>
  <c r="I46" i="15"/>
  <c r="I58" i="15"/>
  <c r="I70" i="15"/>
  <c r="I82" i="15"/>
  <c r="I94" i="15"/>
  <c r="I106" i="15"/>
  <c r="I118" i="15"/>
  <c r="I130" i="15"/>
  <c r="I132" i="15"/>
  <c r="I37" i="15"/>
  <c r="K29" i="16" s="1"/>
  <c r="Q29" i="16" s="1"/>
  <c r="G405" i="56"/>
  <c r="G415" i="56" s="1"/>
  <c r="G63" i="12" s="1"/>
  <c r="F404" i="56"/>
  <c r="F414" i="56" s="1"/>
  <c r="F413" i="56" s="1"/>
  <c r="G137" i="46"/>
  <c r="G138" i="46" s="1"/>
  <c r="D9" i="49"/>
  <c r="F53" i="12"/>
  <c r="E63" i="12"/>
  <c r="D63" i="12"/>
  <c r="G414" i="56"/>
  <c r="G53" i="12" s="1"/>
  <c r="H53" i="12"/>
  <c r="I63" i="12"/>
  <c r="H63" i="12"/>
  <c r="J44" i="17"/>
  <c r="J25" i="18"/>
  <c r="G35" i="15"/>
  <c r="I27" i="16" s="1"/>
  <c r="G53" i="15"/>
  <c r="G43" i="15"/>
  <c r="I35" i="16" s="1"/>
  <c r="G79" i="15"/>
  <c r="G89" i="15"/>
  <c r="G123" i="15"/>
  <c r="G111" i="15"/>
  <c r="G99" i="15"/>
  <c r="G87" i="15"/>
  <c r="G75" i="15"/>
  <c r="G63" i="15"/>
  <c r="G51" i="15"/>
  <c r="G39" i="15"/>
  <c r="I31" i="16" s="1"/>
  <c r="G34" i="15"/>
  <c r="I26" i="16" s="1"/>
  <c r="G122" i="15"/>
  <c r="G110" i="15"/>
  <c r="G98" i="15"/>
  <c r="G86" i="15"/>
  <c r="G74" i="15"/>
  <c r="G62" i="15"/>
  <c r="G50" i="15"/>
  <c r="G38" i="15"/>
  <c r="I30" i="16" s="1"/>
  <c r="G113" i="15"/>
  <c r="G41" i="15"/>
  <c r="I33" i="16" s="1"/>
  <c r="G133" i="15"/>
  <c r="G121" i="15"/>
  <c r="G109" i="15"/>
  <c r="G97" i="15"/>
  <c r="G85" i="15"/>
  <c r="G73" i="15"/>
  <c r="G61" i="15"/>
  <c r="G49" i="15"/>
  <c r="G37" i="15"/>
  <c r="I29" i="16" s="1"/>
  <c r="G77" i="15"/>
  <c r="G124" i="15"/>
  <c r="G112" i="15"/>
  <c r="G100" i="15"/>
  <c r="G88" i="15"/>
  <c r="G76" i="15"/>
  <c r="G64" i="15"/>
  <c r="G52" i="15"/>
  <c r="G40" i="15"/>
  <c r="I32" i="16" s="1"/>
  <c r="G132" i="15"/>
  <c r="G120" i="15"/>
  <c r="G108" i="15"/>
  <c r="G96" i="15"/>
  <c r="G84" i="15"/>
  <c r="G72" i="15"/>
  <c r="G60" i="15"/>
  <c r="G48" i="15"/>
  <c r="G36" i="15"/>
  <c r="I28" i="16" s="1"/>
  <c r="G125" i="15"/>
  <c r="G65" i="15"/>
  <c r="G131" i="15"/>
  <c r="G119" i="15"/>
  <c r="G107" i="15"/>
  <c r="G95" i="15"/>
  <c r="G83" i="15"/>
  <c r="G71" i="15"/>
  <c r="G59" i="15"/>
  <c r="G47" i="15"/>
  <c r="G130" i="15"/>
  <c r="G118" i="15"/>
  <c r="G106" i="15"/>
  <c r="G94" i="15"/>
  <c r="G82" i="15"/>
  <c r="G70" i="15"/>
  <c r="G58" i="15"/>
  <c r="G46" i="15"/>
  <c r="G101" i="15"/>
  <c r="G117" i="15"/>
  <c r="G105" i="15"/>
  <c r="G93" i="15"/>
  <c r="G81" i="15"/>
  <c r="G69" i="15"/>
  <c r="G57" i="15"/>
  <c r="G45" i="15"/>
  <c r="G116" i="15"/>
  <c r="G104" i="15"/>
  <c r="G80" i="15"/>
  <c r="G68" i="15"/>
  <c r="G56" i="15"/>
  <c r="G44" i="15"/>
  <c r="I36" i="16" s="1"/>
  <c r="G55" i="15"/>
  <c r="G129" i="15"/>
  <c r="G128" i="15"/>
  <c r="G92" i="15"/>
  <c r="G127" i="15"/>
  <c r="G115" i="15"/>
  <c r="G103" i="15"/>
  <c r="G91" i="15"/>
  <c r="G67" i="15"/>
  <c r="G126" i="15"/>
  <c r="G114" i="15"/>
  <c r="G102" i="15"/>
  <c r="G90" i="15"/>
  <c r="G78" i="15"/>
  <c r="G66" i="15"/>
  <c r="G54" i="15"/>
  <c r="G42" i="15"/>
  <c r="I34" i="16" s="1"/>
  <c r="I31" i="27"/>
  <c r="K129" i="46" l="1"/>
  <c r="D60" i="12"/>
  <c r="F138" i="46"/>
  <c r="E60" i="12" s="1"/>
  <c r="F403" i="56"/>
  <c r="G403" i="56"/>
  <c r="F63" i="12"/>
  <c r="D53" i="12"/>
  <c r="E53" i="12"/>
  <c r="F60" i="12"/>
  <c r="G60" i="12"/>
  <c r="K31" i="16"/>
  <c r="Q31" i="16" s="1"/>
  <c r="I95" i="16"/>
  <c r="K67" i="16"/>
  <c r="Q67" i="16" s="1"/>
  <c r="K115" i="16"/>
  <c r="Q115" i="16" s="1"/>
  <c r="K50" i="16"/>
  <c r="Q50" i="16" s="1"/>
  <c r="K98" i="16"/>
  <c r="Q98" i="16" s="1"/>
  <c r="I93" i="16"/>
  <c r="K57" i="16"/>
  <c r="Q57" i="16" s="1"/>
  <c r="I39" i="16"/>
  <c r="I100" i="16"/>
  <c r="I92" i="16"/>
  <c r="K46" i="16"/>
  <c r="Q46" i="16" s="1"/>
  <c r="K94" i="16"/>
  <c r="Q94" i="16" s="1"/>
  <c r="I53" i="16"/>
  <c r="K54" i="16"/>
  <c r="Q54" i="16" s="1"/>
  <c r="I102" i="16"/>
  <c r="K59" i="16"/>
  <c r="Q59" i="16" s="1"/>
  <c r="K83" i="16"/>
  <c r="Q83" i="16" s="1"/>
  <c r="K107" i="16"/>
  <c r="Q107" i="16" s="1"/>
  <c r="I79" i="16"/>
  <c r="I81" i="16"/>
  <c r="I70" i="16"/>
  <c r="I118" i="16"/>
  <c r="I107" i="16"/>
  <c r="I121" i="16"/>
  <c r="K49" i="16"/>
  <c r="Q49" i="16" s="1"/>
  <c r="Q57" i="15" s="1"/>
  <c r="K73" i="16"/>
  <c r="Q73" i="16" s="1"/>
  <c r="K97" i="16"/>
  <c r="K121" i="16"/>
  <c r="Q121" i="16" s="1"/>
  <c r="I60" i="16"/>
  <c r="K56" i="16"/>
  <c r="Q56" i="16" s="1"/>
  <c r="K80" i="16"/>
  <c r="Q80" i="16" s="1"/>
  <c r="K104" i="16"/>
  <c r="Q104" i="16" s="1"/>
  <c r="I37" i="16"/>
  <c r="I85" i="16"/>
  <c r="I38" i="16"/>
  <c r="I86" i="16"/>
  <c r="K48" i="16"/>
  <c r="Q48" i="16" s="1"/>
  <c r="K39" i="16"/>
  <c r="Q39" i="16" s="1"/>
  <c r="K63" i="16"/>
  <c r="Q63" i="16" s="1"/>
  <c r="K87" i="16"/>
  <c r="Q87" i="16" s="1"/>
  <c r="K111" i="16"/>
  <c r="Q111" i="16" s="1"/>
  <c r="I51" i="16"/>
  <c r="I99" i="16"/>
  <c r="K66" i="16"/>
  <c r="Q66" i="16" s="1"/>
  <c r="I117" i="16"/>
  <c r="I64" i="16"/>
  <c r="I112" i="16"/>
  <c r="I56" i="16"/>
  <c r="I104" i="16"/>
  <c r="K78" i="16"/>
  <c r="Q78" i="16" s="1"/>
  <c r="K52" i="16"/>
  <c r="Q52" i="16" s="1"/>
  <c r="K76" i="16"/>
  <c r="K100" i="16"/>
  <c r="Q100" i="16" s="1"/>
  <c r="K124" i="16"/>
  <c r="I65" i="16"/>
  <c r="I113" i="16"/>
  <c r="K72" i="16"/>
  <c r="Q72" i="16" s="1"/>
  <c r="I105" i="16"/>
  <c r="I66" i="16"/>
  <c r="I114" i="16"/>
  <c r="K41" i="16"/>
  <c r="Q41" i="16" s="1"/>
  <c r="K65" i="16"/>
  <c r="K89" i="16"/>
  <c r="Q89" i="16" s="1"/>
  <c r="K113" i="16"/>
  <c r="I43" i="16"/>
  <c r="I91" i="16"/>
  <c r="I71" i="16"/>
  <c r="I106" i="16"/>
  <c r="I120" i="16"/>
  <c r="K91" i="16"/>
  <c r="Q91" i="16" s="1"/>
  <c r="I108" i="16"/>
  <c r="K74" i="16"/>
  <c r="Q74" i="16" s="1"/>
  <c r="I73" i="16"/>
  <c r="I74" i="16"/>
  <c r="K81" i="16"/>
  <c r="Q81" i="16" s="1"/>
  <c r="I87" i="16"/>
  <c r="K42" i="16"/>
  <c r="Q42" i="16" s="1"/>
  <c r="I52" i="16"/>
  <c r="I44" i="16"/>
  <c r="I69" i="16"/>
  <c r="K70" i="16"/>
  <c r="Q70" i="16" s="1"/>
  <c r="K118" i="16"/>
  <c r="Q118" i="16" s="1"/>
  <c r="I101" i="16"/>
  <c r="I54" i="16"/>
  <c r="I82" i="16"/>
  <c r="I59" i="16"/>
  <c r="I119" i="16"/>
  <c r="K55" i="16"/>
  <c r="K79" i="16"/>
  <c r="Q79" i="16" s="1"/>
  <c r="K103" i="16"/>
  <c r="I47" i="16"/>
  <c r="I72" i="16"/>
  <c r="K38" i="16"/>
  <c r="Q38" i="16" s="1"/>
  <c r="K62" i="16"/>
  <c r="K86" i="16"/>
  <c r="Q86" i="16" s="1"/>
  <c r="K110" i="16"/>
  <c r="I49" i="16"/>
  <c r="I97" i="16"/>
  <c r="I50" i="16"/>
  <c r="I98" i="16"/>
  <c r="K102" i="16"/>
  <c r="Q102" i="16" s="1"/>
  <c r="K45" i="16"/>
  <c r="Q45" i="16" s="1"/>
  <c r="K69" i="16"/>
  <c r="K93" i="16"/>
  <c r="Q93" i="16" s="1"/>
  <c r="K117" i="16"/>
  <c r="Q117" i="16" s="1"/>
  <c r="Q125" i="15" s="1"/>
  <c r="I63" i="16"/>
  <c r="I111" i="16"/>
  <c r="K84" i="16"/>
  <c r="Q84" i="16" s="1"/>
  <c r="I76" i="16"/>
  <c r="I124" i="16"/>
  <c r="I68" i="16"/>
  <c r="I116" i="16"/>
  <c r="K96" i="16"/>
  <c r="K58" i="16"/>
  <c r="K82" i="16"/>
  <c r="Q82" i="16" s="1"/>
  <c r="K106" i="16"/>
  <c r="I77" i="16"/>
  <c r="I125" i="16"/>
  <c r="K90" i="16"/>
  <c r="I78" i="16"/>
  <c r="K47" i="16"/>
  <c r="Q47" i="16" s="1"/>
  <c r="K71" i="16"/>
  <c r="K95" i="16"/>
  <c r="Q95" i="16" s="1"/>
  <c r="K119" i="16"/>
  <c r="I55" i="16"/>
  <c r="I103" i="16"/>
  <c r="I58" i="16"/>
  <c r="K43" i="16"/>
  <c r="Q43" i="16" s="1"/>
  <c r="I48" i="16"/>
  <c r="K122" i="16"/>
  <c r="Q122" i="16" s="1"/>
  <c r="I122" i="16"/>
  <c r="K105" i="16"/>
  <c r="Q105" i="16" s="1"/>
  <c r="I57" i="16"/>
  <c r="K60" i="16"/>
  <c r="Q60" i="16" s="1"/>
  <c r="I46" i="16"/>
  <c r="I94" i="16"/>
  <c r="I83" i="16"/>
  <c r="I84" i="16"/>
  <c r="K37" i="16"/>
  <c r="K61" i="16"/>
  <c r="Q61" i="16" s="1"/>
  <c r="K85" i="16"/>
  <c r="Q85" i="16" s="1"/>
  <c r="Q93" i="15" s="1"/>
  <c r="K109" i="16"/>
  <c r="Q109" i="16" s="1"/>
  <c r="I96" i="16"/>
  <c r="K44" i="16"/>
  <c r="K68" i="16"/>
  <c r="K92" i="16"/>
  <c r="K116" i="16"/>
  <c r="I61" i="16"/>
  <c r="I109" i="16"/>
  <c r="I62" i="16"/>
  <c r="I110" i="16"/>
  <c r="K51" i="16"/>
  <c r="K75" i="16"/>
  <c r="Q75" i="16" s="1"/>
  <c r="Q83" i="15" s="1"/>
  <c r="K99" i="16"/>
  <c r="K123" i="16"/>
  <c r="I75" i="16"/>
  <c r="I123" i="16"/>
  <c r="K114" i="16"/>
  <c r="I40" i="16"/>
  <c r="I88" i="16"/>
  <c r="I80" i="16"/>
  <c r="K120" i="16"/>
  <c r="Q120" i="16" s="1"/>
  <c r="K40" i="16"/>
  <c r="Q40" i="16" s="1"/>
  <c r="K64" i="16"/>
  <c r="K88" i="16"/>
  <c r="Q88" i="16" s="1"/>
  <c r="K112" i="16"/>
  <c r="I41" i="16"/>
  <c r="I89" i="16"/>
  <c r="K108" i="16"/>
  <c r="I42" i="16"/>
  <c r="I90" i="16"/>
  <c r="K53" i="16"/>
  <c r="K77" i="16"/>
  <c r="Q77" i="16" s="1"/>
  <c r="K101" i="16"/>
  <c r="K125" i="16"/>
  <c r="Q125" i="16" s="1"/>
  <c r="I67" i="16"/>
  <c r="I115" i="16"/>
  <c r="I45" i="16"/>
  <c r="G413" i="56"/>
  <c r="H408" i="56"/>
  <c r="I53" i="12"/>
  <c r="J63" i="12"/>
  <c r="Q44" i="15"/>
  <c r="Q37" i="15"/>
  <c r="Q42" i="15"/>
  <c r="Q41" i="15"/>
  <c r="Q43" i="15"/>
  <c r="I414" i="56"/>
  <c r="I415" i="56"/>
  <c r="H142" i="15"/>
  <c r="H143" i="15" s="1"/>
  <c r="I51" i="12" s="1"/>
  <c r="Q34" i="15"/>
  <c r="F142" i="15"/>
  <c r="I138" i="46" l="1"/>
  <c r="L60" i="12" s="1"/>
  <c r="Q119" i="16"/>
  <c r="Q127" i="15" s="1"/>
  <c r="Q113" i="16"/>
  <c r="Q121" i="15" s="1"/>
  <c r="Q114" i="16"/>
  <c r="Q122" i="15" s="1"/>
  <c r="Q92" i="16"/>
  <c r="Q100" i="15" s="1"/>
  <c r="Q71" i="16"/>
  <c r="Q79" i="15" s="1"/>
  <c r="Q65" i="16"/>
  <c r="Q73" i="15" s="1"/>
  <c r="Q64" i="16"/>
  <c r="Q72" i="15" s="1"/>
  <c r="Q58" i="16"/>
  <c r="Q66" i="15" s="1"/>
  <c r="Q124" i="16"/>
  <c r="Q132" i="15" s="1"/>
  <c r="Q96" i="16"/>
  <c r="Q104" i="15" s="1"/>
  <c r="Q53" i="16"/>
  <c r="Q61" i="15" s="1"/>
  <c r="Q68" i="16"/>
  <c r="Q76" i="15" s="1"/>
  <c r="Q106" i="16"/>
  <c r="Q114" i="15" s="1"/>
  <c r="Q44" i="16"/>
  <c r="Q52" i="15" s="1"/>
  <c r="Q110" i="16"/>
  <c r="Q118" i="15" s="1"/>
  <c r="Q51" i="16"/>
  <c r="Q59" i="15" s="1"/>
  <c r="Q37" i="16"/>
  <c r="Q45" i="15" s="1"/>
  <c r="Q97" i="16"/>
  <c r="Q105" i="15" s="1"/>
  <c r="Q123" i="16"/>
  <c r="Q131" i="15" s="1"/>
  <c r="Q90" i="16"/>
  <c r="Q98" i="15" s="1"/>
  <c r="Q69" i="16"/>
  <c r="Q77" i="15" s="1"/>
  <c r="Q55" i="16"/>
  <c r="Q63" i="15" s="1"/>
  <c r="Q76" i="16"/>
  <c r="Q84" i="15" s="1"/>
  <c r="Q108" i="16"/>
  <c r="Q116" i="15" s="1"/>
  <c r="Q62" i="16"/>
  <c r="Q70" i="15" s="1"/>
  <c r="Q101" i="16"/>
  <c r="Q109" i="15" s="1"/>
  <c r="Q103" i="16"/>
  <c r="Q111" i="15" s="1"/>
  <c r="Q116" i="16"/>
  <c r="Q124" i="15" s="1"/>
  <c r="Q112" i="16"/>
  <c r="Q120" i="15" s="1"/>
  <c r="Q99" i="16"/>
  <c r="Q107" i="15" s="1"/>
  <c r="J60" i="12"/>
  <c r="Q39" i="15"/>
  <c r="Q53" i="15"/>
  <c r="Q128" i="15"/>
  <c r="Q108" i="15"/>
  <c r="Q123" i="15"/>
  <c r="Q101" i="15"/>
  <c r="Q62" i="15"/>
  <c r="Q112" i="15"/>
  <c r="Q81" i="15"/>
  <c r="Q99" i="15"/>
  <c r="Q54" i="15"/>
  <c r="Q56" i="15"/>
  <c r="Q130" i="15"/>
  <c r="Q91" i="15"/>
  <c r="Q117" i="15"/>
  <c r="Q103" i="15"/>
  <c r="Q106" i="15"/>
  <c r="Q88" i="15"/>
  <c r="Q89" i="15"/>
  <c r="Q126" i="15"/>
  <c r="Q87" i="15"/>
  <c r="Q48" i="15"/>
  <c r="Q90" i="15"/>
  <c r="Q92" i="15"/>
  <c r="Q85" i="15"/>
  <c r="Q46" i="15"/>
  <c r="Q96" i="15"/>
  <c r="Q65" i="15"/>
  <c r="Q67" i="15"/>
  <c r="Q82" i="15"/>
  <c r="Q75" i="15"/>
  <c r="G142" i="15"/>
  <c r="G143" i="15" s="1"/>
  <c r="G51" i="12" s="1"/>
  <c r="Q38" i="15"/>
  <c r="Q78" i="15"/>
  <c r="Q64" i="15"/>
  <c r="Q97" i="15"/>
  <c r="Q115" i="15"/>
  <c r="Q86" i="15"/>
  <c r="Q110" i="15"/>
  <c r="Q71" i="15"/>
  <c r="Q129" i="15"/>
  <c r="Q74" i="15"/>
  <c r="Q60" i="15"/>
  <c r="Q95" i="15"/>
  <c r="Q133" i="15"/>
  <c r="Q69" i="15"/>
  <c r="Q94" i="15"/>
  <c r="Q119" i="15"/>
  <c r="Q55" i="15"/>
  <c r="Q80" i="15"/>
  <c r="Q113" i="15"/>
  <c r="Q49" i="15"/>
  <c r="Q58" i="15"/>
  <c r="Q51" i="15"/>
  <c r="Q102" i="15"/>
  <c r="Q47" i="15"/>
  <c r="Q50" i="15"/>
  <c r="Q68" i="15"/>
  <c r="Q40" i="15"/>
  <c r="J53" i="12"/>
  <c r="I413" i="56"/>
  <c r="Q36" i="15"/>
  <c r="F143" i="15"/>
  <c r="E51" i="12" s="1"/>
  <c r="Q134" i="15" l="1"/>
  <c r="J51" i="12"/>
  <c r="I143" i="15"/>
  <c r="L51" i="12" s="1"/>
  <c r="D7" i="17"/>
  <c r="B122" i="18"/>
  <c r="C122" i="18"/>
  <c r="P122" i="18" s="1"/>
  <c r="D122" i="18"/>
  <c r="E122" i="18"/>
  <c r="G122" i="18"/>
  <c r="H122" i="18"/>
  <c r="B123" i="18"/>
  <c r="C123" i="18"/>
  <c r="K123" i="18" s="1"/>
  <c r="D123" i="18"/>
  <c r="E123" i="18"/>
  <c r="G123" i="18"/>
  <c r="H123" i="18"/>
  <c r="B124" i="18"/>
  <c r="C124" i="18"/>
  <c r="D124" i="18"/>
  <c r="E124" i="18"/>
  <c r="G124" i="18"/>
  <c r="H124" i="18"/>
  <c r="B125" i="18"/>
  <c r="C125" i="18"/>
  <c r="D125" i="18"/>
  <c r="E125" i="18"/>
  <c r="G125" i="18"/>
  <c r="H125" i="18"/>
  <c r="B126" i="18"/>
  <c r="C126" i="18"/>
  <c r="W126" i="18" s="1"/>
  <c r="D126" i="18"/>
  <c r="E126" i="18"/>
  <c r="G126" i="18"/>
  <c r="H126" i="18"/>
  <c r="B127" i="18"/>
  <c r="C127" i="18"/>
  <c r="M127" i="18" s="1"/>
  <c r="D127" i="18"/>
  <c r="E127" i="18"/>
  <c r="G127" i="18"/>
  <c r="H127" i="18"/>
  <c r="B128" i="18"/>
  <c r="C128" i="18"/>
  <c r="P128" i="18" s="1"/>
  <c r="D128" i="18"/>
  <c r="E128" i="18"/>
  <c r="G128" i="18"/>
  <c r="H128" i="18"/>
  <c r="B129" i="18"/>
  <c r="C129" i="18"/>
  <c r="K129" i="18" s="1"/>
  <c r="D129" i="18"/>
  <c r="E129" i="18"/>
  <c r="G129" i="18"/>
  <c r="H129" i="18"/>
  <c r="B130" i="18"/>
  <c r="C130" i="18"/>
  <c r="Q130" i="18" s="1"/>
  <c r="D130" i="18"/>
  <c r="E130" i="18"/>
  <c r="G130" i="18"/>
  <c r="H130" i="18"/>
  <c r="B131" i="18"/>
  <c r="C131" i="18"/>
  <c r="D131" i="18"/>
  <c r="E131" i="18"/>
  <c r="G131" i="18"/>
  <c r="H131" i="18"/>
  <c r="B132" i="18"/>
  <c r="C132" i="18"/>
  <c r="D132" i="18"/>
  <c r="E132" i="18"/>
  <c r="G132" i="18"/>
  <c r="H132" i="18"/>
  <c r="B133" i="18"/>
  <c r="C133" i="18"/>
  <c r="O133" i="18" s="1"/>
  <c r="D133" i="18"/>
  <c r="E133" i="18"/>
  <c r="G133" i="18"/>
  <c r="H133" i="18"/>
  <c r="B134" i="18"/>
  <c r="C134" i="18"/>
  <c r="D134" i="18"/>
  <c r="E134" i="18"/>
  <c r="G134" i="18"/>
  <c r="H134" i="18"/>
  <c r="B135" i="18"/>
  <c r="C135" i="18"/>
  <c r="D135" i="18"/>
  <c r="E135" i="18"/>
  <c r="G135" i="18"/>
  <c r="H135" i="18"/>
  <c r="B136" i="18"/>
  <c r="C136" i="18"/>
  <c r="D136" i="18"/>
  <c r="E136" i="18"/>
  <c r="G136" i="18"/>
  <c r="H136" i="18"/>
  <c r="B137" i="18"/>
  <c r="C137" i="18"/>
  <c r="R137" i="18" s="1"/>
  <c r="D137" i="18"/>
  <c r="E137" i="18"/>
  <c r="G137" i="18"/>
  <c r="H137" i="18"/>
  <c r="B138" i="18"/>
  <c r="C138" i="18"/>
  <c r="R138" i="18" s="1"/>
  <c r="D138" i="18"/>
  <c r="E138" i="18"/>
  <c r="G138" i="18"/>
  <c r="H138" i="18"/>
  <c r="B139" i="18"/>
  <c r="C139" i="18"/>
  <c r="D139" i="18"/>
  <c r="E139" i="18"/>
  <c r="G139" i="18"/>
  <c r="H139" i="18"/>
  <c r="B140" i="18"/>
  <c r="C140" i="18"/>
  <c r="O140" i="18" s="1"/>
  <c r="D140" i="18"/>
  <c r="E140" i="18"/>
  <c r="G140" i="18"/>
  <c r="H140" i="18"/>
  <c r="B141" i="18"/>
  <c r="C141" i="18"/>
  <c r="Q141" i="18" s="1"/>
  <c r="D141" i="18"/>
  <c r="E141" i="18"/>
  <c r="G141" i="18"/>
  <c r="H141" i="18"/>
  <c r="B142" i="18"/>
  <c r="C142" i="18"/>
  <c r="D142" i="18"/>
  <c r="E142" i="18"/>
  <c r="G142" i="18"/>
  <c r="H142" i="18"/>
  <c r="B143" i="18"/>
  <c r="C143" i="18"/>
  <c r="Q143" i="18" s="1"/>
  <c r="D143" i="18"/>
  <c r="E143" i="18"/>
  <c r="G143" i="18"/>
  <c r="H143" i="18"/>
  <c r="B144" i="18"/>
  <c r="C144" i="18"/>
  <c r="D144" i="18"/>
  <c r="E144" i="18"/>
  <c r="G144" i="18"/>
  <c r="H144" i="18"/>
  <c r="B145" i="18"/>
  <c r="C145" i="18"/>
  <c r="D145" i="18"/>
  <c r="E145" i="18"/>
  <c r="G145" i="18"/>
  <c r="H145" i="18"/>
  <c r="B146" i="18"/>
  <c r="C146" i="18"/>
  <c r="D146" i="18"/>
  <c r="E146" i="18"/>
  <c r="G146" i="18"/>
  <c r="H146" i="18"/>
  <c r="B147" i="18"/>
  <c r="C147" i="18"/>
  <c r="R147" i="18" s="1"/>
  <c r="D147" i="18"/>
  <c r="E147" i="18"/>
  <c r="G147" i="18"/>
  <c r="H147" i="18"/>
  <c r="B148" i="18"/>
  <c r="C148" i="18"/>
  <c r="L148" i="18" s="1"/>
  <c r="D148" i="18"/>
  <c r="E148" i="18"/>
  <c r="G148" i="18"/>
  <c r="H148" i="18"/>
  <c r="B149" i="18"/>
  <c r="C149" i="18"/>
  <c r="R149" i="18" s="1"/>
  <c r="D149" i="18"/>
  <c r="E149" i="18"/>
  <c r="G149" i="18"/>
  <c r="H149" i="18"/>
  <c r="B150" i="18"/>
  <c r="C150" i="18"/>
  <c r="D150" i="18"/>
  <c r="E150" i="18"/>
  <c r="G150" i="18"/>
  <c r="H150" i="18"/>
  <c r="B151" i="18"/>
  <c r="C151" i="18"/>
  <c r="R151" i="18" s="1"/>
  <c r="D151" i="18"/>
  <c r="E151" i="18"/>
  <c r="G151" i="18"/>
  <c r="H151" i="18"/>
  <c r="B152" i="18"/>
  <c r="C152" i="18"/>
  <c r="P152" i="18" s="1"/>
  <c r="D152" i="18"/>
  <c r="E152" i="18"/>
  <c r="G152" i="18"/>
  <c r="H152" i="18"/>
  <c r="B153" i="18"/>
  <c r="C153" i="18"/>
  <c r="D153" i="18"/>
  <c r="E153" i="18"/>
  <c r="G153" i="18"/>
  <c r="H153" i="18"/>
  <c r="B154" i="18"/>
  <c r="C154" i="18"/>
  <c r="W154" i="18" s="1"/>
  <c r="D154" i="18"/>
  <c r="E154" i="18"/>
  <c r="G154" i="18"/>
  <c r="H154" i="18"/>
  <c r="B155" i="18"/>
  <c r="C155" i="18"/>
  <c r="M155" i="18" s="1"/>
  <c r="D155" i="18"/>
  <c r="E155" i="18"/>
  <c r="G155" i="18"/>
  <c r="H155" i="18"/>
  <c r="B156" i="18"/>
  <c r="C156" i="18"/>
  <c r="O156" i="18" s="1"/>
  <c r="D156" i="18"/>
  <c r="E156" i="18"/>
  <c r="G156" i="18"/>
  <c r="H156" i="18"/>
  <c r="B157" i="18"/>
  <c r="C157" i="18"/>
  <c r="Q157" i="18" s="1"/>
  <c r="D157" i="18"/>
  <c r="E157" i="18"/>
  <c r="G157" i="18"/>
  <c r="H157" i="18"/>
  <c r="B158" i="18"/>
  <c r="C158" i="18"/>
  <c r="Q158" i="18" s="1"/>
  <c r="D158" i="18"/>
  <c r="E158" i="18"/>
  <c r="G158" i="18"/>
  <c r="H158" i="18"/>
  <c r="B159" i="18"/>
  <c r="J159" i="18" s="1"/>
  <c r="C159" i="18"/>
  <c r="P159" i="18" s="1"/>
  <c r="D159" i="18"/>
  <c r="E159" i="18"/>
  <c r="G159" i="18"/>
  <c r="H159" i="18"/>
  <c r="B160" i="18"/>
  <c r="J160" i="18" s="1"/>
  <c r="C160" i="18"/>
  <c r="R160" i="18" s="1"/>
  <c r="D160" i="18"/>
  <c r="E160" i="18"/>
  <c r="G160" i="18"/>
  <c r="H160" i="18"/>
  <c r="B161" i="18"/>
  <c r="J161" i="18" s="1"/>
  <c r="C161" i="18"/>
  <c r="Q161" i="18" s="1"/>
  <c r="D161" i="18"/>
  <c r="E161" i="18"/>
  <c r="G161" i="18"/>
  <c r="H161" i="18"/>
  <c r="B162" i="18"/>
  <c r="J162" i="18" s="1"/>
  <c r="C162" i="18"/>
  <c r="D162" i="18"/>
  <c r="E162" i="18"/>
  <c r="G162" i="18"/>
  <c r="H162" i="18"/>
  <c r="B163" i="18"/>
  <c r="J163" i="18" s="1"/>
  <c r="C163" i="18"/>
  <c r="R163" i="18" s="1"/>
  <c r="D163" i="18"/>
  <c r="E163" i="18"/>
  <c r="G163" i="18"/>
  <c r="H163" i="18"/>
  <c r="B164" i="18"/>
  <c r="J164" i="18" s="1"/>
  <c r="C164" i="18"/>
  <c r="R164" i="18" s="1"/>
  <c r="D164" i="18"/>
  <c r="E164" i="18"/>
  <c r="G164" i="18"/>
  <c r="H164" i="18"/>
  <c r="B165" i="18"/>
  <c r="J165" i="18" s="1"/>
  <c r="C165" i="18"/>
  <c r="D165" i="18"/>
  <c r="E165" i="18"/>
  <c r="G165" i="18"/>
  <c r="H165" i="18"/>
  <c r="B166" i="18"/>
  <c r="J166" i="18" s="1"/>
  <c r="C166" i="18"/>
  <c r="R166" i="18" s="1"/>
  <c r="D166" i="18"/>
  <c r="E166" i="18"/>
  <c r="G166" i="18"/>
  <c r="H166" i="18"/>
  <c r="B167" i="18"/>
  <c r="J167" i="18" s="1"/>
  <c r="C167" i="18"/>
  <c r="D167" i="18"/>
  <c r="E167" i="18"/>
  <c r="G167" i="18"/>
  <c r="H167" i="18"/>
  <c r="B168" i="18"/>
  <c r="J168" i="18" s="1"/>
  <c r="C168" i="18"/>
  <c r="D168" i="18"/>
  <c r="E168" i="18"/>
  <c r="G168" i="18"/>
  <c r="H168" i="18"/>
  <c r="B169" i="18"/>
  <c r="J169" i="18" s="1"/>
  <c r="C169" i="18"/>
  <c r="D169" i="18"/>
  <c r="E169" i="18"/>
  <c r="G169" i="18"/>
  <c r="H169" i="18"/>
  <c r="B170" i="18"/>
  <c r="J170" i="18" s="1"/>
  <c r="C170" i="18"/>
  <c r="D170" i="18"/>
  <c r="E170" i="18"/>
  <c r="G170" i="18"/>
  <c r="H170" i="18"/>
  <c r="B171" i="18"/>
  <c r="J171" i="18" s="1"/>
  <c r="C171" i="18"/>
  <c r="D171" i="18"/>
  <c r="E171" i="18"/>
  <c r="G171" i="18"/>
  <c r="H171" i="18"/>
  <c r="B172" i="18"/>
  <c r="J172" i="18" s="1"/>
  <c r="C172" i="18"/>
  <c r="D172" i="18"/>
  <c r="E172" i="18"/>
  <c r="G172" i="18"/>
  <c r="H172" i="18"/>
  <c r="B173" i="18"/>
  <c r="J173" i="18" s="1"/>
  <c r="C173" i="18"/>
  <c r="M173" i="18" s="1"/>
  <c r="D173" i="18"/>
  <c r="E173" i="18"/>
  <c r="G173" i="18"/>
  <c r="H173" i="18"/>
  <c r="B174" i="18"/>
  <c r="J174" i="18" s="1"/>
  <c r="C174" i="18"/>
  <c r="K174" i="18" s="1"/>
  <c r="D174" i="18"/>
  <c r="E174" i="18"/>
  <c r="G174" i="18"/>
  <c r="H174" i="18"/>
  <c r="B175" i="18"/>
  <c r="J175" i="18" s="1"/>
  <c r="C175" i="18"/>
  <c r="M175" i="18" s="1"/>
  <c r="D175" i="18"/>
  <c r="E175" i="18"/>
  <c r="G175" i="18"/>
  <c r="H175" i="18"/>
  <c r="B176" i="18"/>
  <c r="J176" i="18" s="1"/>
  <c r="C176" i="18"/>
  <c r="P176" i="18" s="1"/>
  <c r="D176" i="18"/>
  <c r="E176" i="18"/>
  <c r="G176" i="18"/>
  <c r="H176" i="18"/>
  <c r="B177" i="18"/>
  <c r="J177" i="18" s="1"/>
  <c r="C177" i="18"/>
  <c r="D177" i="18"/>
  <c r="E177" i="18"/>
  <c r="G177" i="18"/>
  <c r="H177" i="18"/>
  <c r="B178" i="18"/>
  <c r="J178" i="18" s="1"/>
  <c r="C178" i="18"/>
  <c r="O178" i="18" s="1"/>
  <c r="D178" i="18"/>
  <c r="E178" i="18"/>
  <c r="G178" i="18"/>
  <c r="H178" i="18"/>
  <c r="B179" i="18"/>
  <c r="J179" i="18" s="1"/>
  <c r="C179" i="18"/>
  <c r="P179" i="18" s="1"/>
  <c r="D179" i="18"/>
  <c r="E179" i="18"/>
  <c r="G179" i="18"/>
  <c r="H179" i="18"/>
  <c r="B180" i="18"/>
  <c r="J180" i="18" s="1"/>
  <c r="C180" i="18"/>
  <c r="R180" i="18" s="1"/>
  <c r="D180" i="18"/>
  <c r="E180" i="18"/>
  <c r="G180" i="18"/>
  <c r="H180" i="18"/>
  <c r="B181" i="18"/>
  <c r="J181" i="18" s="1"/>
  <c r="C181" i="18"/>
  <c r="D181" i="18"/>
  <c r="E181" i="18"/>
  <c r="G181" i="18"/>
  <c r="H181" i="18"/>
  <c r="B182" i="18"/>
  <c r="J182" i="18" s="1"/>
  <c r="C182" i="18"/>
  <c r="D182" i="18"/>
  <c r="E182" i="18"/>
  <c r="G182" i="18"/>
  <c r="H182" i="18"/>
  <c r="B183" i="18"/>
  <c r="J183" i="18" s="1"/>
  <c r="C183" i="18"/>
  <c r="Q183" i="18" s="1"/>
  <c r="D183" i="18"/>
  <c r="E183" i="18"/>
  <c r="G183" i="18"/>
  <c r="H183" i="18"/>
  <c r="B184" i="18"/>
  <c r="J184" i="18" s="1"/>
  <c r="C184" i="18"/>
  <c r="L184" i="18" s="1"/>
  <c r="D184" i="18"/>
  <c r="E184" i="18"/>
  <c r="G184" i="18"/>
  <c r="H184" i="18"/>
  <c r="B185" i="18"/>
  <c r="J185" i="18" s="1"/>
  <c r="C185" i="18"/>
  <c r="D185" i="18"/>
  <c r="E185" i="18"/>
  <c r="G185" i="18"/>
  <c r="H185" i="18"/>
  <c r="B186" i="18"/>
  <c r="J186" i="18" s="1"/>
  <c r="C186" i="18"/>
  <c r="D186" i="18"/>
  <c r="E186" i="18"/>
  <c r="G186" i="18"/>
  <c r="H186" i="18"/>
  <c r="B187" i="18"/>
  <c r="J187" i="18" s="1"/>
  <c r="C187" i="18"/>
  <c r="D187" i="18"/>
  <c r="E187" i="18"/>
  <c r="G187" i="18"/>
  <c r="H187" i="18"/>
  <c r="B188" i="18"/>
  <c r="J188" i="18" s="1"/>
  <c r="C188" i="18"/>
  <c r="K188" i="18" s="1"/>
  <c r="D188" i="18"/>
  <c r="E188" i="18"/>
  <c r="G188" i="18"/>
  <c r="H188" i="18"/>
  <c r="B189" i="18"/>
  <c r="J189" i="18" s="1"/>
  <c r="C189" i="18"/>
  <c r="P189" i="18" s="1"/>
  <c r="D189" i="18"/>
  <c r="E189" i="18"/>
  <c r="G189" i="18"/>
  <c r="H189" i="18"/>
  <c r="B190" i="18"/>
  <c r="J190" i="18" s="1"/>
  <c r="C190" i="18"/>
  <c r="R190" i="18" s="1"/>
  <c r="D190" i="18"/>
  <c r="E190" i="18"/>
  <c r="G190" i="18"/>
  <c r="H190" i="18"/>
  <c r="B191" i="18"/>
  <c r="J191" i="18" s="1"/>
  <c r="C191" i="18"/>
  <c r="D191" i="18"/>
  <c r="E191" i="18"/>
  <c r="G191" i="18"/>
  <c r="H191" i="18"/>
  <c r="B192" i="18"/>
  <c r="J192" i="18" s="1"/>
  <c r="C192" i="18"/>
  <c r="D192" i="18"/>
  <c r="E192" i="18"/>
  <c r="G192" i="18"/>
  <c r="H192" i="18"/>
  <c r="B193" i="18"/>
  <c r="J193" i="18" s="1"/>
  <c r="C193" i="18"/>
  <c r="D193" i="18"/>
  <c r="E193" i="18"/>
  <c r="G193" i="18"/>
  <c r="H193" i="18"/>
  <c r="B194" i="18"/>
  <c r="J194" i="18" s="1"/>
  <c r="C194" i="18"/>
  <c r="P194" i="18" s="1"/>
  <c r="D194" i="18"/>
  <c r="E194" i="18"/>
  <c r="G194" i="18"/>
  <c r="H194" i="18"/>
  <c r="B195" i="18"/>
  <c r="J195" i="18" s="1"/>
  <c r="C195" i="18"/>
  <c r="D195" i="18"/>
  <c r="E195" i="18"/>
  <c r="G195" i="18"/>
  <c r="H195" i="18"/>
  <c r="B196" i="18"/>
  <c r="J196" i="18" s="1"/>
  <c r="C196" i="18"/>
  <c r="D196" i="18"/>
  <c r="E196" i="18"/>
  <c r="G196" i="18"/>
  <c r="H196" i="18"/>
  <c r="B197" i="18"/>
  <c r="J197" i="18" s="1"/>
  <c r="C197" i="18"/>
  <c r="D197" i="18"/>
  <c r="E197" i="18"/>
  <c r="G197" i="18"/>
  <c r="H197" i="18"/>
  <c r="B198" i="18"/>
  <c r="J198" i="18" s="1"/>
  <c r="C198" i="18"/>
  <c r="L198" i="18" s="1"/>
  <c r="D198" i="18"/>
  <c r="E198" i="18"/>
  <c r="G198" i="18"/>
  <c r="H198" i="18"/>
  <c r="B199" i="18"/>
  <c r="J199" i="18" s="1"/>
  <c r="C199" i="18"/>
  <c r="D199" i="18"/>
  <c r="E199" i="18"/>
  <c r="G199" i="18"/>
  <c r="H199" i="18"/>
  <c r="B200" i="18"/>
  <c r="J200" i="18" s="1"/>
  <c r="C200" i="18"/>
  <c r="D200" i="18"/>
  <c r="E200" i="18"/>
  <c r="G200" i="18"/>
  <c r="H200" i="18"/>
  <c r="B201" i="18"/>
  <c r="J201" i="18" s="1"/>
  <c r="C201" i="18"/>
  <c r="D201" i="18"/>
  <c r="E201" i="18"/>
  <c r="G201" i="18"/>
  <c r="H201" i="18"/>
  <c r="B202" i="18"/>
  <c r="J202" i="18" s="1"/>
  <c r="C202" i="18"/>
  <c r="D202" i="18"/>
  <c r="E202" i="18"/>
  <c r="G202" i="18"/>
  <c r="H202" i="18"/>
  <c r="B203" i="18"/>
  <c r="J203" i="18" s="1"/>
  <c r="C203" i="18"/>
  <c r="M203" i="18" s="1"/>
  <c r="D203" i="18"/>
  <c r="E203" i="18"/>
  <c r="G203" i="18"/>
  <c r="H203" i="18"/>
  <c r="B204" i="18"/>
  <c r="J204" i="18" s="1"/>
  <c r="C204" i="18"/>
  <c r="O204" i="18" s="1"/>
  <c r="D204" i="18"/>
  <c r="E204" i="18"/>
  <c r="G204" i="18"/>
  <c r="H204" i="18"/>
  <c r="B205" i="18"/>
  <c r="J205" i="18" s="1"/>
  <c r="C205" i="18"/>
  <c r="O205" i="18" s="1"/>
  <c r="D205" i="18"/>
  <c r="E205" i="18"/>
  <c r="G205" i="18"/>
  <c r="H205" i="18"/>
  <c r="B206" i="18"/>
  <c r="J206" i="18" s="1"/>
  <c r="C206" i="18"/>
  <c r="D206" i="18"/>
  <c r="E206" i="18"/>
  <c r="G206" i="18"/>
  <c r="H206" i="18"/>
  <c r="B207" i="18"/>
  <c r="J207" i="18" s="1"/>
  <c r="C207" i="18"/>
  <c r="R207" i="18" s="1"/>
  <c r="D207" i="18"/>
  <c r="E207" i="18"/>
  <c r="G207" i="18"/>
  <c r="H207" i="18"/>
  <c r="B208" i="18"/>
  <c r="J208" i="18" s="1"/>
  <c r="C208" i="18"/>
  <c r="D208" i="18"/>
  <c r="E208" i="18"/>
  <c r="G208" i="18"/>
  <c r="H208" i="18"/>
  <c r="B209" i="18"/>
  <c r="J209" i="18" s="1"/>
  <c r="C209" i="18"/>
  <c r="Q209" i="18" s="1"/>
  <c r="D209" i="18"/>
  <c r="E209" i="18"/>
  <c r="G209" i="18"/>
  <c r="H209" i="18"/>
  <c r="B210" i="18"/>
  <c r="J210" i="18" s="1"/>
  <c r="C210" i="18"/>
  <c r="O210" i="18" s="1"/>
  <c r="D210" i="18"/>
  <c r="E210" i="18"/>
  <c r="G210" i="18"/>
  <c r="H210" i="18"/>
  <c r="B211" i="18"/>
  <c r="Q211" i="18"/>
  <c r="O211" i="18"/>
  <c r="W211" i="18"/>
  <c r="U109" i="18"/>
  <c r="T109" i="18"/>
  <c r="S109" i="18"/>
  <c r="I112" i="18"/>
  <c r="I113" i="18"/>
  <c r="I114" i="18"/>
  <c r="I115" i="18"/>
  <c r="I116" i="18"/>
  <c r="I117" i="18"/>
  <c r="I118" i="18"/>
  <c r="I119" i="18"/>
  <c r="I120" i="18"/>
  <c r="I121" i="18"/>
  <c r="I122" i="18"/>
  <c r="I123" i="18"/>
  <c r="I124" i="18"/>
  <c r="I125" i="18"/>
  <c r="I126" i="18"/>
  <c r="I127" i="18"/>
  <c r="I128" i="18"/>
  <c r="I129" i="18"/>
  <c r="I130" i="18"/>
  <c r="I131" i="18"/>
  <c r="I132" i="18"/>
  <c r="I133" i="18"/>
  <c r="I134" i="18"/>
  <c r="I135" i="18"/>
  <c r="I136" i="18"/>
  <c r="I137" i="18"/>
  <c r="I138" i="18"/>
  <c r="I139" i="18"/>
  <c r="I140" i="18"/>
  <c r="I141" i="18"/>
  <c r="I142" i="18"/>
  <c r="I143" i="18"/>
  <c r="I144" i="18"/>
  <c r="I145" i="18"/>
  <c r="I146" i="18"/>
  <c r="I147" i="18"/>
  <c r="I111" i="18"/>
  <c r="R110" i="18"/>
  <c r="Q110" i="18"/>
  <c r="Q109" i="18"/>
  <c r="N109" i="18"/>
  <c r="B115" i="18"/>
  <c r="C115" i="18"/>
  <c r="D115" i="18"/>
  <c r="E115" i="18"/>
  <c r="G115" i="18"/>
  <c r="H115" i="18"/>
  <c r="B116" i="18"/>
  <c r="C116" i="18"/>
  <c r="Q116" i="18" s="1"/>
  <c r="D116" i="18"/>
  <c r="E116" i="18"/>
  <c r="G116" i="18"/>
  <c r="H116" i="18"/>
  <c r="B117" i="18"/>
  <c r="C117" i="18"/>
  <c r="U117" i="18" s="1"/>
  <c r="D117" i="18"/>
  <c r="E117" i="18"/>
  <c r="G117" i="18"/>
  <c r="H117" i="18"/>
  <c r="B118" i="18"/>
  <c r="C118" i="18"/>
  <c r="D118" i="18"/>
  <c r="E118" i="18"/>
  <c r="G118" i="18"/>
  <c r="H118" i="18"/>
  <c r="B119" i="18"/>
  <c r="C119" i="18"/>
  <c r="K119" i="18" s="1"/>
  <c r="D119" i="18"/>
  <c r="E119" i="18"/>
  <c r="G119" i="18"/>
  <c r="H119" i="18"/>
  <c r="B120" i="18"/>
  <c r="C120" i="18"/>
  <c r="R120" i="18" s="1"/>
  <c r="D120" i="18"/>
  <c r="E120" i="18"/>
  <c r="G120" i="18"/>
  <c r="H120" i="18"/>
  <c r="B121" i="18"/>
  <c r="C121" i="18"/>
  <c r="K121" i="18" s="1"/>
  <c r="D121" i="18"/>
  <c r="E121" i="18"/>
  <c r="G121" i="18"/>
  <c r="H121" i="18"/>
  <c r="D66" i="18"/>
  <c r="D67" i="18" s="1"/>
  <c r="B114" i="18"/>
  <c r="C114" i="18"/>
  <c r="R114" i="18" s="1"/>
  <c r="D114" i="18"/>
  <c r="E114" i="18"/>
  <c r="G114" i="18"/>
  <c r="H114" i="18"/>
  <c r="B113" i="18"/>
  <c r="C113" i="18"/>
  <c r="U113" i="18" s="1"/>
  <c r="D113" i="18"/>
  <c r="E113" i="18"/>
  <c r="G113" i="18"/>
  <c r="H113" i="18"/>
  <c r="B112" i="18"/>
  <c r="C112" i="18"/>
  <c r="K112" i="18" s="1"/>
  <c r="D112" i="18"/>
  <c r="E112" i="18"/>
  <c r="G112" i="18"/>
  <c r="H112" i="18"/>
  <c r="C111" i="18"/>
  <c r="R111" i="18" s="1"/>
  <c r="D111" i="18"/>
  <c r="E111" i="18"/>
  <c r="G111" i="18"/>
  <c r="H111" i="18"/>
  <c r="B111" i="18"/>
  <c r="D73" i="18"/>
  <c r="D61" i="18"/>
  <c r="D62" i="18"/>
  <c r="D63" i="18"/>
  <c r="D64" i="18"/>
  <c r="D60" i="18"/>
  <c r="F81" i="17"/>
  <c r="F112" i="18"/>
  <c r="F113" i="18"/>
  <c r="F114" i="18"/>
  <c r="F115" i="18"/>
  <c r="F116" i="18"/>
  <c r="F117" i="18"/>
  <c r="F118" i="18"/>
  <c r="F119" i="18"/>
  <c r="F120" i="18"/>
  <c r="F121" i="18"/>
  <c r="F122" i="18"/>
  <c r="F123" i="18"/>
  <c r="F124" i="18"/>
  <c r="F125" i="18"/>
  <c r="F126" i="18"/>
  <c r="F127" i="18"/>
  <c r="F128" i="18"/>
  <c r="F129" i="18"/>
  <c r="F130" i="18"/>
  <c r="F131" i="18"/>
  <c r="F132" i="18"/>
  <c r="F133" i="18"/>
  <c r="F134" i="18"/>
  <c r="F135" i="18"/>
  <c r="F136" i="18"/>
  <c r="F137" i="18"/>
  <c r="F138" i="18"/>
  <c r="F139" i="18"/>
  <c r="F140" i="18"/>
  <c r="F141" i="18"/>
  <c r="F142" i="18"/>
  <c r="F143" i="18"/>
  <c r="F144" i="18"/>
  <c r="F145" i="18"/>
  <c r="F146" i="18"/>
  <c r="F147" i="18"/>
  <c r="F148" i="18"/>
  <c r="F149" i="18"/>
  <c r="F150" i="18"/>
  <c r="F151" i="18"/>
  <c r="F152" i="18"/>
  <c r="F153" i="18"/>
  <c r="F154" i="18"/>
  <c r="F155" i="18"/>
  <c r="F156" i="18"/>
  <c r="F157" i="18"/>
  <c r="F158" i="18"/>
  <c r="F159" i="18"/>
  <c r="F160" i="18"/>
  <c r="F161" i="18"/>
  <c r="F162" i="18"/>
  <c r="F163" i="18"/>
  <c r="F164" i="18"/>
  <c r="F165" i="18"/>
  <c r="F166" i="18"/>
  <c r="F167" i="18"/>
  <c r="F168" i="18"/>
  <c r="F169" i="18"/>
  <c r="F170" i="18"/>
  <c r="F171" i="18"/>
  <c r="F172" i="18"/>
  <c r="F173" i="18"/>
  <c r="F174" i="18"/>
  <c r="F175" i="18"/>
  <c r="F176" i="18"/>
  <c r="F177" i="18"/>
  <c r="F178" i="18"/>
  <c r="F179" i="18"/>
  <c r="F180" i="18"/>
  <c r="F181" i="18"/>
  <c r="F182" i="18"/>
  <c r="F183" i="18"/>
  <c r="F184" i="18"/>
  <c r="F185" i="18"/>
  <c r="F186" i="18"/>
  <c r="F187" i="18"/>
  <c r="F188" i="18"/>
  <c r="F189" i="18"/>
  <c r="F190" i="18"/>
  <c r="F191" i="18"/>
  <c r="F192" i="18"/>
  <c r="F193" i="18"/>
  <c r="F194" i="18"/>
  <c r="F195" i="18"/>
  <c r="F196" i="18"/>
  <c r="F197" i="18"/>
  <c r="F198" i="18"/>
  <c r="F199" i="18"/>
  <c r="F200" i="18"/>
  <c r="F201" i="18"/>
  <c r="F202" i="18"/>
  <c r="F203" i="18"/>
  <c r="F204" i="18"/>
  <c r="F205" i="18"/>
  <c r="F206" i="18"/>
  <c r="F207" i="18"/>
  <c r="F208" i="18"/>
  <c r="F209" i="18"/>
  <c r="F210" i="18"/>
  <c r="F111" i="18"/>
  <c r="E32" i="18"/>
  <c r="E33" i="18"/>
  <c r="E34" i="18"/>
  <c r="E35" i="18"/>
  <c r="E36" i="18"/>
  <c r="E37" i="18"/>
  <c r="E38" i="18"/>
  <c r="E39" i="18"/>
  <c r="E40" i="18"/>
  <c r="E41" i="18"/>
  <c r="E42" i="18"/>
  <c r="E43" i="18"/>
  <c r="E44" i="18"/>
  <c r="E45" i="18"/>
  <c r="E46" i="18"/>
  <c r="E47" i="18"/>
  <c r="E48" i="18"/>
  <c r="E49" i="18"/>
  <c r="E50" i="18"/>
  <c r="E51" i="18"/>
  <c r="E31" i="18"/>
  <c r="D43" i="17"/>
  <c r="D31" i="18"/>
  <c r="Q31" i="18" s="1"/>
  <c r="F31" i="18"/>
  <c r="G31" i="18"/>
  <c r="H31" i="18"/>
  <c r="I31" i="18"/>
  <c r="J31" i="18"/>
  <c r="D32" i="18"/>
  <c r="Q32" i="18" s="1"/>
  <c r="F32" i="18"/>
  <c r="G32" i="18"/>
  <c r="H32" i="18"/>
  <c r="I32" i="18"/>
  <c r="J32" i="18"/>
  <c r="D33" i="18"/>
  <c r="Q33" i="18" s="1"/>
  <c r="F33" i="18"/>
  <c r="G33" i="18"/>
  <c r="H33" i="18"/>
  <c r="I33" i="18"/>
  <c r="J33" i="18"/>
  <c r="D34" i="18"/>
  <c r="Q34" i="18" s="1"/>
  <c r="F34" i="18"/>
  <c r="G34" i="18"/>
  <c r="H34" i="18"/>
  <c r="I34" i="18"/>
  <c r="J34" i="18"/>
  <c r="D35" i="18"/>
  <c r="O35" i="18" s="1"/>
  <c r="F35" i="18"/>
  <c r="G35" i="18"/>
  <c r="H35" i="18"/>
  <c r="I35" i="18"/>
  <c r="J35" i="18"/>
  <c r="D36" i="18"/>
  <c r="L36" i="18" s="1"/>
  <c r="F36" i="18"/>
  <c r="G36" i="18"/>
  <c r="H36" i="18"/>
  <c r="I36" i="18"/>
  <c r="J36" i="18"/>
  <c r="D37" i="18"/>
  <c r="O37" i="18" s="1"/>
  <c r="F37" i="18"/>
  <c r="G37" i="18"/>
  <c r="H37" i="18"/>
  <c r="I37" i="18"/>
  <c r="J37" i="18"/>
  <c r="D38" i="18"/>
  <c r="O38" i="18" s="1"/>
  <c r="F38" i="18"/>
  <c r="G38" i="18"/>
  <c r="H38" i="18"/>
  <c r="I38" i="18"/>
  <c r="J38" i="18"/>
  <c r="D39" i="18"/>
  <c r="O39" i="18" s="1"/>
  <c r="F39" i="18"/>
  <c r="G39" i="18"/>
  <c r="H39" i="18"/>
  <c r="I39" i="18"/>
  <c r="J39" i="18"/>
  <c r="D40" i="18"/>
  <c r="L40" i="18" s="1"/>
  <c r="F40" i="18"/>
  <c r="G40" i="18"/>
  <c r="H40" i="18"/>
  <c r="I40" i="18"/>
  <c r="J40" i="18"/>
  <c r="D41" i="18"/>
  <c r="Q41" i="18" s="1"/>
  <c r="F41" i="18"/>
  <c r="G41" i="18"/>
  <c r="H41" i="18"/>
  <c r="I41" i="18"/>
  <c r="J41" i="18"/>
  <c r="D42" i="18"/>
  <c r="O42" i="18" s="1"/>
  <c r="F42" i="18"/>
  <c r="G42" i="18"/>
  <c r="H42" i="18"/>
  <c r="I42" i="18"/>
  <c r="J42" i="18"/>
  <c r="D43" i="18"/>
  <c r="Q43" i="18" s="1"/>
  <c r="F43" i="18"/>
  <c r="G43" i="18"/>
  <c r="H43" i="18"/>
  <c r="I43" i="18"/>
  <c r="J43" i="18"/>
  <c r="D44" i="18"/>
  <c r="Q44" i="18" s="1"/>
  <c r="F44" i="18"/>
  <c r="G44" i="18"/>
  <c r="H44" i="18"/>
  <c r="I44" i="18"/>
  <c r="J44" i="18"/>
  <c r="D45" i="18"/>
  <c r="L45" i="18" s="1"/>
  <c r="F45" i="18"/>
  <c r="G45" i="18"/>
  <c r="H45" i="18"/>
  <c r="I45" i="18"/>
  <c r="J45" i="18"/>
  <c r="D46" i="18"/>
  <c r="O46" i="18" s="1"/>
  <c r="F46" i="18"/>
  <c r="G46" i="18"/>
  <c r="H46" i="18"/>
  <c r="I46" i="18"/>
  <c r="J46" i="18"/>
  <c r="D47" i="18"/>
  <c r="O47" i="18" s="1"/>
  <c r="F47" i="18"/>
  <c r="G47" i="18"/>
  <c r="H47" i="18"/>
  <c r="I47" i="18"/>
  <c r="J47" i="18"/>
  <c r="D48" i="18"/>
  <c r="L48" i="18" s="1"/>
  <c r="F48" i="18"/>
  <c r="G48" i="18"/>
  <c r="H48" i="18"/>
  <c r="I48" i="18"/>
  <c r="J48" i="18"/>
  <c r="D49" i="18"/>
  <c r="O49" i="18" s="1"/>
  <c r="F49" i="18"/>
  <c r="G49" i="18"/>
  <c r="H49" i="18"/>
  <c r="I49" i="18"/>
  <c r="J49" i="18"/>
  <c r="D50" i="18"/>
  <c r="O50" i="18" s="1"/>
  <c r="F50" i="18"/>
  <c r="G50" i="18"/>
  <c r="H50" i="18"/>
  <c r="I50" i="18"/>
  <c r="J50" i="18"/>
  <c r="D51" i="18"/>
  <c r="O51" i="18" s="1"/>
  <c r="F51" i="18"/>
  <c r="G51" i="18"/>
  <c r="H51" i="18"/>
  <c r="I51" i="18"/>
  <c r="J51" i="18"/>
  <c r="C32" i="18"/>
  <c r="M32" i="18" s="1"/>
  <c r="C33" i="18"/>
  <c r="M33" i="18" s="1"/>
  <c r="C34" i="18"/>
  <c r="M34" i="18" s="1"/>
  <c r="C35" i="18"/>
  <c r="M35" i="18" s="1"/>
  <c r="C36" i="18"/>
  <c r="M36" i="18" s="1"/>
  <c r="C37" i="18"/>
  <c r="M37" i="18" s="1"/>
  <c r="C38" i="18"/>
  <c r="M38" i="18" s="1"/>
  <c r="C39" i="18"/>
  <c r="M39" i="18" s="1"/>
  <c r="C40" i="18"/>
  <c r="M40" i="18" s="1"/>
  <c r="C41" i="18"/>
  <c r="M41" i="18" s="1"/>
  <c r="C42" i="18"/>
  <c r="M42" i="18" s="1"/>
  <c r="C43" i="18"/>
  <c r="M43" i="18" s="1"/>
  <c r="C44" i="18"/>
  <c r="M44" i="18" s="1"/>
  <c r="C45" i="18"/>
  <c r="M45" i="18" s="1"/>
  <c r="C46" i="18"/>
  <c r="M46" i="18" s="1"/>
  <c r="C47" i="18"/>
  <c r="M47" i="18" s="1"/>
  <c r="C48" i="18"/>
  <c r="M48" i="18" s="1"/>
  <c r="C49" i="18"/>
  <c r="M49" i="18" s="1"/>
  <c r="C50" i="18"/>
  <c r="M50" i="18" s="1"/>
  <c r="C51" i="18"/>
  <c r="M51" i="18" s="1"/>
  <c r="C31" i="18"/>
  <c r="M31" i="18" s="1"/>
  <c r="L28" i="18"/>
  <c r="K31" i="18"/>
  <c r="K32" i="18"/>
  <c r="K33" i="18"/>
  <c r="K34" i="18"/>
  <c r="K35" i="18"/>
  <c r="K36" i="18"/>
  <c r="K37" i="18"/>
  <c r="K38" i="18"/>
  <c r="K39" i="18"/>
  <c r="K40" i="18"/>
  <c r="K41" i="18"/>
  <c r="K42" i="18"/>
  <c r="K43" i="18"/>
  <c r="K44" i="18"/>
  <c r="K45" i="18"/>
  <c r="K46" i="18"/>
  <c r="K47" i="18"/>
  <c r="K48" i="18"/>
  <c r="K49" i="18"/>
  <c r="K50" i="18"/>
  <c r="K51" i="18"/>
  <c r="J43" i="17"/>
  <c r="I148" i="18" l="1"/>
  <c r="I149" i="18"/>
  <c r="I150" i="18"/>
  <c r="I151" i="18"/>
  <c r="I152" i="18"/>
  <c r="I198" i="18"/>
  <c r="I190" i="18"/>
  <c r="I186" i="18"/>
  <c r="I182" i="18"/>
  <c r="I178" i="18"/>
  <c r="I174" i="18"/>
  <c r="I207" i="18"/>
  <c r="I191" i="18"/>
  <c r="I187" i="18"/>
  <c r="I175" i="18"/>
  <c r="I155" i="18"/>
  <c r="I153" i="18"/>
  <c r="I154" i="18"/>
  <c r="I156" i="18"/>
  <c r="I157" i="18"/>
  <c r="I159" i="18"/>
  <c r="I167" i="18"/>
  <c r="I160" i="18"/>
  <c r="I168" i="18"/>
  <c r="I163" i="18"/>
  <c r="I161" i="18"/>
  <c r="I169" i="18"/>
  <c r="I171" i="18"/>
  <c r="I158" i="18"/>
  <c r="I162" i="18"/>
  <c r="I170" i="18"/>
  <c r="I164" i="18"/>
  <c r="I172" i="18"/>
  <c r="I165" i="18"/>
  <c r="I173" i="18"/>
  <c r="I166" i="18"/>
  <c r="I196" i="18"/>
  <c r="I192" i="18"/>
  <c r="I197" i="18"/>
  <c r="I193" i="18"/>
  <c r="I185" i="18"/>
  <c r="I181" i="18"/>
  <c r="I210" i="18"/>
  <c r="I206" i="18"/>
  <c r="I194" i="18"/>
  <c r="I183" i="18"/>
  <c r="I208" i="18"/>
  <c r="I204" i="18"/>
  <c r="I176" i="18"/>
  <c r="I188" i="18"/>
  <c r="J155" i="18"/>
  <c r="J157" i="18"/>
  <c r="I209" i="18"/>
  <c r="J153" i="18"/>
  <c r="I205" i="18"/>
  <c r="J158" i="18"/>
  <c r="J154" i="18"/>
  <c r="J156" i="18"/>
  <c r="U162" i="18"/>
  <c r="U134" i="18"/>
  <c r="J121" i="18"/>
  <c r="J119" i="18"/>
  <c r="I177" i="18"/>
  <c r="J117" i="18"/>
  <c r="J115" i="18"/>
  <c r="J112" i="18"/>
  <c r="J114" i="18"/>
  <c r="J113" i="18"/>
  <c r="J120" i="18"/>
  <c r="J118" i="18"/>
  <c r="J116" i="18"/>
  <c r="J151" i="18"/>
  <c r="J149" i="18"/>
  <c r="J147" i="18"/>
  <c r="J145" i="18"/>
  <c r="I203" i="18"/>
  <c r="J143" i="18"/>
  <c r="J141" i="18"/>
  <c r="J139" i="18"/>
  <c r="J137" i="18"/>
  <c r="I195" i="18"/>
  <c r="J135" i="18"/>
  <c r="J133" i="18"/>
  <c r="J131" i="18"/>
  <c r="J129" i="18"/>
  <c r="J127" i="18"/>
  <c r="J125" i="18"/>
  <c r="J123" i="18"/>
  <c r="J152" i="18"/>
  <c r="J150" i="18"/>
  <c r="J148" i="18"/>
  <c r="J146" i="18"/>
  <c r="J144" i="18"/>
  <c r="J142" i="18"/>
  <c r="I200" i="18"/>
  <c r="J140" i="18"/>
  <c r="J138" i="18"/>
  <c r="J136" i="18"/>
  <c r="J134" i="18"/>
  <c r="J132" i="18"/>
  <c r="J130" i="18"/>
  <c r="J128" i="18"/>
  <c r="J126" i="18"/>
  <c r="I184" i="18"/>
  <c r="J124" i="18"/>
  <c r="J122" i="18"/>
  <c r="I180" i="18"/>
  <c r="S201" i="18"/>
  <c r="U199" i="18"/>
  <c r="S197" i="18"/>
  <c r="U195" i="18"/>
  <c r="T193" i="18"/>
  <c r="T187" i="18"/>
  <c r="U177" i="18"/>
  <c r="T171" i="18"/>
  <c r="S165" i="18"/>
  <c r="S153" i="18"/>
  <c r="U135" i="18"/>
  <c r="T131" i="18"/>
  <c r="T112" i="18"/>
  <c r="S118" i="18"/>
  <c r="S115" i="18"/>
  <c r="T208" i="18"/>
  <c r="T206" i="18"/>
  <c r="T202" i="18"/>
  <c r="T200" i="18"/>
  <c r="T196" i="18"/>
  <c r="S192" i="18"/>
  <c r="T172" i="18"/>
  <c r="S150" i="18"/>
  <c r="T146" i="18"/>
  <c r="T144" i="18"/>
  <c r="T132" i="18"/>
  <c r="M117" i="18"/>
  <c r="O121" i="18"/>
  <c r="W117" i="18"/>
  <c r="P121" i="18"/>
  <c r="L120" i="18"/>
  <c r="L119" i="18"/>
  <c r="N119" i="18" s="1"/>
  <c r="V119" i="18" s="1" a="1"/>
  <c r="V119" i="18" s="1"/>
  <c r="O119" i="18"/>
  <c r="K120" i="18"/>
  <c r="W118" i="18"/>
  <c r="T121" i="18"/>
  <c r="T120" i="18"/>
  <c r="L121" i="18"/>
  <c r="N121" i="18" s="1"/>
  <c r="V121" i="18" s="1" a="1"/>
  <c r="V121" i="18" s="1"/>
  <c r="S121" i="18"/>
  <c r="U120" i="18"/>
  <c r="T116" i="18"/>
  <c r="U201" i="18"/>
  <c r="M118" i="18"/>
  <c r="O118" i="18"/>
  <c r="J111" i="18"/>
  <c r="Q120" i="18"/>
  <c r="R115" i="18"/>
  <c r="W119" i="18"/>
  <c r="W173" i="18"/>
  <c r="T158" i="18"/>
  <c r="U173" i="18"/>
  <c r="S173" i="18"/>
  <c r="P173" i="18"/>
  <c r="M176" i="18"/>
  <c r="L163" i="18"/>
  <c r="K176" i="18"/>
  <c r="K163" i="18"/>
  <c r="S206" i="18"/>
  <c r="R189" i="18"/>
  <c r="R128" i="18"/>
  <c r="Q206" i="18"/>
  <c r="Q128" i="18"/>
  <c r="M157" i="18"/>
  <c r="U196" i="18"/>
  <c r="O194" i="18"/>
  <c r="T160" i="18"/>
  <c r="P149" i="18"/>
  <c r="Q192" i="18"/>
  <c r="L131" i="18"/>
  <c r="T161" i="18"/>
  <c r="K126" i="18"/>
  <c r="O131" i="18"/>
  <c r="K122" i="18"/>
  <c r="R129" i="18"/>
  <c r="O188" i="18"/>
  <c r="W193" i="18"/>
  <c r="R157" i="18"/>
  <c r="U148" i="18"/>
  <c r="P157" i="18"/>
  <c r="T148" i="18"/>
  <c r="W176" i="18"/>
  <c r="O157" i="18"/>
  <c r="K115" i="18"/>
  <c r="O120" i="18"/>
  <c r="Q115" i="18"/>
  <c r="W116" i="18"/>
  <c r="M211" i="18"/>
  <c r="P131" i="18"/>
  <c r="W197" i="18"/>
  <c r="U193" i="18"/>
  <c r="T143" i="18"/>
  <c r="L118" i="18"/>
  <c r="P120" i="18"/>
  <c r="T117" i="18"/>
  <c r="T197" i="18"/>
  <c r="W194" i="18"/>
  <c r="Q193" i="18"/>
  <c r="T177" i="18"/>
  <c r="R171" i="18"/>
  <c r="S166" i="18"/>
  <c r="W144" i="18"/>
  <c r="R143" i="18"/>
  <c r="L132" i="18"/>
  <c r="W132" i="18"/>
  <c r="S171" i="18"/>
  <c r="W166" i="18"/>
  <c r="O132" i="18"/>
  <c r="M120" i="18"/>
  <c r="P119" i="18"/>
  <c r="S117" i="18"/>
  <c r="R197" i="18"/>
  <c r="T194" i="18"/>
  <c r="P193" i="18"/>
  <c r="Q171" i="18"/>
  <c r="O166" i="18"/>
  <c r="W149" i="18"/>
  <c r="L143" i="18"/>
  <c r="K132" i="18"/>
  <c r="M119" i="18"/>
  <c r="P118" i="18"/>
  <c r="U116" i="18"/>
  <c r="U200" i="18"/>
  <c r="Q197" i="18"/>
  <c r="Q194" i="18"/>
  <c r="O193" i="18"/>
  <c r="Q188" i="18"/>
  <c r="P171" i="18"/>
  <c r="M166" i="18"/>
  <c r="T149" i="18"/>
  <c r="R144" i="18"/>
  <c r="U171" i="18"/>
  <c r="R121" i="18"/>
  <c r="Q205" i="18"/>
  <c r="R200" i="18"/>
  <c r="O197" i="18"/>
  <c r="O171" i="18"/>
  <c r="R156" i="18"/>
  <c r="Q144" i="18"/>
  <c r="K111" i="18"/>
  <c r="Q121" i="18"/>
  <c r="T113" i="18"/>
  <c r="P205" i="18"/>
  <c r="Q200" i="18"/>
  <c r="M197" i="18"/>
  <c r="P156" i="18"/>
  <c r="K144" i="18"/>
  <c r="M113" i="18"/>
  <c r="S113" i="18"/>
  <c r="O208" i="18"/>
  <c r="W203" i="18"/>
  <c r="T173" i="18"/>
  <c r="Q154" i="18"/>
  <c r="T153" i="18"/>
  <c r="R152" i="18"/>
  <c r="U151" i="18"/>
  <c r="K150" i="18"/>
  <c r="L149" i="18"/>
  <c r="P148" i="18"/>
  <c r="Q147" i="18"/>
  <c r="Q123" i="18"/>
  <c r="R122" i="18"/>
  <c r="U123" i="18"/>
  <c r="U154" i="18"/>
  <c r="Q148" i="18"/>
  <c r="W190" i="18"/>
  <c r="P154" i="18"/>
  <c r="R153" i="18"/>
  <c r="Q152" i="18"/>
  <c r="T151" i="18"/>
  <c r="O148" i="18"/>
  <c r="O147" i="18"/>
  <c r="P123" i="18"/>
  <c r="U153" i="18"/>
  <c r="T147" i="18"/>
  <c r="U190" i="18"/>
  <c r="R174" i="18"/>
  <c r="Q155" i="18"/>
  <c r="O154" i="18"/>
  <c r="P153" i="18"/>
  <c r="O152" i="18"/>
  <c r="Q151" i="18"/>
  <c r="M148" i="18"/>
  <c r="M147" i="18"/>
  <c r="L141" i="18"/>
  <c r="O123" i="18"/>
  <c r="R210" i="18"/>
  <c r="T190" i="18"/>
  <c r="P155" i="18"/>
  <c r="K154" i="18"/>
  <c r="O153" i="18"/>
  <c r="M151" i="18"/>
  <c r="K148" i="18"/>
  <c r="K141" i="18"/>
  <c r="M123" i="18"/>
  <c r="P210" i="18"/>
  <c r="U204" i="18"/>
  <c r="Q190" i="18"/>
  <c r="T184" i="18"/>
  <c r="O155" i="18"/>
  <c r="M153" i="18"/>
  <c r="L151" i="18"/>
  <c r="P127" i="18"/>
  <c r="L123" i="18"/>
  <c r="N123" i="18" s="1"/>
  <c r="V123" i="18" s="1" a="1"/>
  <c r="V123" i="18" s="1"/>
  <c r="R123" i="18"/>
  <c r="I179" i="18"/>
  <c r="P190" i="18"/>
  <c r="S187" i="18"/>
  <c r="K151" i="18"/>
  <c r="R132" i="18"/>
  <c r="O127" i="18"/>
  <c r="R148" i="18"/>
  <c r="W151" i="18"/>
  <c r="K190" i="18"/>
  <c r="R187" i="18"/>
  <c r="Q132" i="18"/>
  <c r="S208" i="18"/>
  <c r="R205" i="18"/>
  <c r="W196" i="18"/>
  <c r="S163" i="18"/>
  <c r="U160" i="18"/>
  <c r="W148" i="18"/>
  <c r="P132" i="18"/>
  <c r="S128" i="18"/>
  <c r="R201" i="18"/>
  <c r="P204" i="18"/>
  <c r="Q201" i="18"/>
  <c r="Q187" i="18"/>
  <c r="O206" i="18"/>
  <c r="M204" i="18"/>
  <c r="T203" i="18"/>
  <c r="P201" i="18"/>
  <c r="R199" i="18"/>
  <c r="U198" i="18"/>
  <c r="P197" i="18"/>
  <c r="M193" i="18"/>
  <c r="P187" i="18"/>
  <c r="T166" i="18"/>
  <c r="L157" i="18"/>
  <c r="L154" i="18"/>
  <c r="L144" i="18"/>
  <c r="P143" i="18"/>
  <c r="Q133" i="18"/>
  <c r="L204" i="18"/>
  <c r="S203" i="18"/>
  <c r="O201" i="18"/>
  <c r="P199" i="18"/>
  <c r="O187" i="18"/>
  <c r="W164" i="18"/>
  <c r="W163" i="18"/>
  <c r="S134" i="18"/>
  <c r="P133" i="18"/>
  <c r="S199" i="18"/>
  <c r="K204" i="18"/>
  <c r="R203" i="18"/>
  <c r="M201" i="18"/>
  <c r="M199" i="18"/>
  <c r="M187" i="18"/>
  <c r="U180" i="18"/>
  <c r="T179" i="18"/>
  <c r="Q166" i="18"/>
  <c r="T164" i="18"/>
  <c r="U163" i="18"/>
  <c r="W146" i="18"/>
  <c r="Q134" i="18"/>
  <c r="W122" i="18"/>
  <c r="Q203" i="18"/>
  <c r="L201" i="18"/>
  <c r="L199" i="18"/>
  <c r="L187" i="18"/>
  <c r="M183" i="18"/>
  <c r="Q180" i="18"/>
  <c r="R179" i="18"/>
  <c r="W174" i="18"/>
  <c r="P166" i="18"/>
  <c r="W165" i="18"/>
  <c r="S164" i="18"/>
  <c r="T163" i="18"/>
  <c r="W161" i="18"/>
  <c r="L146" i="18"/>
  <c r="R135" i="18"/>
  <c r="K134" i="18"/>
  <c r="S122" i="18"/>
  <c r="K199" i="18"/>
  <c r="K187" i="18"/>
  <c r="K165" i="18"/>
  <c r="Q164" i="18"/>
  <c r="O203" i="18"/>
  <c r="W188" i="18"/>
  <c r="L180" i="18"/>
  <c r="Q163" i="18"/>
  <c r="Q122" i="18"/>
  <c r="U188" i="18"/>
  <c r="W187" i="18"/>
  <c r="O184" i="18"/>
  <c r="U176" i="18"/>
  <c r="L174" i="18"/>
  <c r="N174" i="18" s="1"/>
  <c r="V174" i="18" s="1" a="1"/>
  <c r="V174" i="18" s="1"/>
  <c r="L166" i="18"/>
  <c r="N166" i="18" s="1"/>
  <c r="V166" i="18" s="1" a="1"/>
  <c r="V166" i="18" s="1"/>
  <c r="P163" i="18"/>
  <c r="W162" i="18"/>
  <c r="P161" i="18"/>
  <c r="S160" i="18"/>
  <c r="O122" i="18"/>
  <c r="P180" i="18"/>
  <c r="M194" i="18"/>
  <c r="S193" i="18"/>
  <c r="M190" i="18"/>
  <c r="O189" i="18"/>
  <c r="T188" i="18"/>
  <c r="U187" i="18"/>
  <c r="K184" i="18"/>
  <c r="N184" i="18" s="1"/>
  <c r="V184" i="18" s="1" a="1"/>
  <c r="V184" i="18" s="1"/>
  <c r="W177" i="18"/>
  <c r="R176" i="18"/>
  <c r="R173" i="18"/>
  <c r="M171" i="18"/>
  <c r="K166" i="18"/>
  <c r="O163" i="18"/>
  <c r="L161" i="18"/>
  <c r="P151" i="18"/>
  <c r="S141" i="18"/>
  <c r="M122" i="18"/>
  <c r="S204" i="18"/>
  <c r="P203" i="18"/>
  <c r="W204" i="18"/>
  <c r="L194" i="18"/>
  <c r="R193" i="18"/>
  <c r="L190" i="18"/>
  <c r="M189" i="18"/>
  <c r="S188" i="18"/>
  <c r="Q176" i="18"/>
  <c r="Q173" i="18"/>
  <c r="L171" i="18"/>
  <c r="M163" i="18"/>
  <c r="O151" i="18"/>
  <c r="W150" i="18"/>
  <c r="R141" i="18"/>
  <c r="T128" i="18"/>
  <c r="P126" i="18"/>
  <c r="L122" i="18"/>
  <c r="T182" i="18"/>
  <c r="U182" i="18"/>
  <c r="W182" i="18"/>
  <c r="K182" i="18"/>
  <c r="L182" i="18"/>
  <c r="M182" i="18"/>
  <c r="O182" i="18"/>
  <c r="S139" i="18"/>
  <c r="T139" i="18"/>
  <c r="U139" i="18"/>
  <c r="W139" i="18"/>
  <c r="K139" i="18"/>
  <c r="L139" i="18"/>
  <c r="M139" i="18"/>
  <c r="O139" i="18"/>
  <c r="T191" i="18"/>
  <c r="L191" i="18"/>
  <c r="M191" i="18"/>
  <c r="O191" i="18"/>
  <c r="P191" i="18"/>
  <c r="Q191" i="18"/>
  <c r="R191" i="18"/>
  <c r="U112" i="18"/>
  <c r="R182" i="18"/>
  <c r="P175" i="18"/>
  <c r="W172" i="18"/>
  <c r="P168" i="18"/>
  <c r="O168" i="18"/>
  <c r="Q168" i="18"/>
  <c r="R168" i="18"/>
  <c r="U168" i="18"/>
  <c r="T145" i="18"/>
  <c r="W145" i="18"/>
  <c r="K145" i="18"/>
  <c r="L145" i="18"/>
  <c r="M145" i="18"/>
  <c r="O145" i="18"/>
  <c r="Q142" i="18"/>
  <c r="L142" i="18"/>
  <c r="O142" i="18"/>
  <c r="P142" i="18"/>
  <c r="S142" i="18"/>
  <c r="U142" i="18"/>
  <c r="Q139" i="18"/>
  <c r="T130" i="18"/>
  <c r="U121" i="18"/>
  <c r="S119" i="18"/>
  <c r="Q114" i="18"/>
  <c r="Q182" i="18"/>
  <c r="Q179" i="18"/>
  <c r="K179" i="18"/>
  <c r="L179" i="18"/>
  <c r="M179" i="18"/>
  <c r="O179" i="18"/>
  <c r="O175" i="18"/>
  <c r="P139" i="18"/>
  <c r="S130" i="18"/>
  <c r="W192" i="18"/>
  <c r="L192" i="18"/>
  <c r="O192" i="18"/>
  <c r="P192" i="18"/>
  <c r="Q185" i="18"/>
  <c r="S185" i="18"/>
  <c r="T185" i="18"/>
  <c r="U185" i="18"/>
  <c r="W185" i="18"/>
  <c r="P182" i="18"/>
  <c r="L160" i="18"/>
  <c r="W160" i="18"/>
  <c r="K160" i="18"/>
  <c r="M160" i="18"/>
  <c r="O160" i="18"/>
  <c r="P160" i="18"/>
  <c r="Q160" i="18"/>
  <c r="T124" i="18"/>
  <c r="O124" i="18"/>
  <c r="Q124" i="18"/>
  <c r="S124" i="18"/>
  <c r="U124" i="18"/>
  <c r="S145" i="18"/>
  <c r="I202" i="18"/>
  <c r="T125" i="18"/>
  <c r="O125" i="18"/>
  <c r="P125" i="18"/>
  <c r="R125" i="18"/>
  <c r="U125" i="18"/>
  <c r="R130" i="18"/>
  <c r="U130" i="18"/>
  <c r="W130" i="18"/>
  <c r="K130" i="18"/>
  <c r="L130" i="18"/>
  <c r="N130" i="18" s="1"/>
  <c r="V130" i="18" s="1" a="1"/>
  <c r="V130" i="18" s="1"/>
  <c r="M130" i="18"/>
  <c r="O130" i="18"/>
  <c r="P130" i="18"/>
  <c r="S182" i="18"/>
  <c r="R139" i="18"/>
  <c r="T136" i="18"/>
  <c r="M136" i="18"/>
  <c r="S136" i="18"/>
  <c r="Q118" i="18"/>
  <c r="S210" i="18"/>
  <c r="T210" i="18"/>
  <c r="U210" i="18"/>
  <c r="W210" i="18"/>
  <c r="K210" i="18"/>
  <c r="L210" i="18"/>
  <c r="M210" i="18"/>
  <c r="R169" i="18"/>
  <c r="K169" i="18"/>
  <c r="L169" i="18"/>
  <c r="Q169" i="18"/>
  <c r="T169" i="18"/>
  <c r="S205" i="18"/>
  <c r="T205" i="18"/>
  <c r="U205" i="18"/>
  <c r="W205" i="18"/>
  <c r="K205" i="18"/>
  <c r="L205" i="18"/>
  <c r="M205" i="18"/>
  <c r="R196" i="18"/>
  <c r="K196" i="18"/>
  <c r="L196" i="18"/>
  <c r="O196" i="18"/>
  <c r="P196" i="18"/>
  <c r="Q196" i="18"/>
  <c r="R145" i="18"/>
  <c r="W142" i="18"/>
  <c r="Q172" i="18"/>
  <c r="M172" i="18"/>
  <c r="P172" i="18"/>
  <c r="S114" i="18"/>
  <c r="T114" i="18"/>
  <c r="U114" i="18"/>
  <c r="K114" i="18"/>
  <c r="P114" i="18"/>
  <c r="O114" i="18"/>
  <c r="M114" i="18"/>
  <c r="W114" i="18"/>
  <c r="U191" i="18"/>
  <c r="W168" i="18"/>
  <c r="P145" i="18"/>
  <c r="P112" i="18"/>
  <c r="O112" i="18"/>
  <c r="L112" i="18"/>
  <c r="M112" i="18"/>
  <c r="W112" i="18"/>
  <c r="Q112" i="18"/>
  <c r="R112" i="18"/>
  <c r="S112" i="18"/>
  <c r="K200" i="18"/>
  <c r="W200" i="18"/>
  <c r="L200" i="18"/>
  <c r="M200" i="18"/>
  <c r="O200" i="18"/>
  <c r="P200" i="18"/>
  <c r="L186" i="18"/>
  <c r="W186" i="18"/>
  <c r="K177" i="18"/>
  <c r="L177" i="18"/>
  <c r="M177" i="18"/>
  <c r="O177" i="18"/>
  <c r="R177" i="18"/>
  <c r="S177" i="18"/>
  <c r="W158" i="18"/>
  <c r="K158" i="18"/>
  <c r="L158" i="18"/>
  <c r="P158" i="18"/>
  <c r="R175" i="18"/>
  <c r="S175" i="18"/>
  <c r="T175" i="18"/>
  <c r="U175" i="18"/>
  <c r="W175" i="18"/>
  <c r="K175" i="18"/>
  <c r="L175" i="18"/>
  <c r="Q175" i="18"/>
  <c r="W120" i="18"/>
  <c r="L114" i="18"/>
  <c r="Q210" i="18"/>
  <c r="O167" i="18"/>
  <c r="P167" i="18"/>
  <c r="S155" i="18"/>
  <c r="R155" i="18"/>
  <c r="T155" i="18"/>
  <c r="U155" i="18"/>
  <c r="W155" i="18"/>
  <c r="K155" i="18"/>
  <c r="L155" i="18"/>
  <c r="U133" i="18"/>
  <c r="R133" i="18"/>
  <c r="S133" i="18"/>
  <c r="T133" i="18"/>
  <c r="W133" i="18"/>
  <c r="K133" i="18"/>
  <c r="L133" i="18"/>
  <c r="M133" i="18"/>
  <c r="Q127" i="18"/>
  <c r="R127" i="18"/>
  <c r="S127" i="18"/>
  <c r="T127" i="18"/>
  <c r="U127" i="18"/>
  <c r="W127" i="18"/>
  <c r="K127" i="18"/>
  <c r="L127" i="18"/>
  <c r="W125" i="18"/>
  <c r="K118" i="18"/>
  <c r="L117" i="18"/>
  <c r="M116" i="18"/>
  <c r="O117" i="18"/>
  <c r="P117" i="18"/>
  <c r="R119" i="18"/>
  <c r="R113" i="18"/>
  <c r="W115" i="18"/>
  <c r="S120" i="18"/>
  <c r="S116" i="18"/>
  <c r="T204" i="18"/>
  <c r="L203" i="18"/>
  <c r="W199" i="18"/>
  <c r="L197" i="18"/>
  <c r="U194" i="18"/>
  <c r="L193" i="18"/>
  <c r="M188" i="18"/>
  <c r="K180" i="18"/>
  <c r="U174" i="18"/>
  <c r="O173" i="18"/>
  <c r="U166" i="18"/>
  <c r="T157" i="18"/>
  <c r="T154" i="18"/>
  <c r="S151" i="18"/>
  <c r="S148" i="18"/>
  <c r="K143" i="18"/>
  <c r="W141" i="18"/>
  <c r="T138" i="18"/>
  <c r="U132" i="18"/>
  <c r="W129" i="18"/>
  <c r="O128" i="18"/>
  <c r="T123" i="18"/>
  <c r="K117" i="18"/>
  <c r="M115" i="18"/>
  <c r="O116" i="18"/>
  <c r="P116" i="18"/>
  <c r="Q119" i="18"/>
  <c r="Q113" i="18"/>
  <c r="U119" i="18"/>
  <c r="U115" i="18"/>
  <c r="K203" i="18"/>
  <c r="K193" i="18"/>
  <c r="L188" i="18"/>
  <c r="N188" i="18" s="1"/>
  <c r="V188" i="18" s="1" a="1"/>
  <c r="V188" i="18" s="1"/>
  <c r="W184" i="18"/>
  <c r="T174" i="18"/>
  <c r="K173" i="18"/>
  <c r="S154" i="18"/>
  <c r="U144" i="18"/>
  <c r="U141" i="18"/>
  <c r="P138" i="18"/>
  <c r="T137" i="18"/>
  <c r="T135" i="18"/>
  <c r="S132" i="18"/>
  <c r="M128" i="18"/>
  <c r="S123" i="18"/>
  <c r="L116" i="18"/>
  <c r="K116" i="18"/>
  <c r="L115" i="18"/>
  <c r="I189" i="18"/>
  <c r="O115" i="18"/>
  <c r="P115" i="18"/>
  <c r="R118" i="18"/>
  <c r="W113" i="18"/>
  <c r="T119" i="18"/>
  <c r="T115" i="18"/>
  <c r="Q204" i="18"/>
  <c r="T199" i="18"/>
  <c r="S194" i="18"/>
  <c r="U184" i="18"/>
  <c r="S174" i="18"/>
  <c r="S144" i="18"/>
  <c r="T141" i="18"/>
  <c r="O138" i="18"/>
  <c r="S137" i="18"/>
  <c r="S135" i="18"/>
  <c r="U129" i="18"/>
  <c r="L128" i="18"/>
  <c r="U111" i="18"/>
  <c r="L138" i="18"/>
  <c r="K128" i="18"/>
  <c r="L113" i="18"/>
  <c r="I201" i="18"/>
  <c r="O113" i="18"/>
  <c r="P113" i="18"/>
  <c r="R117" i="18"/>
  <c r="W111" i="18"/>
  <c r="U118" i="18"/>
  <c r="S184" i="18"/>
  <c r="Q174" i="18"/>
  <c r="P162" i="18"/>
  <c r="U146" i="18"/>
  <c r="Q135" i="18"/>
  <c r="P129" i="18"/>
  <c r="K113" i="18"/>
  <c r="Q117" i="18"/>
  <c r="S111" i="18"/>
  <c r="T118" i="18"/>
  <c r="U203" i="18"/>
  <c r="Q199" i="18"/>
  <c r="U197" i="18"/>
  <c r="U189" i="18"/>
  <c r="R184" i="18"/>
  <c r="P174" i="18"/>
  <c r="U165" i="18"/>
  <c r="M162" i="18"/>
  <c r="P150" i="18"/>
  <c r="R146" i="18"/>
  <c r="P144" i="18"/>
  <c r="P141" i="18"/>
  <c r="P135" i="18"/>
  <c r="U131" i="18"/>
  <c r="O129" i="18"/>
  <c r="W128" i="18"/>
  <c r="M111" i="18"/>
  <c r="O111" i="18"/>
  <c r="Q111" i="18"/>
  <c r="R116" i="18"/>
  <c r="W121" i="18"/>
  <c r="T111" i="18"/>
  <c r="Q184" i="18"/>
  <c r="T183" i="18"/>
  <c r="O174" i="18"/>
  <c r="R165" i="18"/>
  <c r="L162" i="18"/>
  <c r="M150" i="18"/>
  <c r="P146" i="18"/>
  <c r="O144" i="18"/>
  <c r="W143" i="18"/>
  <c r="O141" i="18"/>
  <c r="M135" i="18"/>
  <c r="L129" i="18"/>
  <c r="L111" i="18"/>
  <c r="M121" i="18"/>
  <c r="P111" i="18"/>
  <c r="O199" i="18"/>
  <c r="P184" i="18"/>
  <c r="P183" i="18"/>
  <c r="M174" i="18"/>
  <c r="P165" i="18"/>
  <c r="U164" i="18"/>
  <c r="K162" i="18"/>
  <c r="L150" i="18"/>
  <c r="O146" i="18"/>
  <c r="M144" i="18"/>
  <c r="M141" i="18"/>
  <c r="L135" i="18"/>
  <c r="U128" i="18"/>
  <c r="U211" i="18"/>
  <c r="R209" i="18"/>
  <c r="K209" i="18"/>
  <c r="W209" i="18"/>
  <c r="Q207" i="18"/>
  <c r="T207" i="18"/>
  <c r="W207" i="18"/>
  <c r="L202" i="18"/>
  <c r="Q202" i="18"/>
  <c r="W202" i="18"/>
  <c r="M202" i="18"/>
  <c r="U181" i="18"/>
  <c r="M181" i="18"/>
  <c r="R181" i="18"/>
  <c r="T181" i="18"/>
  <c r="W181" i="18"/>
  <c r="K181" i="18"/>
  <c r="L181" i="18"/>
  <c r="N181" i="18" s="1"/>
  <c r="V181" i="18" s="1" a="1"/>
  <c r="V181" i="18" s="1"/>
  <c r="P209" i="18"/>
  <c r="P207" i="18"/>
  <c r="S202" i="18"/>
  <c r="Q195" i="18"/>
  <c r="K195" i="18"/>
  <c r="M195" i="18"/>
  <c r="P195" i="18"/>
  <c r="R195" i="18"/>
  <c r="T195" i="18"/>
  <c r="O209" i="18"/>
  <c r="O207" i="18"/>
  <c r="R202" i="18"/>
  <c r="S195" i="18"/>
  <c r="S211" i="18"/>
  <c r="M209" i="18"/>
  <c r="W208" i="18"/>
  <c r="M207" i="18"/>
  <c r="W206" i="18"/>
  <c r="P202" i="18"/>
  <c r="O195" i="18"/>
  <c r="Q189" i="18"/>
  <c r="T189" i="18"/>
  <c r="S189" i="18"/>
  <c r="W189" i="18"/>
  <c r="K189" i="18"/>
  <c r="L189" i="18"/>
  <c r="S181" i="18"/>
  <c r="Q159" i="18"/>
  <c r="R211" i="18"/>
  <c r="L209" i="18"/>
  <c r="U208" i="18"/>
  <c r="L207" i="18"/>
  <c r="O202" i="18"/>
  <c r="T192" i="18"/>
  <c r="M192" i="18"/>
  <c r="R192" i="18"/>
  <c r="U192" i="18"/>
  <c r="K192" i="18"/>
  <c r="Q181" i="18"/>
  <c r="K207" i="18"/>
  <c r="L195" i="18"/>
  <c r="N195" i="18" s="1"/>
  <c r="V195" i="18" s="1" a="1"/>
  <c r="V195" i="18" s="1"/>
  <c r="P181" i="18"/>
  <c r="M170" i="18"/>
  <c r="R170" i="18"/>
  <c r="S170" i="18"/>
  <c r="T170" i="18"/>
  <c r="U170" i="18"/>
  <c r="W170" i="18"/>
  <c r="K170" i="18"/>
  <c r="L170" i="18"/>
  <c r="T211" i="18"/>
  <c r="P211" i="18"/>
  <c r="R208" i="18"/>
  <c r="P208" i="18"/>
  <c r="L208" i="18"/>
  <c r="K202" i="18"/>
  <c r="O181" i="18"/>
  <c r="Q208" i="18"/>
  <c r="P206" i="18"/>
  <c r="L206" i="18"/>
  <c r="R206" i="18"/>
  <c r="U206" i="18"/>
  <c r="R178" i="18"/>
  <c r="S178" i="18"/>
  <c r="T178" i="18"/>
  <c r="U178" i="18"/>
  <c r="W178" i="18"/>
  <c r="K178" i="18"/>
  <c r="L178" i="18"/>
  <c r="M178" i="18"/>
  <c r="S167" i="18"/>
  <c r="Q167" i="18"/>
  <c r="R167" i="18"/>
  <c r="T167" i="18"/>
  <c r="U167" i="18"/>
  <c r="W167" i="18"/>
  <c r="K167" i="18"/>
  <c r="L167" i="18"/>
  <c r="M167" i="18"/>
  <c r="T198" i="18"/>
  <c r="Q198" i="18"/>
  <c r="S198" i="18"/>
  <c r="W198" i="18"/>
  <c r="K198" i="18"/>
  <c r="N198" i="18" s="1"/>
  <c r="V198" i="18" s="1" a="1"/>
  <c r="V198" i="18" s="1"/>
  <c r="M198" i="18"/>
  <c r="O186" i="18"/>
  <c r="K186" i="18"/>
  <c r="M186" i="18"/>
  <c r="P186" i="18"/>
  <c r="R186" i="18"/>
  <c r="S186" i="18"/>
  <c r="U186" i="18"/>
  <c r="L211" i="18"/>
  <c r="U209" i="18"/>
  <c r="R198" i="18"/>
  <c r="Q170" i="18"/>
  <c r="K211" i="18"/>
  <c r="T209" i="18"/>
  <c r="M208" i="18"/>
  <c r="U207" i="18"/>
  <c r="M206" i="18"/>
  <c r="P198" i="18"/>
  <c r="T186" i="18"/>
  <c r="M185" i="18"/>
  <c r="L185" i="18"/>
  <c r="K185" i="18"/>
  <c r="O185" i="18"/>
  <c r="P185" i="18"/>
  <c r="R185" i="18"/>
  <c r="Q178" i="18"/>
  <c r="P170" i="18"/>
  <c r="I199" i="18"/>
  <c r="S209" i="18"/>
  <c r="K208" i="18"/>
  <c r="S207" i="18"/>
  <c r="K206" i="18"/>
  <c r="U202" i="18"/>
  <c r="O198" i="18"/>
  <c r="W195" i="18"/>
  <c r="Q186" i="18"/>
  <c r="P178" i="18"/>
  <c r="O170" i="18"/>
  <c r="K159" i="18"/>
  <c r="W159" i="18"/>
  <c r="M159" i="18"/>
  <c r="R159" i="18"/>
  <c r="S159" i="18"/>
  <c r="T159" i="18"/>
  <c r="U159" i="18"/>
  <c r="L159" i="18"/>
  <c r="O159" i="18"/>
  <c r="P140" i="18"/>
  <c r="T140" i="18"/>
  <c r="Q140" i="18"/>
  <c r="R140" i="18"/>
  <c r="S140" i="18"/>
  <c r="U140" i="18"/>
  <c r="W140" i="18"/>
  <c r="K140" i="18"/>
  <c r="L140" i="18"/>
  <c r="M140" i="18"/>
  <c r="T156" i="18"/>
  <c r="Q156" i="18"/>
  <c r="M137" i="18"/>
  <c r="U137" i="18"/>
  <c r="O137" i="18"/>
  <c r="Q137" i="18"/>
  <c r="R204" i="18"/>
  <c r="S200" i="18"/>
  <c r="K197" i="18"/>
  <c r="R194" i="18"/>
  <c r="W191" i="18"/>
  <c r="S190" i="18"/>
  <c r="M184" i="18"/>
  <c r="U183" i="18"/>
  <c r="L173" i="18"/>
  <c r="U172" i="18"/>
  <c r="U161" i="18"/>
  <c r="U158" i="18"/>
  <c r="U149" i="18"/>
  <c r="L147" i="18"/>
  <c r="S146" i="18"/>
  <c r="U145" i="18"/>
  <c r="Q145" i="18"/>
  <c r="T142" i="18"/>
  <c r="U138" i="18"/>
  <c r="P137" i="18"/>
  <c r="S131" i="18"/>
  <c r="Q131" i="18"/>
  <c r="R131" i="18"/>
  <c r="W131" i="18"/>
  <c r="K131" i="18"/>
  <c r="M131" i="18"/>
  <c r="T168" i="18"/>
  <c r="S168" i="18"/>
  <c r="P164" i="18"/>
  <c r="K164" i="18"/>
  <c r="M156" i="18"/>
  <c r="M152" i="18"/>
  <c r="W136" i="18"/>
  <c r="R126" i="18"/>
  <c r="T126" i="18"/>
  <c r="M126" i="18"/>
  <c r="S126" i="18"/>
  <c r="U126" i="18"/>
  <c r="L126" i="18"/>
  <c r="T201" i="18"/>
  <c r="R183" i="18"/>
  <c r="S180" i="18"/>
  <c r="S179" i="18"/>
  <c r="U179" i="18"/>
  <c r="T176" i="18"/>
  <c r="R172" i="18"/>
  <c r="S169" i="18"/>
  <c r="T165" i="18"/>
  <c r="O164" i="18"/>
  <c r="R161" i="18"/>
  <c r="S158" i="18"/>
  <c r="U157" i="18"/>
  <c r="S157" i="18"/>
  <c r="L156" i="18"/>
  <c r="Q153" i="18"/>
  <c r="K153" i="18"/>
  <c r="L152" i="18"/>
  <c r="N152" i="18" s="1"/>
  <c r="V152" i="18" s="1" a="1"/>
  <c r="V152" i="18" s="1"/>
  <c r="S149" i="18"/>
  <c r="Q146" i="18"/>
  <c r="S138" i="18"/>
  <c r="L137" i="18"/>
  <c r="W134" i="18"/>
  <c r="Q129" i="18"/>
  <c r="M129" i="18"/>
  <c r="S129" i="18"/>
  <c r="T129" i="18"/>
  <c r="Q126" i="18"/>
  <c r="S196" i="18"/>
  <c r="O190" i="18"/>
  <c r="S176" i="18"/>
  <c r="M168" i="18"/>
  <c r="T162" i="18"/>
  <c r="R158" i="18"/>
  <c r="K156" i="18"/>
  <c r="K152" i="18"/>
  <c r="U150" i="18"/>
  <c r="U147" i="18"/>
  <c r="U143" i="18"/>
  <c r="R142" i="18"/>
  <c r="K142" i="18"/>
  <c r="K137" i="18"/>
  <c r="U136" i="18"/>
  <c r="K183" i="18"/>
  <c r="W183" i="18"/>
  <c r="S183" i="18"/>
  <c r="L172" i="18"/>
  <c r="S172" i="18"/>
  <c r="U169" i="18"/>
  <c r="W169" i="18"/>
  <c r="L168" i="18"/>
  <c r="M164" i="18"/>
  <c r="S162" i="18"/>
  <c r="M161" i="18"/>
  <c r="S161" i="18"/>
  <c r="T150" i="18"/>
  <c r="M149" i="18"/>
  <c r="Q149" i="18"/>
  <c r="W138" i="18"/>
  <c r="Q138" i="18"/>
  <c r="L134" i="18"/>
  <c r="N134" i="18" s="1"/>
  <c r="V134" i="18" s="1" a="1"/>
  <c r="V134" i="18" s="1"/>
  <c r="M134" i="18"/>
  <c r="R134" i="18"/>
  <c r="T134" i="18"/>
  <c r="O126" i="18"/>
  <c r="O183" i="18"/>
  <c r="T180" i="18"/>
  <c r="W180" i="18"/>
  <c r="O172" i="18"/>
  <c r="P169" i="18"/>
  <c r="K168" i="18"/>
  <c r="Q165" i="18"/>
  <c r="M165" i="18"/>
  <c r="L164" i="18"/>
  <c r="R162" i="18"/>
  <c r="O161" i="18"/>
  <c r="W156" i="18"/>
  <c r="W152" i="18"/>
  <c r="R150" i="18"/>
  <c r="O149" i="18"/>
  <c r="S147" i="18"/>
  <c r="L136" i="18"/>
  <c r="R136" i="18"/>
  <c r="K136" i="18"/>
  <c r="K201" i="18"/>
  <c r="W201" i="18"/>
  <c r="K194" i="18"/>
  <c r="S191" i="18"/>
  <c r="K191" i="18"/>
  <c r="O180" i="18"/>
  <c r="O176" i="18"/>
  <c r="O169" i="18"/>
  <c r="O165" i="18"/>
  <c r="Q162" i="18"/>
  <c r="O158" i="18"/>
  <c r="K157" i="18"/>
  <c r="R154" i="18"/>
  <c r="M154" i="18"/>
  <c r="L153" i="18"/>
  <c r="U152" i="18"/>
  <c r="Q150" i="18"/>
  <c r="M146" i="18"/>
  <c r="M142" i="18"/>
  <c r="M138" i="18"/>
  <c r="Q136" i="18"/>
  <c r="P134" i="18"/>
  <c r="U156" i="18"/>
  <c r="T152" i="18"/>
  <c r="K147" i="18"/>
  <c r="W147" i="18"/>
  <c r="S143" i="18"/>
  <c r="M143" i="18"/>
  <c r="W137" i="18"/>
  <c r="P136" i="18"/>
  <c r="O134" i="18"/>
  <c r="M196" i="18"/>
  <c r="P188" i="18"/>
  <c r="R188" i="18"/>
  <c r="L183" i="18"/>
  <c r="M180" i="18"/>
  <c r="W179" i="18"/>
  <c r="Q177" i="18"/>
  <c r="P177" i="18"/>
  <c r="L176" i="18"/>
  <c r="N176" i="18" s="1"/>
  <c r="V176" i="18" s="1" a="1"/>
  <c r="V176" i="18" s="1"/>
  <c r="K172" i="18"/>
  <c r="M169" i="18"/>
  <c r="L165" i="18"/>
  <c r="N165" i="18" s="1"/>
  <c r="V165" i="18" s="1" a="1"/>
  <c r="V165" i="18" s="1"/>
  <c r="O162" i="18"/>
  <c r="K161" i="18"/>
  <c r="M158" i="18"/>
  <c r="W157" i="18"/>
  <c r="S156" i="18"/>
  <c r="W153" i="18"/>
  <c r="S152" i="18"/>
  <c r="O150" i="18"/>
  <c r="K149" i="18"/>
  <c r="P147" i="18"/>
  <c r="K146" i="18"/>
  <c r="O143" i="18"/>
  <c r="K138" i="18"/>
  <c r="O136" i="18"/>
  <c r="M124" i="18"/>
  <c r="K171" i="18"/>
  <c r="W171" i="18"/>
  <c r="M132" i="18"/>
  <c r="Q125" i="18"/>
  <c r="S125" i="18"/>
  <c r="L125" i="18"/>
  <c r="M125" i="18"/>
  <c r="K135" i="18"/>
  <c r="W135" i="18"/>
  <c r="K125" i="18"/>
  <c r="O135" i="18"/>
  <c r="P124" i="18"/>
  <c r="R124" i="18"/>
  <c r="K124" i="18"/>
  <c r="W124" i="18"/>
  <c r="L124" i="18"/>
  <c r="W123" i="18"/>
  <c r="U122" i="18"/>
  <c r="T122" i="18"/>
  <c r="L38" i="18"/>
  <c r="N38" i="18" s="1"/>
  <c r="L34" i="18"/>
  <c r="N34" i="18" s="1"/>
  <c r="L50" i="18"/>
  <c r="N50" i="18" s="1"/>
  <c r="Q42" i="18"/>
  <c r="R42" i="18" s="1"/>
  <c r="L46" i="18"/>
  <c r="N46" i="18" s="1"/>
  <c r="Q40" i="18"/>
  <c r="R40" i="18" s="1"/>
  <c r="Q46" i="18"/>
  <c r="R46" i="18" s="1"/>
  <c r="L44" i="18"/>
  <c r="N44" i="18" s="1"/>
  <c r="Q38" i="18"/>
  <c r="R38" i="18" s="1"/>
  <c r="O48" i="18"/>
  <c r="P48" i="18" s="1"/>
  <c r="L42" i="18"/>
  <c r="N42" i="18" s="1"/>
  <c r="O44" i="18"/>
  <c r="P44" i="18" s="1"/>
  <c r="O40" i="18"/>
  <c r="P40" i="18" s="1"/>
  <c r="O36" i="18"/>
  <c r="P36" i="18" s="1"/>
  <c r="Q50" i="18"/>
  <c r="R50" i="18" s="1"/>
  <c r="L35" i="18"/>
  <c r="N35" i="18" s="1"/>
  <c r="L33" i="18"/>
  <c r="N33" i="18" s="1"/>
  <c r="L41" i="18"/>
  <c r="N41" i="18" s="1"/>
  <c r="O43" i="18"/>
  <c r="P43" i="18" s="1"/>
  <c r="Q49" i="18"/>
  <c r="R49" i="18" s="1"/>
  <c r="Q37" i="18"/>
  <c r="R37" i="18" s="1"/>
  <c r="O34" i="18"/>
  <c r="P34" i="18" s="1"/>
  <c r="Q51" i="18"/>
  <c r="R51" i="18" s="1"/>
  <c r="L32" i="18"/>
  <c r="N32" i="18" s="1"/>
  <c r="Q48" i="18"/>
  <c r="R48" i="18" s="1"/>
  <c r="Q36" i="18"/>
  <c r="R36" i="18" s="1"/>
  <c r="L43" i="18"/>
  <c r="N43" i="18" s="1"/>
  <c r="O45" i="18"/>
  <c r="P45" i="18" s="1"/>
  <c r="Q39" i="18"/>
  <c r="R39" i="18" s="1"/>
  <c r="L51" i="18"/>
  <c r="N51" i="18" s="1"/>
  <c r="L39" i="18"/>
  <c r="N39" i="18" s="1"/>
  <c r="O41" i="18"/>
  <c r="P41" i="18" s="1"/>
  <c r="Q47" i="18"/>
  <c r="R47" i="18" s="1"/>
  <c r="Q35" i="18"/>
  <c r="R35" i="18" s="1"/>
  <c r="O32" i="18"/>
  <c r="P32" i="18" s="1"/>
  <c r="L37" i="18"/>
  <c r="N37" i="18" s="1"/>
  <c r="O31" i="18"/>
  <c r="P31" i="18" s="1"/>
  <c r="O33" i="18"/>
  <c r="P33" i="18" s="1"/>
  <c r="L49" i="18"/>
  <c r="N49" i="18" s="1"/>
  <c r="Q45" i="18"/>
  <c r="R45" i="18" s="1"/>
  <c r="L47" i="18"/>
  <c r="N47" i="18" s="1"/>
  <c r="L31" i="18"/>
  <c r="N31" i="18" s="1"/>
  <c r="P42" i="18"/>
  <c r="R34" i="18"/>
  <c r="R33" i="18"/>
  <c r="R32" i="18"/>
  <c r="R31" i="18"/>
  <c r="R44" i="18"/>
  <c r="P47" i="18"/>
  <c r="P46" i="18"/>
  <c r="P35" i="18"/>
  <c r="R41" i="18"/>
  <c r="P51" i="18"/>
  <c r="P39" i="18"/>
  <c r="P50" i="18"/>
  <c r="P38" i="18"/>
  <c r="P49" i="18"/>
  <c r="P37" i="18"/>
  <c r="R43" i="18"/>
  <c r="N40" i="18"/>
  <c r="N45" i="18"/>
  <c r="N48" i="18"/>
  <c r="N36" i="18"/>
  <c r="N203" i="18" l="1"/>
  <c r="V203" i="18" s="1" a="1"/>
  <c r="V203" i="18" s="1"/>
  <c r="N179" i="18"/>
  <c r="V179" i="18" s="1" a="1"/>
  <c r="V179" i="18" s="1"/>
  <c r="N148" i="18"/>
  <c r="V148" i="18" s="1" a="1"/>
  <c r="V148" i="18" s="1"/>
  <c r="N122" i="18"/>
  <c r="V122" i="18" s="1" a="1"/>
  <c r="V122" i="18" s="1"/>
  <c r="N200" i="18"/>
  <c r="V200" i="18" s="1" a="1"/>
  <c r="V200" i="18" s="1"/>
  <c r="N173" i="18"/>
  <c r="V173" i="18" s="1" a="1"/>
  <c r="V173" i="18" s="1"/>
  <c r="N114" i="18"/>
  <c r="V114" i="18" s="1" a="1"/>
  <c r="V114" i="18" s="1"/>
  <c r="N124" i="18"/>
  <c r="V124" i="18" s="1" a="1"/>
  <c r="V124" i="18" s="1"/>
  <c r="N164" i="18"/>
  <c r="V164" i="18" s="1" a="1"/>
  <c r="V164" i="18" s="1"/>
  <c r="N207" i="18"/>
  <c r="V207" i="18" s="1" a="1"/>
  <c r="V207" i="18" s="1"/>
  <c r="N128" i="18"/>
  <c r="V128" i="18" s="1" a="1"/>
  <c r="V128" i="18" s="1"/>
  <c r="X128" i="18" s="1"/>
  <c r="J99" i="17" s="1"/>
  <c r="N191" i="18"/>
  <c r="V191" i="18" s="1" a="1"/>
  <c r="V191" i="18" s="1"/>
  <c r="X191" i="18" s="1"/>
  <c r="J162" i="17" s="1"/>
  <c r="N182" i="18"/>
  <c r="V182" i="18" s="1" a="1"/>
  <c r="V182" i="18" s="1"/>
  <c r="X182" i="18" s="1"/>
  <c r="J153" i="17" s="1"/>
  <c r="N171" i="18"/>
  <c r="V171" i="18" s="1" a="1"/>
  <c r="V171" i="18" s="1"/>
  <c r="X171" i="18" s="1"/>
  <c r="J142" i="17" s="1"/>
  <c r="N132" i="18"/>
  <c r="V132" i="18" s="1" a="1"/>
  <c r="V132" i="18" s="1"/>
  <c r="X132" i="18" s="1"/>
  <c r="J103" i="17" s="1"/>
  <c r="N163" i="18"/>
  <c r="V163" i="18" s="1" a="1"/>
  <c r="V163" i="18" s="1"/>
  <c r="X163" i="18" s="1"/>
  <c r="J134" i="17" s="1"/>
  <c r="N120" i="18"/>
  <c r="V120" i="18" s="1" a="1"/>
  <c r="V120" i="18" s="1"/>
  <c r="N211" i="18"/>
  <c r="V211" i="18" s="1" a="1"/>
  <c r="V211" i="18" s="1"/>
  <c r="N193" i="18"/>
  <c r="V193" i="18" s="1" a="1"/>
  <c r="V193" i="18" s="1"/>
  <c r="N126" i="18"/>
  <c r="V126" i="18" s="1" a="1"/>
  <c r="V126" i="18" s="1"/>
  <c r="N167" i="18"/>
  <c r="V167" i="18" s="1" a="1"/>
  <c r="V167" i="18" s="1"/>
  <c r="X167" i="18" s="1"/>
  <c r="J138" i="17" s="1"/>
  <c r="N209" i="18"/>
  <c r="V209" i="18" s="1" a="1"/>
  <c r="V209" i="18" s="1"/>
  <c r="N177" i="18"/>
  <c r="V177" i="18" s="1" a="1"/>
  <c r="V177" i="18" s="1"/>
  <c r="N187" i="18"/>
  <c r="V187" i="18" s="1" a="1"/>
  <c r="V187" i="18" s="1"/>
  <c r="X187" i="18" s="1"/>
  <c r="J158" i="17" s="1"/>
  <c r="N113" i="18"/>
  <c r="V113" i="18" s="1" a="1"/>
  <c r="V113" i="18" s="1"/>
  <c r="X113" i="18" s="1"/>
  <c r="J84" i="17" s="1"/>
  <c r="N136" i="18"/>
  <c r="V136" i="18" s="1" a="1"/>
  <c r="V136" i="18" s="1"/>
  <c r="X136" i="18" s="1"/>
  <c r="J107" i="17" s="1"/>
  <c r="N190" i="18"/>
  <c r="V190" i="18" s="1" a="1"/>
  <c r="V190" i="18" s="1"/>
  <c r="X190" i="18" s="1"/>
  <c r="J161" i="17" s="1"/>
  <c r="N170" i="18"/>
  <c r="V170" i="18" s="1" a="1"/>
  <c r="V170" i="18" s="1"/>
  <c r="X170" i="18" s="1"/>
  <c r="J141" i="17" s="1"/>
  <c r="N189" i="18"/>
  <c r="V189" i="18" s="1" a="1"/>
  <c r="V189" i="18" s="1"/>
  <c r="N202" i="18"/>
  <c r="V202" i="18" s="1" a="1"/>
  <c r="V202" i="18" s="1"/>
  <c r="N127" i="18"/>
  <c r="V127" i="18" s="1" a="1"/>
  <c r="V127" i="18" s="1"/>
  <c r="N145" i="18"/>
  <c r="V145" i="18" s="1" a="1"/>
  <c r="V145" i="18" s="1"/>
  <c r="N180" i="18"/>
  <c r="V180" i="18" s="1" a="1"/>
  <c r="V180" i="18" s="1"/>
  <c r="N192" i="18"/>
  <c r="V192" i="18" s="1" a="1"/>
  <c r="V192" i="18" s="1"/>
  <c r="N150" i="18"/>
  <c r="V150" i="18" s="1" a="1"/>
  <c r="V150" i="18" s="1"/>
  <c r="X150" i="18" s="1"/>
  <c r="J121" i="17" s="1"/>
  <c r="N158" i="18"/>
  <c r="V158" i="18" s="1" a="1"/>
  <c r="V158" i="18" s="1"/>
  <c r="X158" i="18" s="1"/>
  <c r="J129" i="17" s="1"/>
  <c r="N205" i="18"/>
  <c r="V205" i="18" s="1" a="1"/>
  <c r="V205" i="18" s="1"/>
  <c r="X205" i="18" s="1"/>
  <c r="J176" i="17" s="1"/>
  <c r="N210" i="18"/>
  <c r="V210" i="18" s="1" a="1"/>
  <c r="V210" i="18" s="1"/>
  <c r="X210" i="18" s="1"/>
  <c r="J181" i="17" s="1"/>
  <c r="N194" i="18"/>
  <c r="V194" i="18" s="1" a="1"/>
  <c r="V194" i="18" s="1"/>
  <c r="X194" i="18" s="1"/>
  <c r="J165" i="17" s="1"/>
  <c r="N144" i="18"/>
  <c r="V144" i="18" s="1" a="1"/>
  <c r="V144" i="18" s="1"/>
  <c r="X144" i="18" s="1"/>
  <c r="J115" i="17" s="1"/>
  <c r="N154" i="18"/>
  <c r="V154" i="18" s="1" a="1"/>
  <c r="V154" i="18" s="1"/>
  <c r="N160" i="18"/>
  <c r="V160" i="18" s="1" a="1"/>
  <c r="V160" i="18" s="1"/>
  <c r="N157" i="18"/>
  <c r="V157" i="18" s="1" a="1"/>
  <c r="V157" i="18" s="1"/>
  <c r="N206" i="18"/>
  <c r="V206" i="18" s="1" a="1"/>
  <c r="V206" i="18" s="1"/>
  <c r="X206" i="18" s="1"/>
  <c r="J177" i="17" s="1"/>
  <c r="N125" i="18"/>
  <c r="V125" i="18" s="1" a="1"/>
  <c r="V125" i="18" s="1"/>
  <c r="X125" i="18" s="1"/>
  <c r="J96" i="17" s="1"/>
  <c r="N159" i="18"/>
  <c r="V159" i="18" s="1" a="1"/>
  <c r="V159" i="18" s="1"/>
  <c r="X159" i="18" s="1"/>
  <c r="J130" i="17" s="1"/>
  <c r="N138" i="18"/>
  <c r="V138" i="18" s="1" a="1"/>
  <c r="V138" i="18" s="1"/>
  <c r="X138" i="18" s="1"/>
  <c r="J109" i="17" s="1"/>
  <c r="N155" i="18"/>
  <c r="V155" i="18" s="1" a="1"/>
  <c r="V155" i="18" s="1"/>
  <c r="X155" i="18" s="1"/>
  <c r="J126" i="17" s="1"/>
  <c r="N151" i="18"/>
  <c r="V151" i="18" s="1" a="1"/>
  <c r="V151" i="18" s="1"/>
  <c r="X151" i="18" s="1"/>
  <c r="J122" i="17" s="1"/>
  <c r="N143" i="18"/>
  <c r="V143" i="18" s="1" a="1"/>
  <c r="V143" i="18" s="1"/>
  <c r="X143" i="18" s="1"/>
  <c r="J114" i="17" s="1"/>
  <c r="N131" i="18"/>
  <c r="V131" i="18" s="1" a="1"/>
  <c r="V131" i="18" s="1"/>
  <c r="N149" i="18"/>
  <c r="V149" i="18" s="1" a="1"/>
  <c r="V149" i="18" s="1"/>
  <c r="X149" i="18" s="1"/>
  <c r="J120" i="17" s="1"/>
  <c r="N153" i="18"/>
  <c r="V153" i="18" s="1" a="1"/>
  <c r="V153" i="18" s="1"/>
  <c r="X153" i="18" s="1"/>
  <c r="J124" i="17" s="1"/>
  <c r="N168" i="18"/>
  <c r="V168" i="18" s="1" a="1"/>
  <c r="V168" i="18" s="1"/>
  <c r="N156" i="18"/>
  <c r="V156" i="18" s="1" a="1"/>
  <c r="V156" i="18" s="1"/>
  <c r="N185" i="18"/>
  <c r="V185" i="18" s="1" a="1"/>
  <c r="V185" i="18" s="1"/>
  <c r="N178" i="18"/>
  <c r="V178" i="18" s="1" a="1"/>
  <c r="V178" i="18" s="1"/>
  <c r="X178" i="18" s="1"/>
  <c r="J149" i="17" s="1"/>
  <c r="N175" i="18"/>
  <c r="V175" i="18" s="1" a="1"/>
  <c r="V175" i="18" s="1"/>
  <c r="X175" i="18" s="1"/>
  <c r="J146" i="17" s="1"/>
  <c r="N129" i="18"/>
  <c r="V129" i="18" s="1" a="1"/>
  <c r="V129" i="18" s="1"/>
  <c r="X129" i="18" s="1"/>
  <c r="J100" i="17" s="1"/>
  <c r="N208" i="18"/>
  <c r="V208" i="18" s="1" a="1"/>
  <c r="V208" i="18" s="1"/>
  <c r="X208" i="18" s="1"/>
  <c r="J179" i="17" s="1"/>
  <c r="N162" i="18"/>
  <c r="V162" i="18" s="1" a="1"/>
  <c r="V162" i="18" s="1"/>
  <c r="X162" i="18" s="1"/>
  <c r="J133" i="17" s="1"/>
  <c r="N186" i="18"/>
  <c r="V186" i="18" s="1" a="1"/>
  <c r="V186" i="18" s="1"/>
  <c r="X186" i="18" s="1"/>
  <c r="J157" i="17" s="1"/>
  <c r="N142" i="18"/>
  <c r="V142" i="18" s="1" a="1"/>
  <c r="V142" i="18" s="1"/>
  <c r="X142" i="18" s="1"/>
  <c r="J113" i="17" s="1"/>
  <c r="N161" i="18"/>
  <c r="V161" i="18" s="1" a="1"/>
  <c r="V161" i="18" s="1"/>
  <c r="X161" i="18" s="1"/>
  <c r="J132" i="17" s="1"/>
  <c r="N140" i="18"/>
  <c r="V140" i="18" s="1" a="1"/>
  <c r="V140" i="18" s="1"/>
  <c r="N183" i="18"/>
  <c r="V183" i="18" s="1" a="1"/>
  <c r="V183" i="18" s="1"/>
  <c r="N172" i="18"/>
  <c r="V172" i="18" s="1" a="1"/>
  <c r="V172" i="18" s="1"/>
  <c r="N147" i="18"/>
  <c r="V147" i="18" s="1" a="1"/>
  <c r="V147" i="18" s="1"/>
  <c r="X147" i="18" s="1"/>
  <c r="J118" i="17" s="1"/>
  <c r="N135" i="18"/>
  <c r="V135" i="18" s="1" a="1"/>
  <c r="V135" i="18" s="1"/>
  <c r="X135" i="18" s="1"/>
  <c r="J106" i="17" s="1"/>
  <c r="N197" i="18"/>
  <c r="V197" i="18" s="1" a="1"/>
  <c r="V197" i="18" s="1"/>
  <c r="X197" i="18" s="1"/>
  <c r="J168" i="17" s="1"/>
  <c r="N133" i="18"/>
  <c r="V133" i="18" s="1" a="1"/>
  <c r="V133" i="18" s="1"/>
  <c r="X133" i="18" s="1"/>
  <c r="J104" i="17" s="1"/>
  <c r="N196" i="18"/>
  <c r="V196" i="18" s="1" a="1"/>
  <c r="V196" i="18" s="1"/>
  <c r="X196" i="18" s="1"/>
  <c r="J167" i="17" s="1"/>
  <c r="N169" i="18"/>
  <c r="V169" i="18" s="1" a="1"/>
  <c r="V169" i="18" s="1"/>
  <c r="X169" i="18" s="1"/>
  <c r="J140" i="17" s="1"/>
  <c r="N199" i="18"/>
  <c r="V199" i="18" s="1" a="1"/>
  <c r="V199" i="18" s="1"/>
  <c r="X199" i="18" s="1"/>
  <c r="J170" i="17" s="1"/>
  <c r="N141" i="18"/>
  <c r="V141" i="18" s="1" a="1"/>
  <c r="V141" i="18" s="1"/>
  <c r="X141" i="18" s="1"/>
  <c r="J112" i="17" s="1"/>
  <c r="N137" i="18"/>
  <c r="V137" i="18" s="1" a="1"/>
  <c r="V137" i="18" s="1"/>
  <c r="X137" i="18" s="1"/>
  <c r="J108" i="17" s="1"/>
  <c r="N139" i="18"/>
  <c r="V139" i="18" s="1" a="1"/>
  <c r="V139" i="18" s="1"/>
  <c r="X139" i="18" s="1"/>
  <c r="J110" i="17" s="1"/>
  <c r="N146" i="18"/>
  <c r="V146" i="18" s="1" a="1"/>
  <c r="V146" i="18" s="1"/>
  <c r="X146" i="18" s="1"/>
  <c r="J117" i="17" s="1"/>
  <c r="N201" i="18"/>
  <c r="V201" i="18" s="1" a="1"/>
  <c r="V201" i="18" s="1"/>
  <c r="N204" i="18"/>
  <c r="V204" i="18" s="1" a="1"/>
  <c r="V204" i="18" s="1"/>
  <c r="X204" i="18" s="1"/>
  <c r="J175" i="17" s="1"/>
  <c r="N115" i="18"/>
  <c r="V115" i="18" s="1" a="1"/>
  <c r="V115" i="18" s="1"/>
  <c r="X115" i="18" s="1"/>
  <c r="J86" i="17" s="1"/>
  <c r="N112" i="18"/>
  <c r="V112" i="18" s="1" a="1"/>
  <c r="V112" i="18" s="1"/>
  <c r="X112" i="18" s="1"/>
  <c r="J83" i="17" s="1"/>
  <c r="N117" i="18"/>
  <c r="V117" i="18" s="1" a="1"/>
  <c r="V117" i="18" s="1"/>
  <c r="X117" i="18" s="1"/>
  <c r="J88" i="17" s="1"/>
  <c r="N116" i="18"/>
  <c r="V116" i="18" s="1" a="1"/>
  <c r="V116" i="18" s="1"/>
  <c r="X116" i="18" s="1"/>
  <c r="J87" i="17" s="1"/>
  <c r="N111" i="18"/>
  <c r="V111" i="18" s="1" a="1"/>
  <c r="V111" i="18" s="1"/>
  <c r="X111" i="18" s="1"/>
  <c r="J82" i="17" s="1"/>
  <c r="N118" i="18"/>
  <c r="V118" i="18" s="1" a="1"/>
  <c r="V118" i="18" s="1"/>
  <c r="X118" i="18" s="1"/>
  <c r="X121" i="18"/>
  <c r="J92" i="17" s="1"/>
  <c r="X119" i="18"/>
  <c r="J90" i="17" s="1"/>
  <c r="X176" i="18"/>
  <c r="J147" i="17" s="1"/>
  <c r="X148" i="18"/>
  <c r="J119" i="17" s="1"/>
  <c r="X120" i="18"/>
  <c r="J91" i="17" s="1"/>
  <c r="J89" i="17"/>
  <c r="X211" i="18"/>
  <c r="X184" i="18"/>
  <c r="J155" i="17" s="1"/>
  <c r="X123" i="18"/>
  <c r="J94" i="17" s="1"/>
  <c r="X180" i="18"/>
  <c r="J151" i="17" s="1"/>
  <c r="X122" i="18"/>
  <c r="J93" i="17" s="1"/>
  <c r="X188" i="18"/>
  <c r="J159" i="17" s="1"/>
  <c r="X114" i="18"/>
  <c r="J85" i="17" s="1"/>
  <c r="X160" i="18"/>
  <c r="J131" i="17" s="1"/>
  <c r="X130" i="18"/>
  <c r="J101" i="17" s="1"/>
  <c r="X154" i="18"/>
  <c r="J125" i="17" s="1"/>
  <c r="X174" i="18"/>
  <c r="J145" i="17" s="1"/>
  <c r="X166" i="18"/>
  <c r="J137" i="17" s="1"/>
  <c r="X203" i="18"/>
  <c r="J174" i="17" s="1"/>
  <c r="X198" i="18"/>
  <c r="J169" i="17" s="1"/>
  <c r="X127" i="18"/>
  <c r="J98" i="17" s="1"/>
  <c r="X152" i="18"/>
  <c r="J123" i="17" s="1"/>
  <c r="X173" i="18"/>
  <c r="J144" i="17" s="1"/>
  <c r="X183" i="18"/>
  <c r="J154" i="17" s="1"/>
  <c r="X179" i="18"/>
  <c r="J150" i="17" s="1"/>
  <c r="X193" i="18"/>
  <c r="J164" i="17" s="1"/>
  <c r="X200" i="18"/>
  <c r="J171" i="17" s="1"/>
  <c r="X165" i="18"/>
  <c r="J136" i="17" s="1"/>
  <c r="X126" i="18"/>
  <c r="J97" i="17" s="1"/>
  <c r="X189" i="18"/>
  <c r="J160" i="17" s="1"/>
  <c r="X177" i="18"/>
  <c r="J148" i="17" s="1"/>
  <c r="X145" i="18"/>
  <c r="J116" i="17" s="1"/>
  <c r="X185" i="18"/>
  <c r="J156" i="17" s="1"/>
  <c r="X164" i="18"/>
  <c r="J135" i="17" s="1"/>
  <c r="X168" i="18"/>
  <c r="J139" i="17" s="1"/>
  <c r="X131" i="18"/>
  <c r="J102" i="17" s="1"/>
  <c r="X202" i="18"/>
  <c r="J173" i="17" s="1"/>
  <c r="X134" i="18"/>
  <c r="J105" i="17" s="1"/>
  <c r="X156" i="18"/>
  <c r="J127" i="17" s="1"/>
  <c r="X157" i="18"/>
  <c r="J128" i="17" s="1"/>
  <c r="X181" i="18"/>
  <c r="J152" i="17" s="1"/>
  <c r="X124" i="18"/>
  <c r="J95" i="17" s="1"/>
  <c r="X172" i="18"/>
  <c r="J143" i="17" s="1"/>
  <c r="X192" i="18"/>
  <c r="J163" i="17" s="1"/>
  <c r="X195" i="18"/>
  <c r="J166" i="17" s="1"/>
  <c r="X207" i="18"/>
  <c r="J178" i="17" s="1"/>
  <c r="X201" i="18"/>
  <c r="J172" i="17" s="1"/>
  <c r="X140" i="18"/>
  <c r="J111" i="17" s="1"/>
  <c r="X209" i="18"/>
  <c r="J180" i="17" s="1"/>
  <c r="S36" i="18"/>
  <c r="K49" i="17" s="1"/>
  <c r="S49" i="18"/>
  <c r="K62" i="17" s="1"/>
  <c r="S42" i="18"/>
  <c r="K55" i="17" s="1"/>
  <c r="S31" i="18"/>
  <c r="K44" i="17" s="1"/>
  <c r="S34" i="18"/>
  <c r="K47" i="17" s="1"/>
  <c r="S38" i="18"/>
  <c r="K51" i="17" s="1"/>
  <c r="S46" i="18"/>
  <c r="K59" i="17" s="1"/>
  <c r="S44" i="18"/>
  <c r="K57" i="17" s="1"/>
  <c r="S48" i="18"/>
  <c r="K61" i="17" s="1"/>
  <c r="S41" i="18"/>
  <c r="K54" i="17" s="1"/>
  <c r="S45" i="18"/>
  <c r="K58" i="17" s="1"/>
  <c r="S39" i="18"/>
  <c r="K52" i="17" s="1"/>
  <c r="S35" i="18"/>
  <c r="K48" i="17" s="1"/>
  <c r="S50" i="18"/>
  <c r="K63" i="17" s="1"/>
  <c r="S33" i="18"/>
  <c r="K46" i="17" s="1"/>
  <c r="S43" i="18"/>
  <c r="K56" i="17" s="1"/>
  <c r="S47" i="18"/>
  <c r="K60" i="17" s="1"/>
  <c r="R52" i="18"/>
  <c r="S51" i="18"/>
  <c r="K64" i="17" s="1"/>
  <c r="S37" i="18"/>
  <c r="K50" i="17" s="1"/>
  <c r="S40" i="18"/>
  <c r="K53" i="17" s="1"/>
  <c r="N52" i="18"/>
  <c r="S32" i="18"/>
  <c r="K45" i="17" s="1"/>
  <c r="P52" i="18"/>
  <c r="F189" i="17" l="1"/>
  <c r="F190" i="17" s="1"/>
  <c r="G50" i="12" s="1"/>
  <c r="G189" i="17"/>
  <c r="G190" i="17" s="1"/>
  <c r="I50" i="12" s="1"/>
  <c r="E189" i="17"/>
  <c r="E190" i="17" s="1"/>
  <c r="E50" i="12" s="1"/>
  <c r="J182" i="17"/>
  <c r="K65" i="17"/>
  <c r="S52" i="18"/>
  <c r="H190" i="17" l="1"/>
  <c r="L50" i="12" s="1"/>
  <c r="D7" i="19" l="1"/>
  <c r="N537" i="19"/>
  <c r="N545" i="19"/>
  <c r="C322" i="20"/>
  <c r="C323" i="20"/>
  <c r="C324" i="20"/>
  <c r="C325" i="20"/>
  <c r="C326" i="20"/>
  <c r="C327" i="20"/>
  <c r="C328" i="20"/>
  <c r="C329" i="20"/>
  <c r="C330" i="20"/>
  <c r="C331" i="20"/>
  <c r="C332" i="20"/>
  <c r="C333" i="20"/>
  <c r="C334" i="20"/>
  <c r="C335" i="20"/>
  <c r="C336" i="20"/>
  <c r="C337" i="20"/>
  <c r="C338" i="20"/>
  <c r="C339" i="20"/>
  <c r="C340" i="20"/>
  <c r="C341" i="20"/>
  <c r="C342" i="20"/>
  <c r="C343" i="20"/>
  <c r="C344" i="20"/>
  <c r="C345" i="20"/>
  <c r="C346" i="20"/>
  <c r="C347" i="20"/>
  <c r="C348" i="20"/>
  <c r="C349" i="20"/>
  <c r="C350" i="20"/>
  <c r="C351" i="20"/>
  <c r="C352" i="20"/>
  <c r="C353" i="20"/>
  <c r="C354" i="20"/>
  <c r="C355" i="20"/>
  <c r="C356" i="20"/>
  <c r="C357" i="20"/>
  <c r="C358" i="20"/>
  <c r="C359" i="20"/>
  <c r="C360" i="20"/>
  <c r="C361" i="20"/>
  <c r="C362" i="20"/>
  <c r="C363" i="20"/>
  <c r="C364" i="20"/>
  <c r="C365" i="20"/>
  <c r="C366" i="20"/>
  <c r="C367" i="20"/>
  <c r="C368" i="20"/>
  <c r="C369" i="20"/>
  <c r="C370" i="20"/>
  <c r="C371" i="20"/>
  <c r="C372" i="20"/>
  <c r="C373" i="20"/>
  <c r="C374" i="20"/>
  <c r="C375" i="20"/>
  <c r="C376" i="20"/>
  <c r="C377" i="20"/>
  <c r="C378" i="20"/>
  <c r="C379" i="20"/>
  <c r="C380" i="20"/>
  <c r="C381" i="20"/>
  <c r="C382" i="20"/>
  <c r="C383" i="20"/>
  <c r="C384" i="20"/>
  <c r="C385" i="20"/>
  <c r="C386" i="20"/>
  <c r="C387" i="20"/>
  <c r="C388" i="20"/>
  <c r="C389" i="20"/>
  <c r="C390" i="20"/>
  <c r="C391" i="20"/>
  <c r="C392" i="20"/>
  <c r="C393" i="20"/>
  <c r="C394" i="20"/>
  <c r="C395" i="20"/>
  <c r="C396" i="20"/>
  <c r="C397" i="20"/>
  <c r="C398" i="20"/>
  <c r="C399" i="20"/>
  <c r="C400" i="20"/>
  <c r="C401" i="20"/>
  <c r="C402" i="20"/>
  <c r="C403" i="20"/>
  <c r="C404" i="20"/>
  <c r="C405" i="20"/>
  <c r="C406" i="20"/>
  <c r="C407" i="20"/>
  <c r="C408" i="20"/>
  <c r="C409" i="20"/>
  <c r="C410" i="20"/>
  <c r="C411" i="20"/>
  <c r="C412" i="20"/>
  <c r="C413" i="20"/>
  <c r="C414" i="20"/>
  <c r="C415" i="20"/>
  <c r="C416" i="20"/>
  <c r="C417" i="20"/>
  <c r="C418" i="20"/>
  <c r="C419" i="20"/>
  <c r="C420" i="20"/>
  <c r="C321" i="20"/>
  <c r="C222" i="20"/>
  <c r="C223" i="20"/>
  <c r="C224" i="20"/>
  <c r="C225" i="20"/>
  <c r="C226" i="20"/>
  <c r="C227" i="20"/>
  <c r="C228" i="20"/>
  <c r="C229" i="20"/>
  <c r="C230" i="20"/>
  <c r="C231" i="20"/>
  <c r="C232" i="20"/>
  <c r="C233" i="20"/>
  <c r="C234" i="20"/>
  <c r="C235" i="20"/>
  <c r="C236" i="20"/>
  <c r="C237" i="20"/>
  <c r="C238" i="20"/>
  <c r="C239" i="20"/>
  <c r="C240" i="20"/>
  <c r="C241" i="20"/>
  <c r="C242" i="20"/>
  <c r="C243" i="20"/>
  <c r="C244" i="20"/>
  <c r="C245" i="20"/>
  <c r="C246" i="20"/>
  <c r="C247" i="20"/>
  <c r="C248" i="20"/>
  <c r="C249" i="20"/>
  <c r="C250" i="20"/>
  <c r="C251" i="20"/>
  <c r="C252" i="20"/>
  <c r="C253" i="20"/>
  <c r="C254" i="20"/>
  <c r="C255" i="20"/>
  <c r="C256" i="20"/>
  <c r="C257" i="20"/>
  <c r="C258" i="20"/>
  <c r="C259" i="20"/>
  <c r="C260" i="20"/>
  <c r="C261" i="20"/>
  <c r="C262" i="20"/>
  <c r="C263" i="20"/>
  <c r="C264" i="20"/>
  <c r="C265" i="20"/>
  <c r="C266" i="20"/>
  <c r="C267" i="20"/>
  <c r="C268" i="20"/>
  <c r="C269" i="20"/>
  <c r="C270" i="20"/>
  <c r="C271" i="20"/>
  <c r="C272" i="20"/>
  <c r="C273" i="20"/>
  <c r="C274" i="20"/>
  <c r="C275" i="20"/>
  <c r="C276" i="20"/>
  <c r="C277" i="20"/>
  <c r="C278" i="20"/>
  <c r="C279" i="20"/>
  <c r="C280" i="20"/>
  <c r="C281" i="20"/>
  <c r="C282" i="20"/>
  <c r="C283" i="20"/>
  <c r="C284" i="20"/>
  <c r="C285" i="20"/>
  <c r="C286" i="20"/>
  <c r="C287" i="20"/>
  <c r="C288" i="20"/>
  <c r="C289" i="20"/>
  <c r="C290" i="20"/>
  <c r="C291" i="20"/>
  <c r="C292" i="20"/>
  <c r="C293" i="20"/>
  <c r="C294" i="20"/>
  <c r="C295" i="20"/>
  <c r="C296" i="20"/>
  <c r="C297" i="20"/>
  <c r="C298" i="20"/>
  <c r="C299" i="20"/>
  <c r="C300" i="20"/>
  <c r="C301" i="20"/>
  <c r="C302" i="20"/>
  <c r="C303" i="20"/>
  <c r="C304" i="20"/>
  <c r="C305" i="20"/>
  <c r="C306" i="20"/>
  <c r="C307" i="20"/>
  <c r="C308" i="20"/>
  <c r="C309" i="20"/>
  <c r="C310" i="20"/>
  <c r="C311" i="20"/>
  <c r="C312" i="20"/>
  <c r="C313" i="20"/>
  <c r="C314" i="20"/>
  <c r="C315" i="20"/>
  <c r="C316" i="20"/>
  <c r="C317" i="20"/>
  <c r="C318" i="20"/>
  <c r="C319" i="20"/>
  <c r="C320" i="20"/>
  <c r="C221" i="20"/>
  <c r="C122" i="20"/>
  <c r="C123" i="20"/>
  <c r="C124" i="20"/>
  <c r="C125" i="20"/>
  <c r="C126" i="20"/>
  <c r="C127"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C153" i="20"/>
  <c r="C154" i="20"/>
  <c r="C155" i="20"/>
  <c r="C156" i="20"/>
  <c r="C157" i="20"/>
  <c r="C158" i="20"/>
  <c r="C159" i="20"/>
  <c r="C160" i="20"/>
  <c r="C161" i="20"/>
  <c r="C162" i="20"/>
  <c r="C163" i="20"/>
  <c r="C164" i="20"/>
  <c r="C165" i="20"/>
  <c r="C166" i="20"/>
  <c r="C167" i="20"/>
  <c r="C168" i="20"/>
  <c r="C169" i="20"/>
  <c r="C170" i="20"/>
  <c r="C171" i="20"/>
  <c r="C172" i="20"/>
  <c r="C173" i="20"/>
  <c r="C174" i="20"/>
  <c r="C175" i="20"/>
  <c r="C176" i="20"/>
  <c r="C177" i="20"/>
  <c r="C178" i="20"/>
  <c r="C179" i="20"/>
  <c r="C180"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121" i="20"/>
  <c r="C22" i="20"/>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4"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C88" i="20"/>
  <c r="C89" i="20"/>
  <c r="C90" i="20"/>
  <c r="C91" i="20"/>
  <c r="C92" i="20"/>
  <c r="C93" i="20"/>
  <c r="C94" i="20"/>
  <c r="C95" i="20"/>
  <c r="C96" i="20"/>
  <c r="C97" i="20"/>
  <c r="C98" i="20"/>
  <c r="C99" i="20"/>
  <c r="C100" i="20"/>
  <c r="C101" i="20"/>
  <c r="C102" i="20"/>
  <c r="C103" i="20"/>
  <c r="C104" i="20"/>
  <c r="C105" i="20"/>
  <c r="C106" i="20"/>
  <c r="C107" i="20"/>
  <c r="C108" i="20"/>
  <c r="C109" i="20"/>
  <c r="C110" i="20"/>
  <c r="C111" i="20"/>
  <c r="C112" i="20"/>
  <c r="C113" i="20"/>
  <c r="C114" i="20"/>
  <c r="C115" i="20"/>
  <c r="C116" i="20"/>
  <c r="C117" i="20"/>
  <c r="C118" i="20"/>
  <c r="C119" i="20"/>
  <c r="C120" i="20"/>
  <c r="L322" i="20"/>
  <c r="V322" i="20" s="1"/>
  <c r="M322" i="20"/>
  <c r="L323" i="20"/>
  <c r="V323" i="20" s="1"/>
  <c r="M323" i="20"/>
  <c r="L324" i="20"/>
  <c r="W324" i="20" s="1"/>
  <c r="M324" i="20"/>
  <c r="L325" i="20"/>
  <c r="M325" i="20"/>
  <c r="L326" i="20"/>
  <c r="V326" i="20" s="1"/>
  <c r="M326" i="20"/>
  <c r="L327" i="20"/>
  <c r="V327" i="20" s="1"/>
  <c r="M327" i="20"/>
  <c r="L328" i="20"/>
  <c r="W328" i="20" s="1"/>
  <c r="M328" i="20"/>
  <c r="L329" i="20"/>
  <c r="M329" i="20"/>
  <c r="L330" i="20"/>
  <c r="V330" i="20" s="1"/>
  <c r="M330" i="20"/>
  <c r="L331" i="20"/>
  <c r="V331" i="20" s="1"/>
  <c r="M331" i="20"/>
  <c r="L332" i="20"/>
  <c r="X332" i="20" s="1"/>
  <c r="M332" i="20"/>
  <c r="L333" i="20"/>
  <c r="V333" i="20" s="1"/>
  <c r="M333" i="20"/>
  <c r="L334" i="20"/>
  <c r="M334" i="20"/>
  <c r="L335" i="20"/>
  <c r="V335" i="20" s="1"/>
  <c r="M335" i="20"/>
  <c r="L336" i="20"/>
  <c r="X336" i="20" s="1"/>
  <c r="M336" i="20"/>
  <c r="L337" i="20"/>
  <c r="V337" i="20" s="1"/>
  <c r="M337" i="20"/>
  <c r="L338" i="20"/>
  <c r="M338" i="20"/>
  <c r="L339" i="20"/>
  <c r="V339" i="20" s="1"/>
  <c r="M339" i="20"/>
  <c r="L340" i="20"/>
  <c r="X340" i="20" s="1"/>
  <c r="M340" i="20"/>
  <c r="L341" i="20"/>
  <c r="V341" i="20" s="1"/>
  <c r="M341" i="20"/>
  <c r="L342" i="20"/>
  <c r="M342" i="20"/>
  <c r="L343" i="20"/>
  <c r="V343" i="20" s="1"/>
  <c r="M343" i="20"/>
  <c r="L344" i="20"/>
  <c r="X344" i="20" s="1"/>
  <c r="M344" i="20"/>
  <c r="L345" i="20"/>
  <c r="V345" i="20" s="1"/>
  <c r="M345" i="20"/>
  <c r="L346" i="20"/>
  <c r="X346" i="20" s="1"/>
  <c r="M346" i="20"/>
  <c r="L347" i="20"/>
  <c r="V347" i="20" s="1"/>
  <c r="M347" i="20"/>
  <c r="L348" i="20"/>
  <c r="X348" i="20" s="1"/>
  <c r="M348" i="20"/>
  <c r="L349" i="20"/>
  <c r="V349" i="20" s="1"/>
  <c r="M349" i="20"/>
  <c r="L350" i="20"/>
  <c r="M350" i="20"/>
  <c r="L351" i="20"/>
  <c r="V351" i="20" s="1"/>
  <c r="M351" i="20"/>
  <c r="L352" i="20"/>
  <c r="X352" i="20" s="1"/>
  <c r="M352" i="20"/>
  <c r="L353" i="20"/>
  <c r="V353" i="20" s="1"/>
  <c r="M353" i="20"/>
  <c r="L354" i="20"/>
  <c r="X354" i="20" s="1"/>
  <c r="M354" i="20"/>
  <c r="L355" i="20"/>
  <c r="V355" i="20" s="1"/>
  <c r="M355" i="20"/>
  <c r="L356" i="20"/>
  <c r="X356" i="20" s="1"/>
  <c r="M356" i="20"/>
  <c r="L357" i="20"/>
  <c r="V357" i="20" s="1"/>
  <c r="M357" i="20"/>
  <c r="L358" i="20"/>
  <c r="M358" i="20"/>
  <c r="L359" i="20"/>
  <c r="V359" i="20" s="1"/>
  <c r="M359" i="20"/>
  <c r="L360" i="20"/>
  <c r="X360" i="20" s="1"/>
  <c r="M360" i="20"/>
  <c r="L361" i="20"/>
  <c r="V361" i="20" s="1"/>
  <c r="M361" i="20"/>
  <c r="L362" i="20"/>
  <c r="M362" i="20"/>
  <c r="L363" i="20"/>
  <c r="V363" i="20" s="1"/>
  <c r="M363" i="20"/>
  <c r="L364" i="20"/>
  <c r="X364" i="20" s="1"/>
  <c r="M364" i="20"/>
  <c r="L365" i="20"/>
  <c r="V365" i="20" s="1"/>
  <c r="M365" i="20"/>
  <c r="L366" i="20"/>
  <c r="M366" i="20"/>
  <c r="L367" i="20"/>
  <c r="V367" i="20" s="1"/>
  <c r="M367" i="20"/>
  <c r="L368" i="20"/>
  <c r="X368" i="20" s="1"/>
  <c r="M368" i="20"/>
  <c r="L369" i="20"/>
  <c r="V369" i="20" s="1"/>
  <c r="M369" i="20"/>
  <c r="L370" i="20"/>
  <c r="M370" i="20"/>
  <c r="L371" i="20"/>
  <c r="V371" i="20" s="1"/>
  <c r="M371" i="20"/>
  <c r="L372" i="20"/>
  <c r="X372" i="20" s="1"/>
  <c r="M372" i="20"/>
  <c r="L373" i="20"/>
  <c r="V373" i="20" s="1"/>
  <c r="M373" i="20"/>
  <c r="L374" i="20"/>
  <c r="M374" i="20"/>
  <c r="L375" i="20"/>
  <c r="V375" i="20" s="1"/>
  <c r="M375" i="20"/>
  <c r="L376" i="20"/>
  <c r="X376" i="20" s="1"/>
  <c r="M376" i="20"/>
  <c r="L377" i="20"/>
  <c r="V377" i="20" s="1"/>
  <c r="M377" i="20"/>
  <c r="L378" i="20"/>
  <c r="M378" i="20"/>
  <c r="L379" i="20"/>
  <c r="V379" i="20" s="1"/>
  <c r="M379" i="20"/>
  <c r="L380" i="20"/>
  <c r="X380" i="20" s="1"/>
  <c r="M380" i="20"/>
  <c r="L381" i="20"/>
  <c r="V381" i="20" s="1"/>
  <c r="M381" i="20"/>
  <c r="L382" i="20"/>
  <c r="M382" i="20"/>
  <c r="L383" i="20"/>
  <c r="V383" i="20" s="1"/>
  <c r="M383" i="20"/>
  <c r="L384" i="20"/>
  <c r="X384" i="20" s="1"/>
  <c r="M384" i="20"/>
  <c r="L385" i="20"/>
  <c r="V385" i="20" s="1"/>
  <c r="M385" i="20"/>
  <c r="L386" i="20"/>
  <c r="M386" i="20"/>
  <c r="L387" i="20"/>
  <c r="W387" i="20" s="1"/>
  <c r="M387" i="20"/>
  <c r="L388" i="20"/>
  <c r="X388" i="20" s="1"/>
  <c r="M388" i="20"/>
  <c r="L389" i="20"/>
  <c r="V389" i="20" s="1"/>
  <c r="M389" i="20"/>
  <c r="L390" i="20"/>
  <c r="V390" i="20" s="1"/>
  <c r="M390" i="20"/>
  <c r="L391" i="20"/>
  <c r="W391" i="20" s="1"/>
  <c r="M391" i="20"/>
  <c r="L392" i="20"/>
  <c r="X392" i="20" s="1"/>
  <c r="M392" i="20"/>
  <c r="L393" i="20"/>
  <c r="V393" i="20" s="1"/>
  <c r="M393" i="20"/>
  <c r="L394" i="20"/>
  <c r="V394" i="20" s="1"/>
  <c r="M394" i="20"/>
  <c r="L395" i="20"/>
  <c r="W395" i="20" s="1"/>
  <c r="M395" i="20"/>
  <c r="L396" i="20"/>
  <c r="X396" i="20" s="1"/>
  <c r="M396" i="20"/>
  <c r="L397" i="20"/>
  <c r="V397" i="20" s="1"/>
  <c r="M397" i="20"/>
  <c r="L398" i="20"/>
  <c r="V398" i="20" s="1"/>
  <c r="M398" i="20"/>
  <c r="L399" i="20"/>
  <c r="W399" i="20" s="1"/>
  <c r="M399" i="20"/>
  <c r="L400" i="20"/>
  <c r="X400" i="20" s="1"/>
  <c r="M400" i="20"/>
  <c r="L401" i="20"/>
  <c r="V401" i="20" s="1"/>
  <c r="M401" i="20"/>
  <c r="L402" i="20"/>
  <c r="V402" i="20" s="1"/>
  <c r="M402" i="20"/>
  <c r="L403" i="20"/>
  <c r="W403" i="20" s="1"/>
  <c r="M403" i="20"/>
  <c r="L404" i="20"/>
  <c r="X404" i="20" s="1"/>
  <c r="M404" i="20"/>
  <c r="L405" i="20"/>
  <c r="V405" i="20" s="1"/>
  <c r="M405" i="20"/>
  <c r="L406" i="20"/>
  <c r="V406" i="20" s="1"/>
  <c r="M406" i="20"/>
  <c r="L407" i="20"/>
  <c r="W407" i="20" s="1"/>
  <c r="M407" i="20"/>
  <c r="L408" i="20"/>
  <c r="X408" i="20" s="1"/>
  <c r="M408" i="20"/>
  <c r="L409" i="20"/>
  <c r="V409" i="20" s="1"/>
  <c r="M409" i="20"/>
  <c r="L410" i="20"/>
  <c r="V410" i="20" s="1"/>
  <c r="M410" i="20"/>
  <c r="L411" i="20"/>
  <c r="W411" i="20" s="1"/>
  <c r="M411" i="20"/>
  <c r="L412" i="20"/>
  <c r="X412" i="20" s="1"/>
  <c r="M412" i="20"/>
  <c r="L413" i="20"/>
  <c r="V413" i="20" s="1"/>
  <c r="M413" i="20"/>
  <c r="L414" i="20"/>
  <c r="V414" i="20" s="1"/>
  <c r="M414" i="20"/>
  <c r="L415" i="20"/>
  <c r="W415" i="20" s="1"/>
  <c r="M415" i="20"/>
  <c r="L416" i="20"/>
  <c r="X416" i="20" s="1"/>
  <c r="M416" i="20"/>
  <c r="L417" i="20"/>
  <c r="V417" i="20" s="1"/>
  <c r="M417" i="20"/>
  <c r="L418" i="20"/>
  <c r="V418" i="20" s="1"/>
  <c r="M418" i="20"/>
  <c r="L419" i="20"/>
  <c r="W419" i="20" s="1"/>
  <c r="M419" i="20"/>
  <c r="L420" i="20"/>
  <c r="X420" i="20" s="1"/>
  <c r="M420" i="20"/>
  <c r="M321" i="20"/>
  <c r="L321" i="20"/>
  <c r="L222" i="20"/>
  <c r="M222" i="20"/>
  <c r="L223" i="20"/>
  <c r="M223" i="20"/>
  <c r="L224" i="20"/>
  <c r="M224" i="20"/>
  <c r="L225" i="20"/>
  <c r="V225" i="20" s="1"/>
  <c r="M225" i="20"/>
  <c r="L226" i="20"/>
  <c r="V226" i="20" s="1"/>
  <c r="M226" i="20"/>
  <c r="L227" i="20"/>
  <c r="M227" i="20"/>
  <c r="L228" i="20"/>
  <c r="M228" i="20"/>
  <c r="L229" i="20"/>
  <c r="V229" i="20" s="1"/>
  <c r="M229" i="20"/>
  <c r="L230" i="20"/>
  <c r="V230" i="20" s="1"/>
  <c r="M230" i="20"/>
  <c r="L231" i="20"/>
  <c r="M231" i="20"/>
  <c r="L232" i="20"/>
  <c r="V232" i="20" s="1"/>
  <c r="M232" i="20"/>
  <c r="L233" i="20"/>
  <c r="M233" i="20"/>
  <c r="L234" i="20"/>
  <c r="M234" i="20"/>
  <c r="L235" i="20"/>
  <c r="X235" i="20" s="1"/>
  <c r="M235" i="20"/>
  <c r="L236" i="20"/>
  <c r="V236" i="20" s="1"/>
  <c r="M236" i="20"/>
  <c r="L237" i="20"/>
  <c r="X237" i="20" s="1"/>
  <c r="M237" i="20"/>
  <c r="L238" i="20"/>
  <c r="V238" i="20" s="1"/>
  <c r="M238" i="20"/>
  <c r="L239" i="20"/>
  <c r="X239" i="20" s="1"/>
  <c r="M239" i="20"/>
  <c r="L240" i="20"/>
  <c r="V240" i="20" s="1"/>
  <c r="M240" i="20"/>
  <c r="L241" i="20"/>
  <c r="M241" i="20"/>
  <c r="L242" i="20"/>
  <c r="V242" i="20" s="1"/>
  <c r="M242" i="20"/>
  <c r="L243" i="20"/>
  <c r="X243" i="20" s="1"/>
  <c r="M243" i="20"/>
  <c r="L244" i="20"/>
  <c r="V244" i="20" s="1"/>
  <c r="M244" i="20"/>
  <c r="L245" i="20"/>
  <c r="X245" i="20" s="1"/>
  <c r="M245" i="20"/>
  <c r="L246" i="20"/>
  <c r="V246" i="20" s="1"/>
  <c r="M246" i="20"/>
  <c r="L247" i="20"/>
  <c r="X247" i="20" s="1"/>
  <c r="M247" i="20"/>
  <c r="L248" i="20"/>
  <c r="V248" i="20" s="1"/>
  <c r="M248" i="20"/>
  <c r="L249" i="20"/>
  <c r="M249" i="20"/>
  <c r="L250" i="20"/>
  <c r="M250" i="20"/>
  <c r="L251" i="20"/>
  <c r="X251" i="20" s="1"/>
  <c r="M251" i="20"/>
  <c r="L252" i="20"/>
  <c r="V252" i="20" s="1"/>
  <c r="M252" i="20"/>
  <c r="L253" i="20"/>
  <c r="X253" i="20" s="1"/>
  <c r="M253" i="20"/>
  <c r="L254" i="20"/>
  <c r="V254" i="20" s="1"/>
  <c r="M254" i="20"/>
  <c r="L255" i="20"/>
  <c r="X255" i="20" s="1"/>
  <c r="M255" i="20"/>
  <c r="L256" i="20"/>
  <c r="V256" i="20" s="1"/>
  <c r="M256" i="20"/>
  <c r="L257" i="20"/>
  <c r="M257" i="20"/>
  <c r="L258" i="20"/>
  <c r="V258" i="20" s="1"/>
  <c r="M258" i="20"/>
  <c r="L259" i="20"/>
  <c r="X259" i="20" s="1"/>
  <c r="M259" i="20"/>
  <c r="L260" i="20"/>
  <c r="V260" i="20" s="1"/>
  <c r="M260" i="20"/>
  <c r="L261" i="20"/>
  <c r="X261" i="20" s="1"/>
  <c r="M261" i="20"/>
  <c r="L262" i="20"/>
  <c r="V262" i="20" s="1"/>
  <c r="M262" i="20"/>
  <c r="L263" i="20"/>
  <c r="X263" i="20" s="1"/>
  <c r="M263" i="20"/>
  <c r="L264" i="20"/>
  <c r="V264" i="20" s="1"/>
  <c r="M264" i="20"/>
  <c r="L265" i="20"/>
  <c r="M265" i="20"/>
  <c r="L266" i="20"/>
  <c r="V266" i="20" s="1"/>
  <c r="M266" i="20"/>
  <c r="L267" i="20"/>
  <c r="X267" i="20" s="1"/>
  <c r="M267" i="20"/>
  <c r="L268" i="20"/>
  <c r="V268" i="20" s="1"/>
  <c r="M268" i="20"/>
  <c r="L269" i="20"/>
  <c r="X269" i="20" s="1"/>
  <c r="M269" i="20"/>
  <c r="L270" i="20"/>
  <c r="V270" i="20" s="1"/>
  <c r="M270" i="20"/>
  <c r="L271" i="20"/>
  <c r="X271" i="20" s="1"/>
  <c r="M271" i="20"/>
  <c r="L272" i="20"/>
  <c r="V272" i="20" s="1"/>
  <c r="M272" i="20"/>
  <c r="L273" i="20"/>
  <c r="M273" i="20"/>
  <c r="L274" i="20"/>
  <c r="M274" i="20"/>
  <c r="L275" i="20"/>
  <c r="X275" i="20" s="1"/>
  <c r="M275" i="20"/>
  <c r="L276" i="20"/>
  <c r="V276" i="20" s="1"/>
  <c r="M276" i="20"/>
  <c r="L277" i="20"/>
  <c r="X277" i="20" s="1"/>
  <c r="M277" i="20"/>
  <c r="L278" i="20"/>
  <c r="V278" i="20" s="1"/>
  <c r="M278" i="20"/>
  <c r="L279" i="20"/>
  <c r="X279" i="20" s="1"/>
  <c r="M279" i="20"/>
  <c r="L280" i="20"/>
  <c r="V280" i="20" s="1"/>
  <c r="M280" i="20"/>
  <c r="L281" i="20"/>
  <c r="M281" i="20"/>
  <c r="L282" i="20"/>
  <c r="V282" i="20" s="1"/>
  <c r="M282" i="20"/>
  <c r="L283" i="20"/>
  <c r="X283" i="20" s="1"/>
  <c r="M283" i="20"/>
  <c r="L284" i="20"/>
  <c r="V284" i="20" s="1"/>
  <c r="M284" i="20"/>
  <c r="L285" i="20"/>
  <c r="X285" i="20" s="1"/>
  <c r="M285" i="20"/>
  <c r="L286" i="20"/>
  <c r="V286" i="20" s="1"/>
  <c r="M286" i="20"/>
  <c r="L287" i="20"/>
  <c r="X287" i="20" s="1"/>
  <c r="M287" i="20"/>
  <c r="L288" i="20"/>
  <c r="V288" i="20" s="1"/>
  <c r="M288" i="20"/>
  <c r="L289" i="20"/>
  <c r="M289" i="20"/>
  <c r="L290" i="20"/>
  <c r="M290" i="20"/>
  <c r="L291" i="20"/>
  <c r="X291" i="20" s="1"/>
  <c r="M291" i="20"/>
  <c r="L292" i="20"/>
  <c r="V292" i="20" s="1"/>
  <c r="M292" i="20"/>
  <c r="L293" i="20"/>
  <c r="X293" i="20" s="1"/>
  <c r="M293" i="20"/>
  <c r="L294" i="20"/>
  <c r="V294" i="20" s="1"/>
  <c r="M294" i="20"/>
  <c r="L295" i="20"/>
  <c r="X295" i="20" s="1"/>
  <c r="M295" i="20"/>
  <c r="L296" i="20"/>
  <c r="V296" i="20" s="1"/>
  <c r="M296" i="20"/>
  <c r="L297" i="20"/>
  <c r="M297" i="20"/>
  <c r="L298" i="20"/>
  <c r="V298" i="20" s="1"/>
  <c r="M298" i="20"/>
  <c r="L299" i="20"/>
  <c r="X299" i="20" s="1"/>
  <c r="M299" i="20"/>
  <c r="L300" i="20"/>
  <c r="V300" i="20" s="1"/>
  <c r="M300" i="20"/>
  <c r="L301" i="20"/>
  <c r="X301" i="20" s="1"/>
  <c r="M301" i="20"/>
  <c r="L302" i="20"/>
  <c r="V302" i="20" s="1"/>
  <c r="M302" i="20"/>
  <c r="L303" i="20"/>
  <c r="X303" i="20" s="1"/>
  <c r="M303" i="20"/>
  <c r="L304" i="20"/>
  <c r="V304" i="20" s="1"/>
  <c r="M304" i="20"/>
  <c r="L305" i="20"/>
  <c r="M305" i="20"/>
  <c r="L306" i="20"/>
  <c r="V306" i="20" s="1"/>
  <c r="M306" i="20"/>
  <c r="L307" i="20"/>
  <c r="X307" i="20" s="1"/>
  <c r="M307" i="20"/>
  <c r="L308" i="20"/>
  <c r="V308" i="20" s="1"/>
  <c r="M308" i="20"/>
  <c r="L309" i="20"/>
  <c r="X309" i="20" s="1"/>
  <c r="M309" i="20"/>
  <c r="L310" i="20"/>
  <c r="V310" i="20" s="1"/>
  <c r="M310" i="20"/>
  <c r="L311" i="20"/>
  <c r="X311" i="20" s="1"/>
  <c r="M311" i="20"/>
  <c r="L312" i="20"/>
  <c r="V312" i="20" s="1"/>
  <c r="M312" i="20"/>
  <c r="L313" i="20"/>
  <c r="M313" i="20"/>
  <c r="L314" i="20"/>
  <c r="V314" i="20" s="1"/>
  <c r="M314" i="20"/>
  <c r="L315" i="20"/>
  <c r="X315" i="20" s="1"/>
  <c r="M315" i="20"/>
  <c r="L316" i="20"/>
  <c r="V316" i="20" s="1"/>
  <c r="M316" i="20"/>
  <c r="L317" i="20"/>
  <c r="X317" i="20" s="1"/>
  <c r="M317" i="20"/>
  <c r="L318" i="20"/>
  <c r="V318" i="20" s="1"/>
  <c r="M318" i="20"/>
  <c r="L319" i="20"/>
  <c r="X319" i="20" s="1"/>
  <c r="M319" i="20"/>
  <c r="L320" i="20"/>
  <c r="V320" i="20" s="1"/>
  <c r="M320" i="20"/>
  <c r="M221" i="20"/>
  <c r="L221" i="20"/>
  <c r="L122" i="20"/>
  <c r="M122" i="20"/>
  <c r="L123" i="20"/>
  <c r="M123" i="20"/>
  <c r="L124" i="20"/>
  <c r="M124" i="20"/>
  <c r="L125" i="20"/>
  <c r="M125" i="20"/>
  <c r="L126" i="20"/>
  <c r="M126" i="20"/>
  <c r="L127" i="20"/>
  <c r="M127" i="20"/>
  <c r="L128" i="20"/>
  <c r="M128" i="20"/>
  <c r="L129" i="20"/>
  <c r="M129" i="20"/>
  <c r="L130" i="20"/>
  <c r="M130" i="20"/>
  <c r="L131" i="20"/>
  <c r="M131" i="20"/>
  <c r="L132" i="20"/>
  <c r="M132" i="20"/>
  <c r="L133" i="20"/>
  <c r="M133" i="20"/>
  <c r="L134" i="20"/>
  <c r="M134" i="20"/>
  <c r="L135" i="20"/>
  <c r="M135" i="20"/>
  <c r="L136" i="20"/>
  <c r="M136" i="20"/>
  <c r="L137" i="20"/>
  <c r="M137" i="20"/>
  <c r="L138" i="20"/>
  <c r="M138" i="20"/>
  <c r="L139" i="20"/>
  <c r="M139" i="20"/>
  <c r="L140" i="20"/>
  <c r="M140" i="20"/>
  <c r="L141" i="20"/>
  <c r="M141" i="20"/>
  <c r="L142" i="20"/>
  <c r="M142" i="20"/>
  <c r="L143" i="20"/>
  <c r="M143" i="20"/>
  <c r="L144" i="20"/>
  <c r="M144" i="20"/>
  <c r="L145" i="20"/>
  <c r="M145" i="20"/>
  <c r="L146" i="20"/>
  <c r="M146" i="20"/>
  <c r="L147" i="20"/>
  <c r="M147" i="20"/>
  <c r="L148" i="20"/>
  <c r="M148" i="20"/>
  <c r="L149" i="20"/>
  <c r="M149" i="20"/>
  <c r="L150" i="20"/>
  <c r="M150" i="20"/>
  <c r="L151" i="20"/>
  <c r="M151" i="20"/>
  <c r="L152" i="20"/>
  <c r="M152" i="20"/>
  <c r="L153" i="20"/>
  <c r="M153" i="20"/>
  <c r="L154" i="20"/>
  <c r="M154" i="20"/>
  <c r="L155" i="20"/>
  <c r="M155" i="20"/>
  <c r="L156" i="20"/>
  <c r="M156" i="20"/>
  <c r="L157" i="20"/>
  <c r="M157" i="20"/>
  <c r="L158" i="20"/>
  <c r="M158" i="20"/>
  <c r="L159" i="20"/>
  <c r="M159" i="20"/>
  <c r="L160" i="20"/>
  <c r="M160" i="20"/>
  <c r="L161" i="20"/>
  <c r="M161" i="20"/>
  <c r="L162" i="20"/>
  <c r="M162" i="20"/>
  <c r="L163" i="20"/>
  <c r="M163" i="20"/>
  <c r="L164" i="20"/>
  <c r="M164" i="20"/>
  <c r="L165" i="20"/>
  <c r="M165" i="20"/>
  <c r="L166" i="20"/>
  <c r="M166" i="20"/>
  <c r="L167" i="20"/>
  <c r="M167" i="20"/>
  <c r="L168" i="20"/>
  <c r="M168" i="20"/>
  <c r="L169" i="20"/>
  <c r="M169" i="20"/>
  <c r="L170" i="20"/>
  <c r="M170" i="20"/>
  <c r="L171" i="20"/>
  <c r="M171" i="20"/>
  <c r="L172" i="20"/>
  <c r="M172" i="20"/>
  <c r="L173" i="20"/>
  <c r="M173" i="20"/>
  <c r="L174" i="20"/>
  <c r="M174" i="20"/>
  <c r="L175" i="20"/>
  <c r="M175" i="20"/>
  <c r="L176" i="20"/>
  <c r="M176" i="20"/>
  <c r="L177" i="20"/>
  <c r="M177" i="20"/>
  <c r="L178" i="20"/>
  <c r="M178" i="20"/>
  <c r="L179" i="20"/>
  <c r="M179" i="20"/>
  <c r="L180" i="20"/>
  <c r="M180" i="20"/>
  <c r="L181" i="20"/>
  <c r="M181" i="20"/>
  <c r="L182" i="20"/>
  <c r="M182" i="20"/>
  <c r="L183" i="20"/>
  <c r="M183" i="20"/>
  <c r="L184" i="20"/>
  <c r="M184" i="20"/>
  <c r="L185" i="20"/>
  <c r="M185" i="20"/>
  <c r="L186" i="20"/>
  <c r="M186" i="20"/>
  <c r="L187" i="20"/>
  <c r="M187" i="20"/>
  <c r="L188" i="20"/>
  <c r="M188" i="20"/>
  <c r="L189" i="20"/>
  <c r="M189" i="20"/>
  <c r="L190" i="20"/>
  <c r="M190" i="20"/>
  <c r="L191" i="20"/>
  <c r="M191" i="20"/>
  <c r="L192" i="20"/>
  <c r="M192" i="20"/>
  <c r="L193" i="20"/>
  <c r="M193" i="20"/>
  <c r="L194" i="20"/>
  <c r="M194" i="20"/>
  <c r="L195" i="20"/>
  <c r="M195" i="20"/>
  <c r="L196" i="20"/>
  <c r="M196" i="20"/>
  <c r="L197" i="20"/>
  <c r="M197" i="20"/>
  <c r="L198" i="20"/>
  <c r="M198" i="20"/>
  <c r="L199" i="20"/>
  <c r="M199" i="20"/>
  <c r="L200" i="20"/>
  <c r="M200" i="20"/>
  <c r="L201" i="20"/>
  <c r="M201" i="20"/>
  <c r="L202" i="20"/>
  <c r="M202" i="20"/>
  <c r="L203" i="20"/>
  <c r="M203" i="20"/>
  <c r="L204" i="20"/>
  <c r="M204" i="20"/>
  <c r="L205" i="20"/>
  <c r="M205" i="20"/>
  <c r="L206" i="20"/>
  <c r="M206" i="20"/>
  <c r="L207" i="20"/>
  <c r="M207" i="20"/>
  <c r="L208" i="20"/>
  <c r="M208" i="20"/>
  <c r="L209" i="20"/>
  <c r="M209" i="20"/>
  <c r="L210" i="20"/>
  <c r="M210" i="20"/>
  <c r="L211" i="20"/>
  <c r="M211" i="20"/>
  <c r="L212" i="20"/>
  <c r="M212" i="20"/>
  <c r="L213" i="20"/>
  <c r="M213" i="20"/>
  <c r="L214" i="20"/>
  <c r="M214" i="20"/>
  <c r="L215" i="20"/>
  <c r="M215" i="20"/>
  <c r="L216" i="20"/>
  <c r="M216" i="20"/>
  <c r="L217" i="20"/>
  <c r="M217" i="20"/>
  <c r="L218" i="20"/>
  <c r="M218" i="20"/>
  <c r="L219" i="20"/>
  <c r="M219" i="20"/>
  <c r="L220" i="20"/>
  <c r="M220" i="20"/>
  <c r="M121" i="20"/>
  <c r="L121" i="20"/>
  <c r="L22" i="20"/>
  <c r="M22" i="20"/>
  <c r="L23" i="20"/>
  <c r="M23" i="20"/>
  <c r="L24" i="20"/>
  <c r="W24" i="20" s="1"/>
  <c r="M24" i="20"/>
  <c r="L25" i="20"/>
  <c r="M25" i="20"/>
  <c r="L26" i="20"/>
  <c r="M26" i="20"/>
  <c r="L27" i="20"/>
  <c r="V27" i="20" s="1"/>
  <c r="M27" i="20"/>
  <c r="L28" i="20"/>
  <c r="M28" i="20"/>
  <c r="L29" i="20"/>
  <c r="X29" i="20" s="1"/>
  <c r="M29" i="20"/>
  <c r="L30" i="20"/>
  <c r="M30" i="20"/>
  <c r="L31" i="20"/>
  <c r="M31" i="20"/>
  <c r="L32" i="20"/>
  <c r="M32" i="20"/>
  <c r="L33" i="20"/>
  <c r="M33" i="20"/>
  <c r="L34" i="20"/>
  <c r="V34" i="20" s="1"/>
  <c r="M34" i="20"/>
  <c r="L35" i="20"/>
  <c r="V35" i="20" s="1"/>
  <c r="M35" i="20"/>
  <c r="L36" i="20"/>
  <c r="M36" i="20"/>
  <c r="L37" i="20"/>
  <c r="X37" i="20" s="1"/>
  <c r="M37" i="20"/>
  <c r="L38" i="20"/>
  <c r="M38" i="20"/>
  <c r="L39" i="20"/>
  <c r="W39" i="20" s="1"/>
  <c r="M39" i="20"/>
  <c r="L40" i="20"/>
  <c r="W40" i="20" s="1"/>
  <c r="M40" i="20"/>
  <c r="L41" i="20"/>
  <c r="M41" i="20"/>
  <c r="L42" i="20"/>
  <c r="M42" i="20"/>
  <c r="L43" i="20"/>
  <c r="V43" i="20" s="1"/>
  <c r="M43" i="20"/>
  <c r="L44" i="20"/>
  <c r="M44" i="20"/>
  <c r="L45" i="20"/>
  <c r="X45" i="20" s="1"/>
  <c r="M45" i="20"/>
  <c r="L46" i="20"/>
  <c r="M46" i="20"/>
  <c r="L47" i="20"/>
  <c r="M47" i="20"/>
  <c r="L48" i="20"/>
  <c r="M48" i="20"/>
  <c r="L49" i="20"/>
  <c r="M49" i="20"/>
  <c r="L50" i="20"/>
  <c r="V50" i="20" s="1"/>
  <c r="M50" i="20"/>
  <c r="L51" i="20"/>
  <c r="V51" i="20" s="1"/>
  <c r="M51" i="20"/>
  <c r="L52" i="20"/>
  <c r="M52" i="20"/>
  <c r="L53" i="20"/>
  <c r="X53" i="20" s="1"/>
  <c r="M53" i="20"/>
  <c r="L54" i="20"/>
  <c r="M54" i="20"/>
  <c r="L55" i="20"/>
  <c r="W55" i="20" s="1"/>
  <c r="M55" i="20"/>
  <c r="L56" i="20"/>
  <c r="W56" i="20" s="1"/>
  <c r="M56" i="20"/>
  <c r="L57" i="20"/>
  <c r="M57" i="20"/>
  <c r="L58" i="20"/>
  <c r="M58" i="20"/>
  <c r="L59" i="20"/>
  <c r="V59" i="20" s="1"/>
  <c r="M59" i="20"/>
  <c r="L60" i="20"/>
  <c r="X60" i="20" s="1"/>
  <c r="M60" i="20"/>
  <c r="L61" i="20"/>
  <c r="X61" i="20" s="1"/>
  <c r="M61" i="20"/>
  <c r="L62" i="20"/>
  <c r="M62" i="20"/>
  <c r="L63" i="20"/>
  <c r="M63" i="20"/>
  <c r="L64" i="20"/>
  <c r="W64" i="20" s="1"/>
  <c r="M64" i="20"/>
  <c r="L65" i="20"/>
  <c r="M65" i="20"/>
  <c r="L66" i="20"/>
  <c r="M66" i="20"/>
  <c r="L67" i="20"/>
  <c r="V67" i="20" s="1"/>
  <c r="M67" i="20"/>
  <c r="L68" i="20"/>
  <c r="M68" i="20"/>
  <c r="L69" i="20"/>
  <c r="X69" i="20" s="1"/>
  <c r="M69" i="20"/>
  <c r="L70" i="20"/>
  <c r="M70" i="20"/>
  <c r="L71" i="20"/>
  <c r="W71" i="20" s="1"/>
  <c r="M71" i="20"/>
  <c r="L72" i="20"/>
  <c r="W72" i="20" s="1"/>
  <c r="M72" i="20"/>
  <c r="L73" i="20"/>
  <c r="M73" i="20"/>
  <c r="L74" i="20"/>
  <c r="M74" i="20"/>
  <c r="L75" i="20"/>
  <c r="V75" i="20" s="1"/>
  <c r="M75" i="20"/>
  <c r="L76" i="20"/>
  <c r="M76" i="20"/>
  <c r="L77" i="20"/>
  <c r="X77" i="20" s="1"/>
  <c r="M77" i="20"/>
  <c r="L78" i="20"/>
  <c r="M78" i="20"/>
  <c r="L79" i="20"/>
  <c r="M79" i="20"/>
  <c r="L80" i="20"/>
  <c r="W80" i="20" s="1"/>
  <c r="M80" i="20"/>
  <c r="L81" i="20"/>
  <c r="M81" i="20"/>
  <c r="L82" i="20"/>
  <c r="M82" i="20"/>
  <c r="L83" i="20"/>
  <c r="V83" i="20" s="1"/>
  <c r="M83" i="20"/>
  <c r="L84" i="20"/>
  <c r="M84" i="20"/>
  <c r="L85" i="20"/>
  <c r="X85" i="20" s="1"/>
  <c r="M85" i="20"/>
  <c r="L86" i="20"/>
  <c r="M86" i="20"/>
  <c r="L87" i="20"/>
  <c r="W87" i="20" s="1"/>
  <c r="M87" i="20"/>
  <c r="L88" i="20"/>
  <c r="W88" i="20" s="1"/>
  <c r="M88" i="20"/>
  <c r="L89" i="20"/>
  <c r="M89" i="20"/>
  <c r="L90" i="20"/>
  <c r="M90" i="20"/>
  <c r="L91" i="20"/>
  <c r="V91" i="20" s="1"/>
  <c r="M91" i="20"/>
  <c r="L92" i="20"/>
  <c r="M92" i="20"/>
  <c r="L93" i="20"/>
  <c r="X93" i="20" s="1"/>
  <c r="M93" i="20"/>
  <c r="L94" i="20"/>
  <c r="M94" i="20"/>
  <c r="L95" i="20"/>
  <c r="M95" i="20"/>
  <c r="L96" i="20"/>
  <c r="W96" i="20" s="1"/>
  <c r="M96" i="20"/>
  <c r="L97" i="20"/>
  <c r="M97" i="20"/>
  <c r="L98" i="20"/>
  <c r="M98" i="20"/>
  <c r="L99" i="20"/>
  <c r="V99" i="20" s="1"/>
  <c r="M99" i="20"/>
  <c r="L100" i="20"/>
  <c r="M100" i="20"/>
  <c r="L101" i="20"/>
  <c r="X101" i="20" s="1"/>
  <c r="M101" i="20"/>
  <c r="L102" i="20"/>
  <c r="M102" i="20"/>
  <c r="L103" i="20"/>
  <c r="W103" i="20" s="1"/>
  <c r="M103" i="20"/>
  <c r="L104" i="20"/>
  <c r="W104" i="20" s="1"/>
  <c r="M104" i="20"/>
  <c r="L105" i="20"/>
  <c r="M105" i="20"/>
  <c r="L106" i="20"/>
  <c r="M106" i="20"/>
  <c r="L107" i="20"/>
  <c r="V107" i="20" s="1"/>
  <c r="M107" i="20"/>
  <c r="L108" i="20"/>
  <c r="M108" i="20"/>
  <c r="L109" i="20"/>
  <c r="X109" i="20" s="1"/>
  <c r="M109" i="20"/>
  <c r="L110" i="20"/>
  <c r="M110" i="20"/>
  <c r="L111" i="20"/>
  <c r="M111" i="20"/>
  <c r="L112" i="20"/>
  <c r="M112" i="20"/>
  <c r="L113" i="20"/>
  <c r="M113" i="20"/>
  <c r="L114" i="20"/>
  <c r="V114" i="20" s="1"/>
  <c r="M114" i="20"/>
  <c r="L115" i="20"/>
  <c r="V115" i="20" s="1"/>
  <c r="M115" i="20"/>
  <c r="L116" i="20"/>
  <c r="M116" i="20"/>
  <c r="L117" i="20"/>
  <c r="X117" i="20" s="1"/>
  <c r="M117" i="20"/>
  <c r="L118" i="20"/>
  <c r="M118" i="20"/>
  <c r="L119" i="20"/>
  <c r="W119" i="20" s="1"/>
  <c r="M119" i="20"/>
  <c r="L120" i="20"/>
  <c r="W120" i="20" s="1"/>
  <c r="M120" i="20"/>
  <c r="M21" i="20"/>
  <c r="L21" i="20"/>
  <c r="X21" i="20" s="1"/>
  <c r="E45" i="13"/>
  <c r="G527" i="19"/>
  <c r="G528" i="19"/>
  <c r="N528" i="19"/>
  <c r="G529" i="19"/>
  <c r="G530" i="19"/>
  <c r="G531" i="19"/>
  <c r="G532" i="19"/>
  <c r="G533" i="19"/>
  <c r="G534" i="19"/>
  <c r="G535" i="19"/>
  <c r="G536" i="19"/>
  <c r="N536" i="19"/>
  <c r="G537" i="19"/>
  <c r="G538" i="19"/>
  <c r="G539" i="19"/>
  <c r="G540" i="19"/>
  <c r="G541" i="19"/>
  <c r="G542" i="19"/>
  <c r="G543" i="19"/>
  <c r="G544" i="19"/>
  <c r="N544" i="19"/>
  <c r="G545" i="19"/>
  <c r="G546" i="19"/>
  <c r="G547" i="19"/>
  <c r="G548" i="19"/>
  <c r="G549" i="19"/>
  <c r="G550" i="19"/>
  <c r="G551" i="19"/>
  <c r="G522" i="19"/>
  <c r="G523" i="19"/>
  <c r="G524" i="19"/>
  <c r="G525" i="19"/>
  <c r="G526" i="19"/>
  <c r="I32" i="27"/>
  <c r="I33" i="27"/>
  <c r="I34" i="27"/>
  <c r="I35" i="27"/>
  <c r="I51" i="27"/>
  <c r="I36" i="27"/>
  <c r="I37" i="27"/>
  <c r="I38" i="27"/>
  <c r="I39" i="27"/>
  <c r="I40" i="27"/>
  <c r="I41" i="27"/>
  <c r="I42" i="27"/>
  <c r="I43" i="27"/>
  <c r="I44" i="27"/>
  <c r="I45" i="27"/>
  <c r="I46" i="27"/>
  <c r="I47" i="27"/>
  <c r="I48" i="27"/>
  <c r="I49" i="27"/>
  <c r="I50" i="27"/>
  <c r="I52" i="27"/>
  <c r="I53" i="27"/>
  <c r="I54" i="27"/>
  <c r="I55" i="27"/>
  <c r="I56" i="27"/>
  <c r="I57" i="27"/>
  <c r="I58" i="27"/>
  <c r="I59" i="27"/>
  <c r="I60" i="27"/>
  <c r="I61" i="27"/>
  <c r="I62" i="27"/>
  <c r="I63" i="27"/>
  <c r="I64" i="27"/>
  <c r="I65" i="27"/>
  <c r="I66" i="27"/>
  <c r="I67" i="27"/>
  <c r="I68" i="27"/>
  <c r="I69" i="27"/>
  <c r="I70" i="27"/>
  <c r="I71" i="27"/>
  <c r="I72" i="27"/>
  <c r="I73" i="27"/>
  <c r="I74" i="27"/>
  <c r="I75" i="27"/>
  <c r="K146" i="27"/>
  <c r="K147" i="27"/>
  <c r="K148" i="27"/>
  <c r="K149" i="27"/>
  <c r="K150" i="27"/>
  <c r="K151" i="27"/>
  <c r="K152" i="27"/>
  <c r="K153" i="27"/>
  <c r="K154" i="27"/>
  <c r="K155" i="27"/>
  <c r="K156" i="27"/>
  <c r="K157" i="27"/>
  <c r="K158" i="27"/>
  <c r="K159" i="27"/>
  <c r="K145" i="27"/>
  <c r="D149" i="27"/>
  <c r="E149" i="27" s="1"/>
  <c r="D148" i="27"/>
  <c r="H148" i="27" s="1"/>
  <c r="D147" i="27"/>
  <c r="J147" i="27" s="1"/>
  <c r="D146" i="27"/>
  <c r="C146" i="27" s="1"/>
  <c r="D145" i="27"/>
  <c r="D150" i="27" s="1"/>
  <c r="D135" i="27"/>
  <c r="D134" i="27"/>
  <c r="D133" i="27"/>
  <c r="D132" i="27"/>
  <c r="D131" i="27"/>
  <c r="D130" i="27"/>
  <c r="F146" i="27" l="1"/>
  <c r="N525" i="19"/>
  <c r="N524" i="19"/>
  <c r="N548" i="19"/>
  <c r="N540" i="19"/>
  <c r="N532" i="19"/>
  <c r="N529" i="19"/>
  <c r="N522" i="19"/>
  <c r="N550" i="19"/>
  <c r="N546" i="19"/>
  <c r="N542" i="19"/>
  <c r="N538" i="19"/>
  <c r="N534" i="19"/>
  <c r="N530" i="19"/>
  <c r="N526" i="19"/>
  <c r="N523" i="19"/>
  <c r="N551" i="19"/>
  <c r="N549" i="19"/>
  <c r="N547" i="19"/>
  <c r="N543" i="19"/>
  <c r="N541" i="19"/>
  <c r="N539" i="19"/>
  <c r="N535" i="19"/>
  <c r="N533" i="19"/>
  <c r="N531" i="19"/>
  <c r="N527" i="19"/>
  <c r="R120" i="20"/>
  <c r="O120" i="20"/>
  <c r="S120" i="20"/>
  <c r="S119" i="20"/>
  <c r="O119" i="20"/>
  <c r="R119" i="20"/>
  <c r="S118" i="20"/>
  <c r="R118" i="20"/>
  <c r="O118" i="20"/>
  <c r="S117" i="20"/>
  <c r="R117" i="20"/>
  <c r="O117" i="20"/>
  <c r="S116" i="20"/>
  <c r="O116" i="20"/>
  <c r="R116" i="20"/>
  <c r="S115" i="20"/>
  <c r="R115" i="20"/>
  <c r="O115" i="20"/>
  <c r="S114" i="20"/>
  <c r="R114" i="20"/>
  <c r="O114" i="20"/>
  <c r="S113" i="20"/>
  <c r="O113" i="20"/>
  <c r="R113" i="20"/>
  <c r="R112" i="20"/>
  <c r="S112" i="20"/>
  <c r="O112" i="20"/>
  <c r="R111" i="20"/>
  <c r="O111" i="20"/>
  <c r="S111" i="20"/>
  <c r="R110" i="20"/>
  <c r="S110" i="20"/>
  <c r="O110" i="20"/>
  <c r="R109" i="20"/>
  <c r="S109" i="20"/>
  <c r="O109" i="20"/>
  <c r="R108" i="20"/>
  <c r="S108" i="20"/>
  <c r="O108" i="20"/>
  <c r="S107" i="20"/>
  <c r="O107" i="20"/>
  <c r="R107" i="20"/>
  <c r="S106" i="20"/>
  <c r="R106" i="20"/>
  <c r="O106" i="20"/>
  <c r="S105" i="20"/>
  <c r="R105" i="20"/>
  <c r="O105" i="20"/>
  <c r="S104" i="20"/>
  <c r="R104" i="20"/>
  <c r="O104" i="20"/>
  <c r="S103" i="20"/>
  <c r="O103" i="20"/>
  <c r="R103" i="20"/>
  <c r="S102" i="20"/>
  <c r="R102" i="20"/>
  <c r="O102" i="20"/>
  <c r="S101" i="20"/>
  <c r="O101" i="20"/>
  <c r="R101" i="20"/>
  <c r="R100" i="20"/>
  <c r="S100" i="20"/>
  <c r="O100" i="20"/>
  <c r="R99" i="20"/>
  <c r="S99" i="20"/>
  <c r="O99" i="20"/>
  <c r="R98" i="20"/>
  <c r="O98" i="20"/>
  <c r="S98" i="20"/>
  <c r="R97" i="20"/>
  <c r="S97" i="20"/>
  <c r="O97" i="20"/>
  <c r="R96" i="20"/>
  <c r="S96" i="20"/>
  <c r="O96" i="20"/>
  <c r="S95" i="20"/>
  <c r="O95" i="20"/>
  <c r="R95" i="20"/>
  <c r="S94" i="20"/>
  <c r="O94" i="20"/>
  <c r="R94" i="20"/>
  <c r="S93" i="20"/>
  <c r="R93" i="20"/>
  <c r="O93" i="20"/>
  <c r="S92" i="20"/>
  <c r="R92" i="20"/>
  <c r="O92" i="20"/>
  <c r="S91" i="20"/>
  <c r="R91" i="20"/>
  <c r="O91" i="20"/>
  <c r="S90" i="20"/>
  <c r="O90" i="20"/>
  <c r="R90" i="20"/>
  <c r="S89" i="20"/>
  <c r="O89" i="20"/>
  <c r="R89" i="20"/>
  <c r="R88" i="20"/>
  <c r="S88" i="20"/>
  <c r="O88" i="20"/>
  <c r="R87" i="20"/>
  <c r="S87" i="20"/>
  <c r="O87" i="20"/>
  <c r="R86" i="20"/>
  <c r="S86" i="20"/>
  <c r="O86" i="20"/>
  <c r="R85" i="20"/>
  <c r="S85" i="20"/>
  <c r="O85" i="20"/>
  <c r="R84" i="20"/>
  <c r="S84" i="20"/>
  <c r="O84" i="20"/>
  <c r="S83" i="20"/>
  <c r="O83" i="20"/>
  <c r="R83" i="20"/>
  <c r="S82" i="20"/>
  <c r="R82" i="20"/>
  <c r="O82" i="20"/>
  <c r="S81" i="20"/>
  <c r="R81" i="20"/>
  <c r="O81" i="20"/>
  <c r="S80" i="20"/>
  <c r="R80" i="20"/>
  <c r="O80" i="20"/>
  <c r="S79" i="20"/>
  <c r="R79" i="20"/>
  <c r="O79" i="20"/>
  <c r="S78" i="20"/>
  <c r="R78" i="20"/>
  <c r="O78" i="20"/>
  <c r="S77" i="20"/>
  <c r="O77" i="20"/>
  <c r="R77" i="20"/>
  <c r="R76" i="20"/>
  <c r="O76" i="20"/>
  <c r="S76" i="20"/>
  <c r="R75" i="20"/>
  <c r="S75" i="20"/>
  <c r="O75" i="20"/>
  <c r="R74" i="20"/>
  <c r="S74" i="20"/>
  <c r="O74" i="20"/>
  <c r="R73" i="20"/>
  <c r="S73" i="20"/>
  <c r="O73" i="20"/>
  <c r="R72" i="20"/>
  <c r="O72" i="20"/>
  <c r="S72" i="20"/>
  <c r="S71" i="20"/>
  <c r="O71" i="20"/>
  <c r="R71" i="20"/>
  <c r="S70" i="20"/>
  <c r="R70" i="20"/>
  <c r="O70" i="20"/>
  <c r="S69" i="20"/>
  <c r="R69" i="20"/>
  <c r="O69" i="20"/>
  <c r="S68" i="20"/>
  <c r="O68" i="20"/>
  <c r="R68" i="20"/>
  <c r="S67" i="20"/>
  <c r="R67" i="20"/>
  <c r="O67" i="20"/>
  <c r="S66" i="20"/>
  <c r="R66" i="20"/>
  <c r="O66" i="20"/>
  <c r="S65" i="20"/>
  <c r="O65" i="20"/>
  <c r="R65" i="20"/>
  <c r="R64" i="20"/>
  <c r="S64" i="20"/>
  <c r="O64" i="20"/>
  <c r="R63" i="20"/>
  <c r="S63" i="20"/>
  <c r="O63" i="20"/>
  <c r="R62" i="20"/>
  <c r="S62" i="20"/>
  <c r="O62" i="20"/>
  <c r="R61" i="20"/>
  <c r="O61" i="20"/>
  <c r="S61" i="20"/>
  <c r="S60" i="20"/>
  <c r="R60" i="20"/>
  <c r="O60" i="20"/>
  <c r="S59" i="20"/>
  <c r="O59" i="20"/>
  <c r="R59" i="20"/>
  <c r="R58" i="20"/>
  <c r="O58" i="20"/>
  <c r="S58" i="20"/>
  <c r="R57" i="20"/>
  <c r="S57" i="20"/>
  <c r="O57" i="20"/>
  <c r="R56" i="20"/>
  <c r="S56" i="20"/>
  <c r="O56" i="20"/>
  <c r="R55" i="20"/>
  <c r="O55" i="20"/>
  <c r="S55" i="20"/>
  <c r="S54" i="20"/>
  <c r="O54" i="20"/>
  <c r="R54" i="20"/>
  <c r="S53" i="20"/>
  <c r="O53" i="20"/>
  <c r="R53" i="20"/>
  <c r="R52" i="20"/>
  <c r="S52" i="20"/>
  <c r="O52" i="20"/>
  <c r="R51" i="20"/>
  <c r="S51" i="20"/>
  <c r="O51" i="20"/>
  <c r="R50" i="20"/>
  <c r="O50" i="20"/>
  <c r="S50" i="20"/>
  <c r="S49" i="20"/>
  <c r="R49" i="20"/>
  <c r="O49" i="20"/>
  <c r="R48" i="20"/>
  <c r="O48" i="20"/>
  <c r="S48" i="20"/>
  <c r="S47" i="20"/>
  <c r="O47" i="20"/>
  <c r="R47" i="20"/>
  <c r="S46" i="20"/>
  <c r="R46" i="20"/>
  <c r="O46" i="20"/>
  <c r="R45" i="20"/>
  <c r="O45" i="20"/>
  <c r="S45" i="20"/>
  <c r="R44" i="20"/>
  <c r="S44" i="20"/>
  <c r="O44" i="20"/>
  <c r="R43" i="20"/>
  <c r="O43" i="20"/>
  <c r="S43" i="20"/>
  <c r="R42" i="20"/>
  <c r="O42" i="20"/>
  <c r="S42" i="20"/>
  <c r="S41" i="20"/>
  <c r="O41" i="20"/>
  <c r="R41" i="20"/>
  <c r="S40" i="20"/>
  <c r="R40" i="20"/>
  <c r="O40" i="20"/>
  <c r="R39" i="20"/>
  <c r="O39" i="20"/>
  <c r="S39" i="20"/>
  <c r="R38" i="20"/>
  <c r="O38" i="20"/>
  <c r="S38" i="20"/>
  <c r="R37" i="20"/>
  <c r="O37" i="20"/>
  <c r="S37" i="20"/>
  <c r="R36" i="20"/>
  <c r="O36" i="20"/>
  <c r="S36" i="20"/>
  <c r="O35" i="20"/>
  <c r="R35" i="20"/>
  <c r="S35" i="20"/>
  <c r="R34" i="20"/>
  <c r="S34" i="20"/>
  <c r="O34" i="20"/>
  <c r="R33" i="20"/>
  <c r="S33" i="20"/>
  <c r="O33" i="20"/>
  <c r="R32" i="20"/>
  <c r="O32" i="20"/>
  <c r="S32" i="20"/>
  <c r="S31" i="20"/>
  <c r="R31" i="20"/>
  <c r="O31" i="20"/>
  <c r="O30" i="20"/>
  <c r="S30" i="20"/>
  <c r="R30" i="20"/>
  <c r="S29" i="20"/>
  <c r="O29" i="20"/>
  <c r="R29" i="20"/>
  <c r="R28" i="20"/>
  <c r="O28" i="20"/>
  <c r="S28" i="20"/>
  <c r="S27" i="20"/>
  <c r="O27" i="20"/>
  <c r="R27" i="20"/>
  <c r="R26" i="20"/>
  <c r="S26" i="20"/>
  <c r="O26" i="20"/>
  <c r="R25" i="20"/>
  <c r="O25" i="20"/>
  <c r="S25" i="20"/>
  <c r="O24" i="20"/>
  <c r="R24" i="20"/>
  <c r="S24" i="20"/>
  <c r="S23" i="20"/>
  <c r="O23" i="20"/>
  <c r="R23" i="20"/>
  <c r="R220" i="20"/>
  <c r="O220" i="20"/>
  <c r="O219" i="20"/>
  <c r="R219" i="20"/>
  <c r="R218" i="20"/>
  <c r="O218" i="20"/>
  <c r="O217" i="20"/>
  <c r="R217" i="20"/>
  <c r="R216" i="20"/>
  <c r="O216" i="20"/>
  <c r="O215" i="20"/>
  <c r="R215" i="20"/>
  <c r="R214" i="20"/>
  <c r="O214" i="20"/>
  <c r="O213" i="20"/>
  <c r="R213" i="20"/>
  <c r="R212" i="20"/>
  <c r="O212" i="20"/>
  <c r="O211" i="20"/>
  <c r="R211" i="20"/>
  <c r="R210" i="20"/>
  <c r="O210" i="20"/>
  <c r="O209" i="20"/>
  <c r="R209" i="20"/>
  <c r="R208" i="20"/>
  <c r="O208" i="20"/>
  <c r="R207" i="20"/>
  <c r="O207" i="20"/>
  <c r="R206" i="20"/>
  <c r="O206" i="20"/>
  <c r="R205" i="20"/>
  <c r="O205" i="20"/>
  <c r="R204" i="20"/>
  <c r="O204" i="20"/>
  <c r="O203" i="20"/>
  <c r="R203" i="20"/>
  <c r="R202" i="20"/>
  <c r="O202" i="20"/>
  <c r="R201" i="20"/>
  <c r="O201" i="20"/>
  <c r="R200" i="20"/>
  <c r="O200" i="20"/>
  <c r="R199" i="20"/>
  <c r="O199" i="20"/>
  <c r="R198" i="20"/>
  <c r="O198" i="20"/>
  <c r="O197" i="20"/>
  <c r="R197" i="20"/>
  <c r="R196" i="20"/>
  <c r="O196" i="20"/>
  <c r="R195" i="20"/>
  <c r="O195" i="20"/>
  <c r="R194" i="20"/>
  <c r="O194" i="20"/>
  <c r="R193" i="20"/>
  <c r="O193" i="20"/>
  <c r="R192" i="20"/>
  <c r="O192" i="20"/>
  <c r="O191" i="20"/>
  <c r="R191" i="20"/>
  <c r="R190" i="20"/>
  <c r="O190" i="20"/>
  <c r="O189" i="20"/>
  <c r="R189" i="20"/>
  <c r="R188" i="20"/>
  <c r="O188" i="20"/>
  <c r="O187" i="20"/>
  <c r="R187" i="20"/>
  <c r="R186" i="20"/>
  <c r="O186" i="20"/>
  <c r="O185" i="20"/>
  <c r="R185" i="20"/>
  <c r="R184" i="20"/>
  <c r="O184" i="20"/>
  <c r="R183" i="20"/>
  <c r="O183" i="20"/>
  <c r="R182" i="20"/>
  <c r="O182" i="20"/>
  <c r="R181" i="20"/>
  <c r="O181" i="20"/>
  <c r="R180" i="20"/>
  <c r="O180" i="20"/>
  <c r="O179" i="20"/>
  <c r="R179" i="20"/>
  <c r="R178" i="20"/>
  <c r="O178" i="20"/>
  <c r="R177" i="20"/>
  <c r="O177" i="20"/>
  <c r="O176" i="20"/>
  <c r="R176" i="20"/>
  <c r="R175" i="20"/>
  <c r="O175" i="20"/>
  <c r="R174" i="20"/>
  <c r="O174" i="20"/>
  <c r="O173" i="20"/>
  <c r="R173" i="20"/>
  <c r="R172" i="20"/>
  <c r="O172" i="20"/>
  <c r="R171" i="20"/>
  <c r="O171" i="20"/>
  <c r="R170" i="20"/>
  <c r="O170" i="20"/>
  <c r="R169" i="20"/>
  <c r="O169" i="20"/>
  <c r="R168" i="20"/>
  <c r="O168" i="20"/>
  <c r="O167" i="20"/>
  <c r="R167" i="20"/>
  <c r="R166" i="20"/>
  <c r="O166" i="20"/>
  <c r="O165" i="20"/>
  <c r="R165" i="20"/>
  <c r="R164" i="20"/>
  <c r="O164" i="20"/>
  <c r="O163" i="20"/>
  <c r="R163" i="20"/>
  <c r="R162" i="20"/>
  <c r="O162" i="20"/>
  <c r="O161" i="20"/>
  <c r="R161" i="20"/>
  <c r="R160" i="20"/>
  <c r="O160" i="20"/>
  <c r="R159" i="20"/>
  <c r="O159" i="20"/>
  <c r="R158" i="20"/>
  <c r="O158" i="20"/>
  <c r="R157" i="20"/>
  <c r="O157" i="20"/>
  <c r="R156" i="20"/>
  <c r="O156" i="20"/>
  <c r="O155" i="20"/>
  <c r="R155" i="20"/>
  <c r="R154" i="20"/>
  <c r="O154" i="20"/>
  <c r="R153" i="20"/>
  <c r="O153" i="20"/>
  <c r="R152" i="20"/>
  <c r="O152" i="20"/>
  <c r="R151" i="20"/>
  <c r="O151" i="20"/>
  <c r="R150" i="20"/>
  <c r="O150" i="20"/>
  <c r="O149" i="20"/>
  <c r="R149" i="20"/>
  <c r="R148" i="20"/>
  <c r="O148" i="20"/>
  <c r="R147" i="20"/>
  <c r="O147" i="20"/>
  <c r="R146" i="20"/>
  <c r="O146" i="20"/>
  <c r="R145" i="20"/>
  <c r="O145" i="20"/>
  <c r="R144" i="20"/>
  <c r="O144" i="20"/>
  <c r="O143" i="20"/>
  <c r="R143" i="20"/>
  <c r="R142" i="20"/>
  <c r="O142" i="20"/>
  <c r="O141" i="20"/>
  <c r="R141" i="20"/>
  <c r="R140" i="20"/>
  <c r="O140" i="20"/>
  <c r="O139" i="20"/>
  <c r="R139" i="20"/>
  <c r="R138" i="20"/>
  <c r="O138" i="20"/>
  <c r="O137" i="20"/>
  <c r="R137" i="20"/>
  <c r="R136" i="20"/>
  <c r="O136" i="20"/>
  <c r="R135" i="20"/>
  <c r="O135" i="20"/>
  <c r="R134" i="20"/>
  <c r="O134" i="20"/>
  <c r="R133" i="20"/>
  <c r="O133" i="20"/>
  <c r="R132" i="20"/>
  <c r="O132" i="20"/>
  <c r="O131" i="20"/>
  <c r="R131" i="20"/>
  <c r="R130" i="20"/>
  <c r="O130" i="20"/>
  <c r="R129" i="20"/>
  <c r="O129" i="20"/>
  <c r="O128" i="20"/>
  <c r="R128" i="20"/>
  <c r="R127" i="20"/>
  <c r="O127" i="20"/>
  <c r="R126" i="20"/>
  <c r="O126" i="20"/>
  <c r="O125" i="20"/>
  <c r="R125" i="20"/>
  <c r="R124" i="20"/>
  <c r="O124" i="20"/>
  <c r="R123" i="20"/>
  <c r="O123" i="20"/>
  <c r="R122" i="20"/>
  <c r="O122" i="20"/>
  <c r="S320" i="20"/>
  <c r="R320" i="20"/>
  <c r="O320" i="20"/>
  <c r="S319" i="20"/>
  <c r="O319" i="20"/>
  <c r="R319" i="20"/>
  <c r="S318" i="20"/>
  <c r="R318" i="20"/>
  <c r="O318" i="20"/>
  <c r="S317" i="20"/>
  <c r="O317" i="20"/>
  <c r="R317" i="20"/>
  <c r="S316" i="20"/>
  <c r="R316" i="20"/>
  <c r="O316" i="20"/>
  <c r="S315" i="20"/>
  <c r="O315" i="20"/>
  <c r="R315" i="20"/>
  <c r="S314" i="20"/>
  <c r="R314" i="20"/>
  <c r="O314" i="20"/>
  <c r="S313" i="20"/>
  <c r="O313" i="20"/>
  <c r="R313" i="20"/>
  <c r="S312" i="20"/>
  <c r="R312" i="20"/>
  <c r="O312" i="20"/>
  <c r="S311" i="20"/>
  <c r="O311" i="20"/>
  <c r="R311" i="20"/>
  <c r="S310" i="20"/>
  <c r="R310" i="20"/>
  <c r="O310" i="20"/>
  <c r="S309" i="20"/>
  <c r="O309" i="20"/>
  <c r="R309" i="20"/>
  <c r="S308" i="20"/>
  <c r="R308" i="20"/>
  <c r="O308" i="20"/>
  <c r="S307" i="20"/>
  <c r="O307" i="20"/>
  <c r="R307" i="20"/>
  <c r="S306" i="20"/>
  <c r="R306" i="20"/>
  <c r="O306" i="20"/>
  <c r="S305" i="20"/>
  <c r="O305" i="20"/>
  <c r="R305" i="20"/>
  <c r="S304" i="20"/>
  <c r="R304" i="20"/>
  <c r="O304" i="20"/>
  <c r="S303" i="20"/>
  <c r="O303" i="20"/>
  <c r="R303" i="20"/>
  <c r="S302" i="20"/>
  <c r="R302" i="20"/>
  <c r="O302" i="20"/>
  <c r="S301" i="20"/>
  <c r="O301" i="20"/>
  <c r="R301" i="20"/>
  <c r="S300" i="20"/>
  <c r="R300" i="20"/>
  <c r="O300" i="20"/>
  <c r="S299" i="20"/>
  <c r="O299" i="20"/>
  <c r="R299" i="20"/>
  <c r="S298" i="20"/>
  <c r="R298" i="20"/>
  <c r="O298" i="20"/>
  <c r="S297" i="20"/>
  <c r="O297" i="20"/>
  <c r="R297" i="20"/>
  <c r="S296" i="20"/>
  <c r="R296" i="20"/>
  <c r="O296" i="20"/>
  <c r="S295" i="20"/>
  <c r="O295" i="20"/>
  <c r="R295" i="20"/>
  <c r="S294" i="20"/>
  <c r="R294" i="20"/>
  <c r="O294" i="20"/>
  <c r="S293" i="20"/>
  <c r="O293" i="20"/>
  <c r="R293" i="20"/>
  <c r="S292" i="20"/>
  <c r="R292" i="20"/>
  <c r="O292" i="20"/>
  <c r="S291" i="20"/>
  <c r="O291" i="20"/>
  <c r="R291" i="20"/>
  <c r="S290" i="20"/>
  <c r="R290" i="20"/>
  <c r="O290" i="20"/>
  <c r="S289" i="20"/>
  <c r="O289" i="20"/>
  <c r="R289" i="20"/>
  <c r="S288" i="20"/>
  <c r="R288" i="20"/>
  <c r="O288" i="20"/>
  <c r="S287" i="20"/>
  <c r="O287" i="20"/>
  <c r="R287" i="20"/>
  <c r="S286" i="20"/>
  <c r="R286" i="20"/>
  <c r="O286" i="20"/>
  <c r="S285" i="20"/>
  <c r="O285" i="20"/>
  <c r="R285" i="20"/>
  <c r="S284" i="20"/>
  <c r="R284" i="20"/>
  <c r="O284" i="20"/>
  <c r="S283" i="20"/>
  <c r="O283" i="20"/>
  <c r="R283" i="20"/>
  <c r="S282" i="20"/>
  <c r="R282" i="20"/>
  <c r="O282" i="20"/>
  <c r="S281" i="20"/>
  <c r="O281" i="20"/>
  <c r="R281" i="20"/>
  <c r="S280" i="20"/>
  <c r="R280" i="20"/>
  <c r="O280" i="20"/>
  <c r="S279" i="20"/>
  <c r="O279" i="20"/>
  <c r="R279" i="20"/>
  <c r="S278" i="20"/>
  <c r="R278" i="20"/>
  <c r="O278" i="20"/>
  <c r="S277" i="20"/>
  <c r="O277" i="20"/>
  <c r="R277" i="20"/>
  <c r="S276" i="20"/>
  <c r="R276" i="20"/>
  <c r="O276" i="20"/>
  <c r="S275" i="20"/>
  <c r="O275" i="20"/>
  <c r="R275" i="20"/>
  <c r="S274" i="20"/>
  <c r="R274" i="20"/>
  <c r="O274" i="20"/>
  <c r="S273" i="20"/>
  <c r="O273" i="20"/>
  <c r="R273" i="20"/>
  <c r="S272" i="20"/>
  <c r="R272" i="20"/>
  <c r="O272" i="20"/>
  <c r="S271" i="20"/>
  <c r="O271" i="20"/>
  <c r="R271" i="20"/>
  <c r="S270" i="20"/>
  <c r="R270" i="20"/>
  <c r="O270" i="20"/>
  <c r="S269" i="20"/>
  <c r="O269" i="20"/>
  <c r="R269" i="20"/>
  <c r="S268" i="20"/>
  <c r="R268" i="20"/>
  <c r="O268" i="20"/>
  <c r="S267" i="20"/>
  <c r="O267" i="20"/>
  <c r="R267" i="20"/>
  <c r="S266" i="20"/>
  <c r="R266" i="20"/>
  <c r="O266" i="20"/>
  <c r="S265" i="20"/>
  <c r="O265" i="20"/>
  <c r="R265" i="20"/>
  <c r="S264" i="20"/>
  <c r="R264" i="20"/>
  <c r="O264" i="20"/>
  <c r="S263" i="20"/>
  <c r="O263" i="20"/>
  <c r="R263" i="20"/>
  <c r="S262" i="20"/>
  <c r="R262" i="20"/>
  <c r="O262" i="20"/>
  <c r="S261" i="20"/>
  <c r="R261" i="20"/>
  <c r="O261" i="20"/>
  <c r="S260" i="20"/>
  <c r="R260" i="20"/>
  <c r="O260" i="20"/>
  <c r="S259" i="20"/>
  <c r="R259" i="20"/>
  <c r="O259" i="20"/>
  <c r="S258" i="20"/>
  <c r="R258" i="20"/>
  <c r="O258" i="20"/>
  <c r="S257" i="20"/>
  <c r="R257" i="20"/>
  <c r="O257" i="20"/>
  <c r="S256" i="20"/>
  <c r="R256" i="20"/>
  <c r="O256" i="20"/>
  <c r="S255" i="20"/>
  <c r="R255" i="20"/>
  <c r="O255" i="20"/>
  <c r="S254" i="20"/>
  <c r="R254" i="20"/>
  <c r="O254" i="20"/>
  <c r="S253" i="20"/>
  <c r="R253" i="20"/>
  <c r="O253" i="20"/>
  <c r="S252" i="20"/>
  <c r="R252" i="20"/>
  <c r="O252" i="20"/>
  <c r="S251" i="20"/>
  <c r="R251" i="20"/>
  <c r="O251" i="20"/>
  <c r="S250" i="20"/>
  <c r="R250" i="20"/>
  <c r="O250" i="20"/>
  <c r="S249" i="20"/>
  <c r="R249" i="20"/>
  <c r="O249" i="20"/>
  <c r="S248" i="20"/>
  <c r="R248" i="20"/>
  <c r="O248" i="20"/>
  <c r="S247" i="20"/>
  <c r="R247" i="20"/>
  <c r="O247" i="20"/>
  <c r="S246" i="20"/>
  <c r="R246" i="20"/>
  <c r="O246" i="20"/>
  <c r="S245" i="20"/>
  <c r="R245" i="20"/>
  <c r="O245" i="20"/>
  <c r="S244" i="20"/>
  <c r="R244" i="20"/>
  <c r="O244" i="20"/>
  <c r="S243" i="20"/>
  <c r="R243" i="20"/>
  <c r="O243" i="20"/>
  <c r="S242" i="20"/>
  <c r="R242" i="20"/>
  <c r="O242" i="20"/>
  <c r="S241" i="20"/>
  <c r="R241" i="20"/>
  <c r="O241" i="20"/>
  <c r="S240" i="20"/>
  <c r="R240" i="20"/>
  <c r="O240" i="20"/>
  <c r="S239" i="20"/>
  <c r="R239" i="20"/>
  <c r="O239" i="20"/>
  <c r="S238" i="20"/>
  <c r="R238" i="20"/>
  <c r="O238" i="20"/>
  <c r="S237" i="20"/>
  <c r="R237" i="20"/>
  <c r="O237" i="20"/>
  <c r="S236" i="20"/>
  <c r="R236" i="20"/>
  <c r="O236" i="20"/>
  <c r="S235" i="20"/>
  <c r="R235" i="20"/>
  <c r="O235" i="20"/>
  <c r="S234" i="20"/>
  <c r="R234" i="20"/>
  <c r="O234" i="20"/>
  <c r="S233" i="20"/>
  <c r="R233" i="20"/>
  <c r="O233" i="20"/>
  <c r="S232" i="20"/>
  <c r="R232" i="20"/>
  <c r="O232" i="20"/>
  <c r="S231" i="20"/>
  <c r="R231" i="20"/>
  <c r="O231" i="20"/>
  <c r="S230" i="20"/>
  <c r="R230" i="20"/>
  <c r="O230" i="20"/>
  <c r="S229" i="20"/>
  <c r="R229" i="20"/>
  <c r="O229" i="20"/>
  <c r="S228" i="20"/>
  <c r="R228" i="20"/>
  <c r="O228" i="20"/>
  <c r="S227" i="20"/>
  <c r="R227" i="20"/>
  <c r="O227" i="20"/>
  <c r="S226" i="20"/>
  <c r="R226" i="20"/>
  <c r="O226" i="20"/>
  <c r="S225" i="20"/>
  <c r="R225" i="20"/>
  <c r="O225" i="20"/>
  <c r="S224" i="20"/>
  <c r="R224" i="20"/>
  <c r="O224" i="20"/>
  <c r="S223" i="20"/>
  <c r="R223" i="20"/>
  <c r="O223" i="20"/>
  <c r="S222" i="20"/>
  <c r="R222" i="20"/>
  <c r="O222" i="20"/>
  <c r="S420" i="20"/>
  <c r="O420" i="20"/>
  <c r="R420" i="20"/>
  <c r="S419" i="20"/>
  <c r="R419" i="20"/>
  <c r="O419" i="20"/>
  <c r="S418" i="20"/>
  <c r="O418" i="20"/>
  <c r="R418" i="20"/>
  <c r="S417" i="20"/>
  <c r="R417" i="20"/>
  <c r="O417" i="20"/>
  <c r="S416" i="20"/>
  <c r="O416" i="20"/>
  <c r="R416" i="20"/>
  <c r="S415" i="20"/>
  <c r="R415" i="20"/>
  <c r="O415" i="20"/>
  <c r="S414" i="20"/>
  <c r="O414" i="20"/>
  <c r="R414" i="20"/>
  <c r="S413" i="20"/>
  <c r="R413" i="20"/>
  <c r="O413" i="20"/>
  <c r="S412" i="20"/>
  <c r="O412" i="20"/>
  <c r="R412" i="20"/>
  <c r="S411" i="20"/>
  <c r="R411" i="20"/>
  <c r="O411" i="20"/>
  <c r="S410" i="20"/>
  <c r="O410" i="20"/>
  <c r="R410" i="20"/>
  <c r="S409" i="20"/>
  <c r="R409" i="20"/>
  <c r="O409" i="20"/>
  <c r="S408" i="20"/>
  <c r="O408" i="20"/>
  <c r="R408" i="20"/>
  <c r="S407" i="20"/>
  <c r="R407" i="20"/>
  <c r="O407" i="20"/>
  <c r="S406" i="20"/>
  <c r="O406" i="20"/>
  <c r="R406" i="20"/>
  <c r="S405" i="20"/>
  <c r="R405" i="20"/>
  <c r="O405" i="20"/>
  <c r="S404" i="20"/>
  <c r="O404" i="20"/>
  <c r="R404" i="20"/>
  <c r="S403" i="20"/>
  <c r="R403" i="20"/>
  <c r="O403" i="20"/>
  <c r="S402" i="20"/>
  <c r="O402" i="20"/>
  <c r="R402" i="20"/>
  <c r="S401" i="20"/>
  <c r="R401" i="20"/>
  <c r="O401" i="20"/>
  <c r="S400" i="20"/>
  <c r="O400" i="20"/>
  <c r="R400" i="20"/>
  <c r="S399" i="20"/>
  <c r="R399" i="20"/>
  <c r="O399" i="20"/>
  <c r="S398" i="20"/>
  <c r="O398" i="20"/>
  <c r="R398" i="20"/>
  <c r="S397" i="20"/>
  <c r="R397" i="20"/>
  <c r="O397" i="20"/>
  <c r="S396" i="20"/>
  <c r="O396" i="20"/>
  <c r="R396" i="20"/>
  <c r="S395" i="20"/>
  <c r="R395" i="20"/>
  <c r="O395" i="20"/>
  <c r="S394" i="20"/>
  <c r="O394" i="20"/>
  <c r="R394" i="20"/>
  <c r="S393" i="20"/>
  <c r="R393" i="20"/>
  <c r="O393" i="20"/>
  <c r="S392" i="20"/>
  <c r="O392" i="20"/>
  <c r="R392" i="20"/>
  <c r="S391" i="20"/>
  <c r="R391" i="20"/>
  <c r="O391" i="20"/>
  <c r="S390" i="20"/>
  <c r="O390" i="20"/>
  <c r="R390" i="20"/>
  <c r="S389" i="20"/>
  <c r="R389" i="20"/>
  <c r="O389" i="20"/>
  <c r="S388" i="20"/>
  <c r="O388" i="20"/>
  <c r="R388" i="20"/>
  <c r="S387" i="20"/>
  <c r="R387" i="20"/>
  <c r="O387" i="20"/>
  <c r="S386" i="20"/>
  <c r="O386" i="20"/>
  <c r="R386" i="20"/>
  <c r="S385" i="20"/>
  <c r="R385" i="20"/>
  <c r="O385" i="20"/>
  <c r="S384" i="20"/>
  <c r="O384" i="20"/>
  <c r="R384" i="20"/>
  <c r="S383" i="20"/>
  <c r="R383" i="20"/>
  <c r="O383" i="20"/>
  <c r="S382" i="20"/>
  <c r="O382" i="20"/>
  <c r="R382" i="20"/>
  <c r="S381" i="20"/>
  <c r="R381" i="20"/>
  <c r="O381" i="20"/>
  <c r="S380" i="20"/>
  <c r="O380" i="20"/>
  <c r="R380" i="20"/>
  <c r="S379" i="20"/>
  <c r="R379" i="20"/>
  <c r="O379" i="20"/>
  <c r="S378" i="20"/>
  <c r="O378" i="20"/>
  <c r="R378" i="20"/>
  <c r="S377" i="20"/>
  <c r="R377" i="20"/>
  <c r="O377" i="20"/>
  <c r="S376" i="20"/>
  <c r="O376" i="20"/>
  <c r="R376" i="20"/>
  <c r="S375" i="20"/>
  <c r="R375" i="20"/>
  <c r="O375" i="20"/>
  <c r="S374" i="20"/>
  <c r="O374" i="20"/>
  <c r="R374" i="20"/>
  <c r="S373" i="20"/>
  <c r="R373" i="20"/>
  <c r="O373" i="20"/>
  <c r="S372" i="20"/>
  <c r="O372" i="20"/>
  <c r="R372" i="20"/>
  <c r="S371" i="20"/>
  <c r="R371" i="20"/>
  <c r="O371" i="20"/>
  <c r="S370" i="20"/>
  <c r="O370" i="20"/>
  <c r="R370" i="20"/>
  <c r="S369" i="20"/>
  <c r="R369" i="20"/>
  <c r="O369" i="20"/>
  <c r="S368" i="20"/>
  <c r="O368" i="20"/>
  <c r="R368" i="20"/>
  <c r="S367" i="20"/>
  <c r="R367" i="20"/>
  <c r="O367" i="20"/>
  <c r="S366" i="20"/>
  <c r="O366" i="20"/>
  <c r="R366" i="20"/>
  <c r="S365" i="20"/>
  <c r="R365" i="20"/>
  <c r="O365" i="20"/>
  <c r="S364" i="20"/>
  <c r="O364" i="20"/>
  <c r="R364" i="20"/>
  <c r="S363" i="20"/>
  <c r="R363" i="20"/>
  <c r="O363" i="20"/>
  <c r="S362" i="20"/>
  <c r="O362" i="20"/>
  <c r="R362" i="20"/>
  <c r="S361" i="20"/>
  <c r="R361" i="20"/>
  <c r="O361" i="20"/>
  <c r="S360" i="20"/>
  <c r="O360" i="20"/>
  <c r="R360" i="20"/>
  <c r="S359" i="20"/>
  <c r="R359" i="20"/>
  <c r="O359" i="20"/>
  <c r="S358" i="20"/>
  <c r="O358" i="20"/>
  <c r="R358" i="20"/>
  <c r="S357" i="20"/>
  <c r="R357" i="20"/>
  <c r="O357" i="20"/>
  <c r="S356" i="20"/>
  <c r="O356" i="20"/>
  <c r="R356" i="20"/>
  <c r="S355" i="20"/>
  <c r="R355" i="20"/>
  <c r="O355" i="20"/>
  <c r="S354" i="20"/>
  <c r="O354" i="20"/>
  <c r="R354" i="20"/>
  <c r="S353" i="20"/>
  <c r="R353" i="20"/>
  <c r="O353" i="20"/>
  <c r="S352" i="20"/>
  <c r="O352" i="20"/>
  <c r="R352" i="20"/>
  <c r="S351" i="20"/>
  <c r="R351" i="20"/>
  <c r="O351" i="20"/>
  <c r="S350" i="20"/>
  <c r="O350" i="20"/>
  <c r="R350" i="20"/>
  <c r="S349" i="20"/>
  <c r="R349" i="20"/>
  <c r="O349" i="20"/>
  <c r="S348" i="20"/>
  <c r="O348" i="20"/>
  <c r="R348" i="20"/>
  <c r="S347" i="20"/>
  <c r="R347" i="20"/>
  <c r="O347" i="20"/>
  <c r="S346" i="20"/>
  <c r="O346" i="20"/>
  <c r="R346" i="20"/>
  <c r="S345" i="20"/>
  <c r="R345" i="20"/>
  <c r="O345" i="20"/>
  <c r="S344" i="20"/>
  <c r="O344" i="20"/>
  <c r="R344" i="20"/>
  <c r="S343" i="20"/>
  <c r="R343" i="20"/>
  <c r="O343" i="20"/>
  <c r="S342" i="20"/>
  <c r="O342" i="20"/>
  <c r="R342" i="20"/>
  <c r="S341" i="20"/>
  <c r="R341" i="20"/>
  <c r="O341" i="20"/>
  <c r="S340" i="20"/>
  <c r="O340" i="20"/>
  <c r="R340" i="20"/>
  <c r="S339" i="20"/>
  <c r="R339" i="20"/>
  <c r="O339" i="20"/>
  <c r="S338" i="20"/>
  <c r="O338" i="20"/>
  <c r="R338" i="20"/>
  <c r="S337" i="20"/>
  <c r="R337" i="20"/>
  <c r="O337" i="20"/>
  <c r="S336" i="20"/>
  <c r="O336" i="20"/>
  <c r="R336" i="20"/>
  <c r="S335" i="20"/>
  <c r="R335" i="20"/>
  <c r="O335" i="20"/>
  <c r="S334" i="20"/>
  <c r="O334" i="20"/>
  <c r="R334" i="20"/>
  <c r="S333" i="20"/>
  <c r="R333" i="20"/>
  <c r="O333" i="20"/>
  <c r="S332" i="20"/>
  <c r="O332" i="20"/>
  <c r="R332" i="20"/>
  <c r="S331" i="20"/>
  <c r="R331" i="20"/>
  <c r="O331" i="20"/>
  <c r="S330" i="20"/>
  <c r="O330" i="20"/>
  <c r="R330" i="20"/>
  <c r="S329" i="20"/>
  <c r="R329" i="20"/>
  <c r="O329" i="20"/>
  <c r="S328" i="20"/>
  <c r="O328" i="20"/>
  <c r="R328" i="20"/>
  <c r="S327" i="20"/>
  <c r="R327" i="20"/>
  <c r="O327" i="20"/>
  <c r="S326" i="20"/>
  <c r="O326" i="20"/>
  <c r="R326" i="20"/>
  <c r="S325" i="20"/>
  <c r="R325" i="20"/>
  <c r="O325" i="20"/>
  <c r="S324" i="20"/>
  <c r="O324" i="20"/>
  <c r="R324" i="20"/>
  <c r="S323" i="20"/>
  <c r="R323" i="20"/>
  <c r="O323" i="20"/>
  <c r="S322" i="20"/>
  <c r="O322" i="20"/>
  <c r="R322" i="20"/>
  <c r="O22" i="20"/>
  <c r="R22" i="20"/>
  <c r="R321" i="20"/>
  <c r="S21" i="20"/>
  <c r="R21" i="20"/>
  <c r="O21" i="20"/>
  <c r="S221" i="20"/>
  <c r="R221" i="20"/>
  <c r="D155" i="27"/>
  <c r="H155" i="27" s="1"/>
  <c r="C150" i="27"/>
  <c r="W413" i="20"/>
  <c r="W401" i="20"/>
  <c r="W389" i="20"/>
  <c r="X365" i="20"/>
  <c r="X341" i="20"/>
  <c r="W291" i="20"/>
  <c r="X272" i="20"/>
  <c r="V235" i="20"/>
  <c r="W412" i="20"/>
  <c r="W400" i="20"/>
  <c r="W388" i="20"/>
  <c r="W365" i="20"/>
  <c r="W341" i="20"/>
  <c r="V291" i="20"/>
  <c r="W251" i="20"/>
  <c r="X232" i="20"/>
  <c r="V411" i="20"/>
  <c r="V399" i="20"/>
  <c r="V387" i="20"/>
  <c r="W307" i="20"/>
  <c r="X288" i="20"/>
  <c r="V251" i="20"/>
  <c r="X225" i="20"/>
  <c r="X409" i="20"/>
  <c r="X397" i="20"/>
  <c r="W384" i="20"/>
  <c r="W360" i="20"/>
  <c r="W336" i="20"/>
  <c r="V307" i="20"/>
  <c r="W267" i="20"/>
  <c r="X248" i="20"/>
  <c r="W225" i="20"/>
  <c r="W21" i="20"/>
  <c r="W409" i="20"/>
  <c r="W397" i="20"/>
  <c r="X381" i="20"/>
  <c r="X357" i="20"/>
  <c r="X333" i="20"/>
  <c r="X304" i="20"/>
  <c r="V267" i="20"/>
  <c r="W420" i="20"/>
  <c r="W408" i="20"/>
  <c r="W396" i="20"/>
  <c r="W381" i="20"/>
  <c r="W357" i="20"/>
  <c r="W333" i="20"/>
  <c r="W283" i="20"/>
  <c r="X264" i="20"/>
  <c r="V419" i="20"/>
  <c r="V407" i="20"/>
  <c r="V395" i="20"/>
  <c r="X320" i="20"/>
  <c r="V283" i="20"/>
  <c r="W243" i="20"/>
  <c r="X417" i="20"/>
  <c r="X405" i="20"/>
  <c r="X393" i="20"/>
  <c r="W376" i="20"/>
  <c r="W352" i="20"/>
  <c r="W299" i="20"/>
  <c r="X280" i="20"/>
  <c r="V243" i="20"/>
  <c r="W417" i="20"/>
  <c r="W405" i="20"/>
  <c r="W393" i="20"/>
  <c r="X373" i="20"/>
  <c r="X349" i="20"/>
  <c r="V299" i="20"/>
  <c r="W259" i="20"/>
  <c r="X240" i="20"/>
  <c r="W416" i="20"/>
  <c r="W404" i="20"/>
  <c r="W392" i="20"/>
  <c r="W373" i="20"/>
  <c r="W349" i="20"/>
  <c r="W315" i="20"/>
  <c r="X296" i="20"/>
  <c r="V259" i="20"/>
  <c r="V415" i="20"/>
  <c r="V403" i="20"/>
  <c r="V391" i="20"/>
  <c r="V315" i="20"/>
  <c r="W275" i="20"/>
  <c r="X256" i="20"/>
  <c r="X413" i="20"/>
  <c r="X401" i="20"/>
  <c r="X389" i="20"/>
  <c r="W368" i="20"/>
  <c r="W344" i="20"/>
  <c r="X312" i="20"/>
  <c r="V275" i="20"/>
  <c r="W235" i="20"/>
  <c r="D154" i="27"/>
  <c r="F154" i="27" s="1"/>
  <c r="J150" i="27"/>
  <c r="J146" i="27"/>
  <c r="C145" i="27"/>
  <c r="H150" i="27"/>
  <c r="H146" i="27"/>
  <c r="J149" i="27"/>
  <c r="C149" i="27"/>
  <c r="E148" i="27"/>
  <c r="F149" i="27"/>
  <c r="V120" i="20"/>
  <c r="X120" i="20"/>
  <c r="V116" i="20"/>
  <c r="W116" i="20"/>
  <c r="V112" i="20"/>
  <c r="X112" i="20"/>
  <c r="V108" i="20"/>
  <c r="W108" i="20"/>
  <c r="W102" i="20"/>
  <c r="X102" i="20"/>
  <c r="V102" i="20"/>
  <c r="W98" i="20"/>
  <c r="X98" i="20"/>
  <c r="W94" i="20"/>
  <c r="X94" i="20"/>
  <c r="V94" i="20"/>
  <c r="V88" i="20"/>
  <c r="X88" i="20"/>
  <c r="W86" i="20"/>
  <c r="X86" i="20"/>
  <c r="V86" i="20"/>
  <c r="W82" i="20"/>
  <c r="X82" i="20"/>
  <c r="W78" i="20"/>
  <c r="X78" i="20"/>
  <c r="V78" i="20"/>
  <c r="W74" i="20"/>
  <c r="X74" i="20"/>
  <c r="W70" i="20"/>
  <c r="X70" i="20"/>
  <c r="V70" i="20"/>
  <c r="W66" i="20"/>
  <c r="X66" i="20"/>
  <c r="W62" i="20"/>
  <c r="X62" i="20"/>
  <c r="V62" i="20"/>
  <c r="W58" i="20"/>
  <c r="X58" i="20"/>
  <c r="W54" i="20"/>
  <c r="X54" i="20"/>
  <c r="V54" i="20"/>
  <c r="V52" i="20"/>
  <c r="W52" i="20"/>
  <c r="V48" i="20"/>
  <c r="X48" i="20"/>
  <c r="V44" i="20"/>
  <c r="W44" i="20"/>
  <c r="V40" i="20"/>
  <c r="X40" i="20"/>
  <c r="V36" i="20"/>
  <c r="W36" i="20"/>
  <c r="V32" i="20"/>
  <c r="X32" i="20"/>
  <c r="V28" i="20"/>
  <c r="W28" i="20"/>
  <c r="V24" i="20"/>
  <c r="X24" i="20"/>
  <c r="W310" i="20"/>
  <c r="X310" i="20"/>
  <c r="W290" i="20"/>
  <c r="X290" i="20"/>
  <c r="W286" i="20"/>
  <c r="X286" i="20"/>
  <c r="W274" i="20"/>
  <c r="X274" i="20"/>
  <c r="W270" i="20"/>
  <c r="X270" i="20"/>
  <c r="W262" i="20"/>
  <c r="X262" i="20"/>
  <c r="W254" i="20"/>
  <c r="X254" i="20"/>
  <c r="W250" i="20"/>
  <c r="X250" i="20"/>
  <c r="W238" i="20"/>
  <c r="X238" i="20"/>
  <c r="W234" i="20"/>
  <c r="X234" i="20"/>
  <c r="X228" i="20"/>
  <c r="W228" i="20"/>
  <c r="V386" i="20"/>
  <c r="W386" i="20"/>
  <c r="V378" i="20"/>
  <c r="W378" i="20"/>
  <c r="V370" i="20"/>
  <c r="W370" i="20"/>
  <c r="V358" i="20"/>
  <c r="W358" i="20"/>
  <c r="V338" i="20"/>
  <c r="W338" i="20"/>
  <c r="V420" i="20"/>
  <c r="V416" i="20"/>
  <c r="V408" i="20"/>
  <c r="X406" i="20"/>
  <c r="V388" i="20"/>
  <c r="V384" i="20"/>
  <c r="X378" i="20"/>
  <c r="V352" i="20"/>
  <c r="V344" i="20"/>
  <c r="W320" i="20"/>
  <c r="W312" i="20"/>
  <c r="W288" i="20"/>
  <c r="W280" i="20"/>
  <c r="W272" i="20"/>
  <c r="W256" i="20"/>
  <c r="W240" i="20"/>
  <c r="W232" i="20"/>
  <c r="X108" i="20"/>
  <c r="V98" i="20"/>
  <c r="X44" i="20"/>
  <c r="V21" i="20"/>
  <c r="X419" i="20"/>
  <c r="W418" i="20"/>
  <c r="X415" i="20"/>
  <c r="W414" i="20"/>
  <c r="X411" i="20"/>
  <c r="W410" i="20"/>
  <c r="X407" i="20"/>
  <c r="W406" i="20"/>
  <c r="X403" i="20"/>
  <c r="W402" i="20"/>
  <c r="X399" i="20"/>
  <c r="W398" i="20"/>
  <c r="X395" i="20"/>
  <c r="W394" i="20"/>
  <c r="X391" i="20"/>
  <c r="W390" i="20"/>
  <c r="X387" i="20"/>
  <c r="X385" i="20"/>
  <c r="W380" i="20"/>
  <c r="X377" i="20"/>
  <c r="W372" i="20"/>
  <c r="X369" i="20"/>
  <c r="W364" i="20"/>
  <c r="X361" i="20"/>
  <c r="W356" i="20"/>
  <c r="X353" i="20"/>
  <c r="W348" i="20"/>
  <c r="X345" i="20"/>
  <c r="W340" i="20"/>
  <c r="X337" i="20"/>
  <c r="W332" i="20"/>
  <c r="W319" i="20"/>
  <c r="X316" i="20"/>
  <c r="W311" i="20"/>
  <c r="X308" i="20"/>
  <c r="W303" i="20"/>
  <c r="X300" i="20"/>
  <c r="W295" i="20"/>
  <c r="X292" i="20"/>
  <c r="V290" i="20"/>
  <c r="W287" i="20"/>
  <c r="X284" i="20"/>
  <c r="W279" i="20"/>
  <c r="X276" i="20"/>
  <c r="V274" i="20"/>
  <c r="W271" i="20"/>
  <c r="X268" i="20"/>
  <c r="W263" i="20"/>
  <c r="X260" i="20"/>
  <c r="W255" i="20"/>
  <c r="X252" i="20"/>
  <c r="V250" i="20"/>
  <c r="W247" i="20"/>
  <c r="X244" i="20"/>
  <c r="W239" i="20"/>
  <c r="X236" i="20"/>
  <c r="V234" i="20"/>
  <c r="X229" i="20"/>
  <c r="W112" i="20"/>
  <c r="W48" i="20"/>
  <c r="W32" i="20"/>
  <c r="W118" i="20"/>
  <c r="X118" i="20"/>
  <c r="V118" i="20"/>
  <c r="W114" i="20"/>
  <c r="X114" i="20"/>
  <c r="W110" i="20"/>
  <c r="X110" i="20"/>
  <c r="V110" i="20"/>
  <c r="W106" i="20"/>
  <c r="X106" i="20"/>
  <c r="V104" i="20"/>
  <c r="X104" i="20"/>
  <c r="V100" i="20"/>
  <c r="W100" i="20"/>
  <c r="V96" i="20"/>
  <c r="X96" i="20"/>
  <c r="V92" i="20"/>
  <c r="W92" i="20"/>
  <c r="W90" i="20"/>
  <c r="X90" i="20"/>
  <c r="V84" i="20"/>
  <c r="W84" i="20"/>
  <c r="V80" i="20"/>
  <c r="X80" i="20"/>
  <c r="V76" i="20"/>
  <c r="W76" i="20"/>
  <c r="V72" i="20"/>
  <c r="X72" i="20"/>
  <c r="V68" i="20"/>
  <c r="W68" i="20"/>
  <c r="V64" i="20"/>
  <c r="X64" i="20"/>
  <c r="V60" i="20"/>
  <c r="W60" i="20"/>
  <c r="V56" i="20"/>
  <c r="X56" i="20"/>
  <c r="W50" i="20"/>
  <c r="X50" i="20"/>
  <c r="W46" i="20"/>
  <c r="X46" i="20"/>
  <c r="V46" i="20"/>
  <c r="W42" i="20"/>
  <c r="X42" i="20"/>
  <c r="W38" i="20"/>
  <c r="X38" i="20"/>
  <c r="V38" i="20"/>
  <c r="W34" i="20"/>
  <c r="X34" i="20"/>
  <c r="W30" i="20"/>
  <c r="X30" i="20"/>
  <c r="V30" i="20"/>
  <c r="W26" i="20"/>
  <c r="X26" i="20"/>
  <c r="W318" i="20"/>
  <c r="X318" i="20"/>
  <c r="W314" i="20"/>
  <c r="X314" i="20"/>
  <c r="W306" i="20"/>
  <c r="X306" i="20"/>
  <c r="W302" i="20"/>
  <c r="X302" i="20"/>
  <c r="W298" i="20"/>
  <c r="X298" i="20"/>
  <c r="W294" i="20"/>
  <c r="X294" i="20"/>
  <c r="W282" i="20"/>
  <c r="X282" i="20"/>
  <c r="W278" i="20"/>
  <c r="X278" i="20"/>
  <c r="W266" i="20"/>
  <c r="X266" i="20"/>
  <c r="W258" i="20"/>
  <c r="X258" i="20"/>
  <c r="W246" i="20"/>
  <c r="X246" i="20"/>
  <c r="W242" i="20"/>
  <c r="X242" i="20"/>
  <c r="X224" i="20"/>
  <c r="W224" i="20"/>
  <c r="V382" i="20"/>
  <c r="W382" i="20"/>
  <c r="V374" i="20"/>
  <c r="W374" i="20"/>
  <c r="V366" i="20"/>
  <c r="W366" i="20"/>
  <c r="V362" i="20"/>
  <c r="W362" i="20"/>
  <c r="V354" i="20"/>
  <c r="W354" i="20"/>
  <c r="V350" i="20"/>
  <c r="W350" i="20"/>
  <c r="V346" i="20"/>
  <c r="W346" i="20"/>
  <c r="V342" i="20"/>
  <c r="W342" i="20"/>
  <c r="V334" i="20"/>
  <c r="W334" i="20"/>
  <c r="X418" i="20"/>
  <c r="X414" i="20"/>
  <c r="V412" i="20"/>
  <c r="X410" i="20"/>
  <c r="V404" i="20"/>
  <c r="X402" i="20"/>
  <c r="V400" i="20"/>
  <c r="X398" i="20"/>
  <c r="V396" i="20"/>
  <c r="X394" i="20"/>
  <c r="V392" i="20"/>
  <c r="X390" i="20"/>
  <c r="X386" i="20"/>
  <c r="V376" i="20"/>
  <c r="X370" i="20"/>
  <c r="V368" i="20"/>
  <c r="X362" i="20"/>
  <c r="V360" i="20"/>
  <c r="X338" i="20"/>
  <c r="V336" i="20"/>
  <c r="W304" i="20"/>
  <c r="W296" i="20"/>
  <c r="W264" i="20"/>
  <c r="W248" i="20"/>
  <c r="X92" i="20"/>
  <c r="V82" i="20"/>
  <c r="X76" i="20"/>
  <c r="V66" i="20"/>
  <c r="X28" i="20"/>
  <c r="X119" i="20"/>
  <c r="V119" i="20"/>
  <c r="V117" i="20"/>
  <c r="W117" i="20"/>
  <c r="X115" i="20"/>
  <c r="W115" i="20"/>
  <c r="V113" i="20"/>
  <c r="W113" i="20"/>
  <c r="X113" i="20"/>
  <c r="X111" i="20"/>
  <c r="V111" i="20"/>
  <c r="V109" i="20"/>
  <c r="W109" i="20"/>
  <c r="X107" i="20"/>
  <c r="W107" i="20"/>
  <c r="V105" i="20"/>
  <c r="W105" i="20"/>
  <c r="X105" i="20"/>
  <c r="X103" i="20"/>
  <c r="V103" i="20"/>
  <c r="V101" i="20"/>
  <c r="W101" i="20"/>
  <c r="X99" i="20"/>
  <c r="W99" i="20"/>
  <c r="V97" i="20"/>
  <c r="W97" i="20"/>
  <c r="X97" i="20"/>
  <c r="X95" i="20"/>
  <c r="V95" i="20"/>
  <c r="V93" i="20"/>
  <c r="W93" i="20"/>
  <c r="X91" i="20"/>
  <c r="W91" i="20"/>
  <c r="V89" i="20"/>
  <c r="W89" i="20"/>
  <c r="X89" i="20"/>
  <c r="X87" i="20"/>
  <c r="V87" i="20"/>
  <c r="V85" i="20"/>
  <c r="W85" i="20"/>
  <c r="X83" i="20"/>
  <c r="W83" i="20"/>
  <c r="V81" i="20"/>
  <c r="W81" i="20"/>
  <c r="X81" i="20"/>
  <c r="X79" i="20"/>
  <c r="V79" i="20"/>
  <c r="V77" i="20"/>
  <c r="W77" i="20"/>
  <c r="X75" i="20"/>
  <c r="W75" i="20"/>
  <c r="V73" i="20"/>
  <c r="W73" i="20"/>
  <c r="X73" i="20"/>
  <c r="X71" i="20"/>
  <c r="V71" i="20"/>
  <c r="V69" i="20"/>
  <c r="W69" i="20"/>
  <c r="X67" i="20"/>
  <c r="W67" i="20"/>
  <c r="V65" i="20"/>
  <c r="W65" i="20"/>
  <c r="X65" i="20"/>
  <c r="X63" i="20"/>
  <c r="V63" i="20"/>
  <c r="V61" i="20"/>
  <c r="W61" i="20"/>
  <c r="X59" i="20"/>
  <c r="W59" i="20"/>
  <c r="V57" i="20"/>
  <c r="W57" i="20"/>
  <c r="X57" i="20"/>
  <c r="X55" i="20"/>
  <c r="V55" i="20"/>
  <c r="V53" i="20"/>
  <c r="W53" i="20"/>
  <c r="X51" i="20"/>
  <c r="W51" i="20"/>
  <c r="V49" i="20"/>
  <c r="W49" i="20"/>
  <c r="X49" i="20"/>
  <c r="X47" i="20"/>
  <c r="V47" i="20"/>
  <c r="V45" i="20"/>
  <c r="W45" i="20"/>
  <c r="X43" i="20"/>
  <c r="W43" i="20"/>
  <c r="V41" i="20"/>
  <c r="W41" i="20"/>
  <c r="X41" i="20"/>
  <c r="X39" i="20"/>
  <c r="V39" i="20"/>
  <c r="V37" i="20"/>
  <c r="W37" i="20"/>
  <c r="X35" i="20"/>
  <c r="W35" i="20"/>
  <c r="V33" i="20"/>
  <c r="W33" i="20"/>
  <c r="X33" i="20"/>
  <c r="X31" i="20"/>
  <c r="V31" i="20"/>
  <c r="V29" i="20"/>
  <c r="W29" i="20"/>
  <c r="X27" i="20"/>
  <c r="W27" i="20"/>
  <c r="V25" i="20"/>
  <c r="W25" i="20"/>
  <c r="X25" i="20"/>
  <c r="V317" i="20"/>
  <c r="W317" i="20"/>
  <c r="V313" i="20"/>
  <c r="W313" i="20"/>
  <c r="V309" i="20"/>
  <c r="W309" i="20"/>
  <c r="V305" i="20"/>
  <c r="W305" i="20"/>
  <c r="V301" i="20"/>
  <c r="W301" i="20"/>
  <c r="V297" i="20"/>
  <c r="W297" i="20"/>
  <c r="V293" i="20"/>
  <c r="W293" i="20"/>
  <c r="V289" i="20"/>
  <c r="W289" i="20"/>
  <c r="V285" i="20"/>
  <c r="W285" i="20"/>
  <c r="V281" i="20"/>
  <c r="W281" i="20"/>
  <c r="V277" i="20"/>
  <c r="W277" i="20"/>
  <c r="V273" i="20"/>
  <c r="W273" i="20"/>
  <c r="V269" i="20"/>
  <c r="W269" i="20"/>
  <c r="V265" i="20"/>
  <c r="W265" i="20"/>
  <c r="V261" i="20"/>
  <c r="W261" i="20"/>
  <c r="V257" i="20"/>
  <c r="W257" i="20"/>
  <c r="V253" i="20"/>
  <c r="W253" i="20"/>
  <c r="V249" i="20"/>
  <c r="W249" i="20"/>
  <c r="V245" i="20"/>
  <c r="W245" i="20"/>
  <c r="V241" i="20"/>
  <c r="W241" i="20"/>
  <c r="V237" i="20"/>
  <c r="W237" i="20"/>
  <c r="V233" i="20"/>
  <c r="W233" i="20"/>
  <c r="W231" i="20"/>
  <c r="V231" i="20"/>
  <c r="W227" i="20"/>
  <c r="V227" i="20"/>
  <c r="W223" i="20"/>
  <c r="V223" i="20"/>
  <c r="W383" i="20"/>
  <c r="X383" i="20"/>
  <c r="W379" i="20"/>
  <c r="X379" i="20"/>
  <c r="W375" i="20"/>
  <c r="X375" i="20"/>
  <c r="W371" i="20"/>
  <c r="X371" i="20"/>
  <c r="W367" i="20"/>
  <c r="X367" i="20"/>
  <c r="W363" i="20"/>
  <c r="X363" i="20"/>
  <c r="W359" i="20"/>
  <c r="X359" i="20"/>
  <c r="W355" i="20"/>
  <c r="X355" i="20"/>
  <c r="W351" i="20"/>
  <c r="X351" i="20"/>
  <c r="W347" i="20"/>
  <c r="X347" i="20"/>
  <c r="W343" i="20"/>
  <c r="X343" i="20"/>
  <c r="W339" i="20"/>
  <c r="X339" i="20"/>
  <c r="W335" i="20"/>
  <c r="X335" i="20"/>
  <c r="X329" i="20"/>
  <c r="W329" i="20"/>
  <c r="X325" i="20"/>
  <c r="W325" i="20"/>
  <c r="W385" i="20"/>
  <c r="X382" i="20"/>
  <c r="V380" i="20"/>
  <c r="W377" i="20"/>
  <c r="X374" i="20"/>
  <c r="V372" i="20"/>
  <c r="W369" i="20"/>
  <c r="X366" i="20"/>
  <c r="V364" i="20"/>
  <c r="W361" i="20"/>
  <c r="X358" i="20"/>
  <c r="V356" i="20"/>
  <c r="W353" i="20"/>
  <c r="X350" i="20"/>
  <c r="V348" i="20"/>
  <c r="W345" i="20"/>
  <c r="X342" i="20"/>
  <c r="V340" i="20"/>
  <c r="W337" i="20"/>
  <c r="X334" i="20"/>
  <c r="V332" i="20"/>
  <c r="V319" i="20"/>
  <c r="W316" i="20"/>
  <c r="X313" i="20"/>
  <c r="V311" i="20"/>
  <c r="W308" i="20"/>
  <c r="X305" i="20"/>
  <c r="V303" i="20"/>
  <c r="W300" i="20"/>
  <c r="X297" i="20"/>
  <c r="V295" i="20"/>
  <c r="W292" i="20"/>
  <c r="X289" i="20"/>
  <c r="V287" i="20"/>
  <c r="W284" i="20"/>
  <c r="X281" i="20"/>
  <c r="V279" i="20"/>
  <c r="W276" i="20"/>
  <c r="X273" i="20"/>
  <c r="V271" i="20"/>
  <c r="W268" i="20"/>
  <c r="X265" i="20"/>
  <c r="V263" i="20"/>
  <c r="W260" i="20"/>
  <c r="X257" i="20"/>
  <c r="V255" i="20"/>
  <c r="W252" i="20"/>
  <c r="X249" i="20"/>
  <c r="V247" i="20"/>
  <c r="W244" i="20"/>
  <c r="X241" i="20"/>
  <c r="V239" i="20"/>
  <c r="W236" i="20"/>
  <c r="X233" i="20"/>
  <c r="W229" i="20"/>
  <c r="X116" i="20"/>
  <c r="W111" i="20"/>
  <c r="V106" i="20"/>
  <c r="X100" i="20"/>
  <c r="W95" i="20"/>
  <c r="V90" i="20"/>
  <c r="X84" i="20"/>
  <c r="W79" i="20"/>
  <c r="V74" i="20"/>
  <c r="X68" i="20"/>
  <c r="W63" i="20"/>
  <c r="V58" i="20"/>
  <c r="X52" i="20"/>
  <c r="W47" i="20"/>
  <c r="V42" i="20"/>
  <c r="X36" i="20"/>
  <c r="W31" i="20"/>
  <c r="V26" i="20"/>
  <c r="X330" i="20"/>
  <c r="V328" i="20"/>
  <c r="X326" i="20"/>
  <c r="V324" i="20"/>
  <c r="X322" i="20"/>
  <c r="X331" i="20"/>
  <c r="W330" i="20"/>
  <c r="V329" i="20"/>
  <c r="X327" i="20"/>
  <c r="W326" i="20"/>
  <c r="V325" i="20"/>
  <c r="X323" i="20"/>
  <c r="W322" i="20"/>
  <c r="W331" i="20"/>
  <c r="X328" i="20"/>
  <c r="W327" i="20"/>
  <c r="X324" i="20"/>
  <c r="W323" i="20"/>
  <c r="X230" i="20"/>
  <c r="V224" i="20"/>
  <c r="X231" i="20"/>
  <c r="W230" i="20"/>
  <c r="X227" i="20"/>
  <c r="W226" i="20"/>
  <c r="X223" i="20"/>
  <c r="V228" i="20"/>
  <c r="X226" i="20"/>
  <c r="C148" i="27"/>
  <c r="E147" i="27"/>
  <c r="F148" i="27"/>
  <c r="D152" i="27"/>
  <c r="C152" i="27" s="1"/>
  <c r="C147" i="27"/>
  <c r="E146" i="27"/>
  <c r="F147" i="27"/>
  <c r="H149" i="27"/>
  <c r="J145" i="27"/>
  <c r="J148" i="27"/>
  <c r="H147" i="27"/>
  <c r="D153" i="27"/>
  <c r="D151" i="27"/>
  <c r="C151" i="27" s="1"/>
  <c r="H145" i="27"/>
  <c r="E150" i="27"/>
  <c r="E145" i="27"/>
  <c r="E153" i="27" l="1"/>
  <c r="C153" i="27"/>
  <c r="D159" i="27"/>
  <c r="F159" i="27" s="1"/>
  <c r="C154" i="27"/>
  <c r="J155" i="27"/>
  <c r="C155" i="27"/>
  <c r="E154" i="27"/>
  <c r="J154" i="27"/>
  <c r="H154" i="27"/>
  <c r="G521" i="19"/>
  <c r="D158" i="27"/>
  <c r="C158" i="27" s="1"/>
  <c r="F153" i="27"/>
  <c r="D156" i="27"/>
  <c r="E152" i="27"/>
  <c r="F151" i="27"/>
  <c r="J519" i="19"/>
  <c r="M519" i="19" s="1"/>
  <c r="G519" i="19"/>
  <c r="J153" i="27"/>
  <c r="H153" i="27"/>
  <c r="G520" i="19"/>
  <c r="E151" i="27"/>
  <c r="J151" i="27"/>
  <c r="H151" i="27"/>
  <c r="I519" i="19" s="1"/>
  <c r="L519" i="19" s="1"/>
  <c r="H152" i="27"/>
  <c r="F152" i="27"/>
  <c r="D157" i="27"/>
  <c r="C157" i="27" s="1"/>
  <c r="J152" i="27"/>
  <c r="E155" i="27"/>
  <c r="J159" i="27" l="1"/>
  <c r="C159" i="27"/>
  <c r="H156" i="27"/>
  <c r="C156" i="27"/>
  <c r="H159" i="27"/>
  <c r="E159" i="27"/>
  <c r="M552" i="19"/>
  <c r="N520" i="19"/>
  <c r="J158" i="27"/>
  <c r="F156" i="27"/>
  <c r="F158" i="27"/>
  <c r="E158" i="27"/>
  <c r="H158" i="27"/>
  <c r="E156" i="27"/>
  <c r="J156" i="27"/>
  <c r="F157" i="27"/>
  <c r="J157" i="27"/>
  <c r="H157" i="27"/>
  <c r="E157" i="27"/>
  <c r="L552" i="19" l="1"/>
  <c r="N521" i="19"/>
  <c r="F165" i="3"/>
  <c r="F53" i="3"/>
  <c r="B202" i="13"/>
  <c r="C202" i="13" s="1"/>
  <c r="I202" i="13" s="1"/>
  <c r="B201" i="13"/>
  <c r="C201" i="13" s="1"/>
  <c r="K201" i="13" s="1"/>
  <c r="B200" i="13"/>
  <c r="B199" i="13"/>
  <c r="C199" i="13" s="1"/>
  <c r="K199" i="13" s="1"/>
  <c r="B198" i="13"/>
  <c r="C198" i="13" s="1"/>
  <c r="B197" i="13"/>
  <c r="C197" i="13" s="1"/>
  <c r="K197" i="13" s="1"/>
  <c r="B196" i="13"/>
  <c r="B195" i="13"/>
  <c r="C195" i="13" s="1"/>
  <c r="K195" i="13" s="1"/>
  <c r="B194" i="13"/>
  <c r="C194" i="13" s="1"/>
  <c r="I194" i="13" s="1"/>
  <c r="N192" i="13"/>
  <c r="B192" i="13"/>
  <c r="N191" i="13"/>
  <c r="B191" i="13"/>
  <c r="B190" i="13"/>
  <c r="C190" i="13" s="1"/>
  <c r="B189" i="13"/>
  <c r="N188" i="13"/>
  <c r="B188" i="13"/>
  <c r="C188" i="13" s="1"/>
  <c r="K188" i="13" s="1"/>
  <c r="N187" i="13"/>
  <c r="B187" i="13"/>
  <c r="N186" i="13"/>
  <c r="B186" i="13"/>
  <c r="N185" i="13"/>
  <c r="B185" i="13"/>
  <c r="C185" i="13" s="1"/>
  <c r="L185" i="13" s="1"/>
  <c r="B184" i="13"/>
  <c r="C184" i="13" s="1"/>
  <c r="L184" i="13" s="1"/>
  <c r="N183" i="13"/>
  <c r="B183" i="13"/>
  <c r="B182" i="13"/>
  <c r="C182" i="13" s="1"/>
  <c r="K182" i="13" s="1"/>
  <c r="N181" i="13"/>
  <c r="B181" i="13"/>
  <c r="C181" i="13" s="1"/>
  <c r="J181" i="13" s="1"/>
  <c r="N180" i="13"/>
  <c r="B180" i="13"/>
  <c r="N179" i="13"/>
  <c r="B179" i="13"/>
  <c r="B178" i="13"/>
  <c r="C178" i="13" s="1"/>
  <c r="B177" i="13"/>
  <c r="N176" i="13"/>
  <c r="B176" i="13"/>
  <c r="C176" i="13" s="1"/>
  <c r="B175" i="13"/>
  <c r="C175" i="13" s="1"/>
  <c r="B174" i="13"/>
  <c r="C174" i="13" s="1"/>
  <c r="B173" i="13"/>
  <c r="N172" i="13"/>
  <c r="B172" i="13"/>
  <c r="C172" i="13" s="1"/>
  <c r="J172" i="13" s="1"/>
  <c r="N171" i="13"/>
  <c r="B171" i="13"/>
  <c r="C171" i="13" s="1"/>
  <c r="K171" i="13" s="1"/>
  <c r="N170" i="13"/>
  <c r="B170" i="13"/>
  <c r="N169" i="13"/>
  <c r="B169" i="13"/>
  <c r="C169" i="13" s="1"/>
  <c r="N168" i="13"/>
  <c r="B168" i="13"/>
  <c r="C168" i="13" s="1"/>
  <c r="J168" i="13" s="1"/>
  <c r="B167" i="13"/>
  <c r="N166" i="13"/>
  <c r="B166" i="13"/>
  <c r="C166" i="13" s="1"/>
  <c r="N165" i="13"/>
  <c r="B165" i="13"/>
  <c r="N164" i="13"/>
  <c r="B164" i="13"/>
  <c r="C164" i="13" s="1"/>
  <c r="N163" i="13"/>
  <c r="B163" i="13"/>
  <c r="B162" i="13"/>
  <c r="N161" i="13"/>
  <c r="B161" i="13"/>
  <c r="C161" i="13" s="1"/>
  <c r="L161" i="13" s="1"/>
  <c r="N160" i="13"/>
  <c r="B160" i="13"/>
  <c r="N159" i="13"/>
  <c r="B159" i="13"/>
  <c r="N158" i="13"/>
  <c r="B158" i="13"/>
  <c r="N157" i="13"/>
  <c r="B157" i="13"/>
  <c r="F155" i="13"/>
  <c r="G201" i="13" s="1"/>
  <c r="B147" i="13"/>
  <c r="B146" i="13"/>
  <c r="B145" i="13"/>
  <c r="B144" i="13"/>
  <c r="B143" i="13"/>
  <c r="B142" i="13"/>
  <c r="B141" i="13"/>
  <c r="B140" i="13"/>
  <c r="B139" i="13"/>
  <c r="N137" i="13"/>
  <c r="B137" i="13"/>
  <c r="N136" i="13"/>
  <c r="B136" i="13"/>
  <c r="B135" i="13"/>
  <c r="B134" i="13"/>
  <c r="N133" i="13"/>
  <c r="B133" i="13"/>
  <c r="N132" i="13"/>
  <c r="B132" i="13"/>
  <c r="N131" i="13"/>
  <c r="B131" i="13"/>
  <c r="N130" i="13"/>
  <c r="B130" i="13"/>
  <c r="C130" i="13" s="1"/>
  <c r="L130" i="13" s="1"/>
  <c r="B129" i="13"/>
  <c r="N128" i="13"/>
  <c r="B128" i="13"/>
  <c r="B127" i="13"/>
  <c r="N126" i="13"/>
  <c r="B126" i="13"/>
  <c r="N125" i="13"/>
  <c r="B125" i="13"/>
  <c r="N124" i="13"/>
  <c r="B124" i="13"/>
  <c r="B123" i="13"/>
  <c r="B122" i="13"/>
  <c r="N121" i="13"/>
  <c r="B121" i="13"/>
  <c r="B120" i="13"/>
  <c r="B119" i="13"/>
  <c r="B118" i="13"/>
  <c r="N117" i="13"/>
  <c r="B117" i="13"/>
  <c r="N116" i="13"/>
  <c r="B116" i="13"/>
  <c r="N115" i="13"/>
  <c r="B115" i="13"/>
  <c r="N114" i="13"/>
  <c r="B114" i="13"/>
  <c r="N113" i="13"/>
  <c r="B113" i="13"/>
  <c r="B112" i="13"/>
  <c r="C112" i="13" s="1"/>
  <c r="J112" i="13" s="1"/>
  <c r="N111" i="13"/>
  <c r="B111" i="13"/>
  <c r="N110" i="13"/>
  <c r="B110" i="13"/>
  <c r="N109" i="13"/>
  <c r="B109" i="13"/>
  <c r="N108" i="13"/>
  <c r="B108" i="13"/>
  <c r="B107" i="13"/>
  <c r="N106" i="13"/>
  <c r="B106" i="13"/>
  <c r="N105" i="13"/>
  <c r="B105" i="13"/>
  <c r="N104" i="13"/>
  <c r="B104" i="13"/>
  <c r="N103" i="13"/>
  <c r="B103" i="13"/>
  <c r="N102" i="13"/>
  <c r="B102" i="13"/>
  <c r="F100" i="13"/>
  <c r="G146" i="13" s="1"/>
  <c r="M57" i="3"/>
  <c r="D92" i="13"/>
  <c r="D147" i="13" s="1"/>
  <c r="D202" i="13" s="1"/>
  <c r="B92" i="13"/>
  <c r="D91" i="13"/>
  <c r="D146" i="13" s="1"/>
  <c r="D201" i="13" s="1"/>
  <c r="B91" i="13"/>
  <c r="D90" i="13"/>
  <c r="D145" i="13" s="1"/>
  <c r="D200" i="13" s="1"/>
  <c r="B90" i="13"/>
  <c r="D89" i="13"/>
  <c r="D144" i="13" s="1"/>
  <c r="D199" i="13" s="1"/>
  <c r="B89" i="13"/>
  <c r="D88" i="13"/>
  <c r="D143" i="13" s="1"/>
  <c r="D198" i="13" s="1"/>
  <c r="B88" i="13"/>
  <c r="D87" i="13"/>
  <c r="D142" i="13" s="1"/>
  <c r="D197" i="13" s="1"/>
  <c r="B87" i="13"/>
  <c r="D86" i="13"/>
  <c r="D141" i="13" s="1"/>
  <c r="D196" i="13" s="1"/>
  <c r="B86" i="13"/>
  <c r="D85" i="13"/>
  <c r="D140" i="13" s="1"/>
  <c r="D195" i="13" s="1"/>
  <c r="B85" i="13"/>
  <c r="D84" i="13"/>
  <c r="D139" i="13" s="1"/>
  <c r="D194" i="13" s="1"/>
  <c r="B84" i="13"/>
  <c r="D82" i="13"/>
  <c r="D137" i="13" s="1"/>
  <c r="D192" i="13" s="1"/>
  <c r="B82" i="13"/>
  <c r="D81" i="13"/>
  <c r="D136" i="13" s="1"/>
  <c r="D191" i="13" s="1"/>
  <c r="B81" i="13"/>
  <c r="D80" i="13"/>
  <c r="D135" i="13" s="1"/>
  <c r="D190" i="13" s="1"/>
  <c r="B80" i="13"/>
  <c r="D79" i="13"/>
  <c r="D134" i="13" s="1"/>
  <c r="D189" i="13" s="1"/>
  <c r="B79" i="13"/>
  <c r="D78" i="13"/>
  <c r="D133" i="13" s="1"/>
  <c r="D188" i="13" s="1"/>
  <c r="B78" i="13"/>
  <c r="D77" i="13"/>
  <c r="D132" i="13" s="1"/>
  <c r="D187" i="13" s="1"/>
  <c r="B77" i="13"/>
  <c r="D76" i="13"/>
  <c r="D131" i="13" s="1"/>
  <c r="D186" i="13" s="1"/>
  <c r="B76" i="13"/>
  <c r="D75" i="13"/>
  <c r="D130" i="13" s="1"/>
  <c r="D185" i="13" s="1"/>
  <c r="B75" i="13"/>
  <c r="D74" i="13"/>
  <c r="D129" i="13" s="1"/>
  <c r="D184" i="13" s="1"/>
  <c r="B74" i="13"/>
  <c r="D73" i="13"/>
  <c r="D128" i="13" s="1"/>
  <c r="D183" i="13" s="1"/>
  <c r="B73" i="13"/>
  <c r="D72" i="13"/>
  <c r="D127" i="13" s="1"/>
  <c r="D182" i="13" s="1"/>
  <c r="B72" i="13"/>
  <c r="D71" i="13"/>
  <c r="D126" i="13" s="1"/>
  <c r="D181" i="13" s="1"/>
  <c r="B71" i="13"/>
  <c r="D70" i="13"/>
  <c r="D125" i="13" s="1"/>
  <c r="D180" i="13" s="1"/>
  <c r="B70" i="13"/>
  <c r="D69" i="13"/>
  <c r="D124" i="13" s="1"/>
  <c r="D179" i="13" s="1"/>
  <c r="B69" i="13"/>
  <c r="D68" i="13"/>
  <c r="D123" i="13" s="1"/>
  <c r="D178" i="13" s="1"/>
  <c r="B68" i="13"/>
  <c r="D67" i="13"/>
  <c r="D122" i="13" s="1"/>
  <c r="D177" i="13" s="1"/>
  <c r="B67" i="13"/>
  <c r="D66" i="13"/>
  <c r="D121" i="13" s="1"/>
  <c r="D176" i="13" s="1"/>
  <c r="B66" i="13"/>
  <c r="D65" i="13"/>
  <c r="D120" i="13" s="1"/>
  <c r="D175" i="13" s="1"/>
  <c r="B65" i="13"/>
  <c r="D64" i="13"/>
  <c r="D119" i="13" s="1"/>
  <c r="D174" i="13" s="1"/>
  <c r="B64" i="13"/>
  <c r="D63" i="13"/>
  <c r="D118" i="13" s="1"/>
  <c r="D173" i="13" s="1"/>
  <c r="B63" i="13"/>
  <c r="D62" i="13"/>
  <c r="D117" i="13" s="1"/>
  <c r="D172" i="13" s="1"/>
  <c r="B62" i="13"/>
  <c r="D61" i="13"/>
  <c r="D116" i="13" s="1"/>
  <c r="D171" i="13" s="1"/>
  <c r="B61" i="13"/>
  <c r="D60" i="13"/>
  <c r="D115" i="13" s="1"/>
  <c r="D170" i="13" s="1"/>
  <c r="B60" i="13"/>
  <c r="D59" i="13"/>
  <c r="D114" i="13" s="1"/>
  <c r="D169" i="13" s="1"/>
  <c r="B59" i="13"/>
  <c r="D58" i="13"/>
  <c r="D113" i="13" s="1"/>
  <c r="D168" i="13" s="1"/>
  <c r="B58" i="13"/>
  <c r="D57" i="13"/>
  <c r="D112" i="13" s="1"/>
  <c r="D167" i="13" s="1"/>
  <c r="B57" i="13"/>
  <c r="D56" i="13"/>
  <c r="D111" i="13" s="1"/>
  <c r="D166" i="13" s="1"/>
  <c r="B56" i="13"/>
  <c r="D55" i="13"/>
  <c r="D110" i="13" s="1"/>
  <c r="D165" i="13" s="1"/>
  <c r="B55" i="13"/>
  <c r="D54" i="13"/>
  <c r="D109" i="13" s="1"/>
  <c r="D164" i="13" s="1"/>
  <c r="B54" i="13"/>
  <c r="D53" i="13"/>
  <c r="D108" i="13" s="1"/>
  <c r="D163" i="13" s="1"/>
  <c r="B53" i="13"/>
  <c r="D52" i="13"/>
  <c r="D107" i="13" s="1"/>
  <c r="D162" i="13" s="1"/>
  <c r="B52" i="13"/>
  <c r="D51" i="13"/>
  <c r="D106" i="13" s="1"/>
  <c r="D161" i="13" s="1"/>
  <c r="B51" i="13"/>
  <c r="D50" i="13"/>
  <c r="D105" i="13" s="1"/>
  <c r="D160" i="13" s="1"/>
  <c r="B50" i="13"/>
  <c r="D49" i="13"/>
  <c r="D104" i="13" s="1"/>
  <c r="D159" i="13" s="1"/>
  <c r="B49" i="13"/>
  <c r="D48" i="13"/>
  <c r="D103" i="13" s="1"/>
  <c r="D158" i="13" s="1"/>
  <c r="B48" i="13"/>
  <c r="D47" i="13"/>
  <c r="D102" i="13" s="1"/>
  <c r="D157" i="13" s="1"/>
  <c r="B47" i="13"/>
  <c r="F45" i="13"/>
  <c r="B24" i="27"/>
  <c r="B23" i="27"/>
  <c r="B22" i="27"/>
  <c r="G182" i="3" l="1"/>
  <c r="I182" i="3" s="1"/>
  <c r="G181" i="3"/>
  <c r="I181" i="3" s="1"/>
  <c r="G183" i="3"/>
  <c r="I183" i="3" s="1"/>
  <c r="G184" i="3"/>
  <c r="I184" i="3" s="1"/>
  <c r="G185" i="3"/>
  <c r="I185" i="3" s="1"/>
  <c r="G186" i="3"/>
  <c r="I186" i="3" s="1"/>
  <c r="G187" i="3"/>
  <c r="I187" i="3" s="1"/>
  <c r="G188" i="3"/>
  <c r="I188" i="3" s="1"/>
  <c r="G190" i="3"/>
  <c r="I190" i="3" s="1"/>
  <c r="G189" i="3"/>
  <c r="I189" i="3" s="1"/>
  <c r="G191" i="3"/>
  <c r="I191" i="3" s="1"/>
  <c r="G192" i="3"/>
  <c r="I192" i="3" s="1"/>
  <c r="F304" i="3"/>
  <c r="F316" i="3"/>
  <c r="H316" i="3" s="1"/>
  <c r="F328" i="3"/>
  <c r="H328" i="3" s="1"/>
  <c r="F340" i="3"/>
  <c r="H340" i="3" s="1"/>
  <c r="F352" i="3"/>
  <c r="H352" i="3" s="1"/>
  <c r="F364" i="3"/>
  <c r="H364" i="3" s="1"/>
  <c r="F376" i="3"/>
  <c r="H376" i="3" s="1"/>
  <c r="F218" i="3"/>
  <c r="H218" i="3" s="1"/>
  <c r="F230" i="3"/>
  <c r="H230" i="3" s="1"/>
  <c r="F242" i="3"/>
  <c r="H242" i="3" s="1"/>
  <c r="F254" i="3"/>
  <c r="H254" i="3" s="1"/>
  <c r="F266" i="3"/>
  <c r="H266" i="3" s="1"/>
  <c r="F312" i="3"/>
  <c r="F372" i="3"/>
  <c r="H372" i="3" s="1"/>
  <c r="F226" i="3"/>
  <c r="H226" i="3" s="1"/>
  <c r="F262" i="3"/>
  <c r="H262" i="3" s="1"/>
  <c r="F337" i="3"/>
  <c r="H337" i="3" s="1"/>
  <c r="F251" i="3"/>
  <c r="H251" i="3" s="1"/>
  <c r="F362" i="3"/>
  <c r="H362" i="3" s="1"/>
  <c r="F228" i="3"/>
  <c r="H228" i="3" s="1"/>
  <c r="F264" i="3"/>
  <c r="H264" i="3" s="1"/>
  <c r="F351" i="3"/>
  <c r="H351" i="3" s="1"/>
  <c r="F241" i="3"/>
  <c r="H241" i="3" s="1"/>
  <c r="F305" i="3"/>
  <c r="H305" i="3" s="1"/>
  <c r="F317" i="3"/>
  <c r="F329" i="3"/>
  <c r="H329" i="3" s="1"/>
  <c r="F341" i="3"/>
  <c r="H341" i="3" s="1"/>
  <c r="F353" i="3"/>
  <c r="H353" i="3" s="1"/>
  <c r="F365" i="3"/>
  <c r="H365" i="3" s="1"/>
  <c r="F377" i="3"/>
  <c r="H377" i="3" s="1"/>
  <c r="F219" i="3"/>
  <c r="H219" i="3" s="1"/>
  <c r="F231" i="3"/>
  <c r="H231" i="3" s="1"/>
  <c r="F243" i="3"/>
  <c r="H243" i="3" s="1"/>
  <c r="F255" i="3"/>
  <c r="H255" i="3" s="1"/>
  <c r="F267" i="3"/>
  <c r="H267" i="3" s="1"/>
  <c r="F348" i="3"/>
  <c r="H348" i="3" s="1"/>
  <c r="F227" i="3"/>
  <c r="H227" i="3" s="1"/>
  <c r="F386" i="3"/>
  <c r="H386" i="3" s="1"/>
  <c r="F375" i="3"/>
  <c r="H375" i="3" s="1"/>
  <c r="F265" i="3"/>
  <c r="H265" i="3" s="1"/>
  <c r="F306" i="3"/>
  <c r="H306" i="3" s="1"/>
  <c r="F318" i="3"/>
  <c r="H318" i="3" s="1"/>
  <c r="F330" i="3"/>
  <c r="H330" i="3" s="1"/>
  <c r="F342" i="3"/>
  <c r="H342" i="3" s="1"/>
  <c r="F354" i="3"/>
  <c r="H354" i="3" s="1"/>
  <c r="F366" i="3"/>
  <c r="H366" i="3" s="1"/>
  <c r="F378" i="3"/>
  <c r="H378" i="3" s="1"/>
  <c r="F220" i="3"/>
  <c r="H220" i="3" s="1"/>
  <c r="F232" i="3"/>
  <c r="H232" i="3" s="1"/>
  <c r="F244" i="3"/>
  <c r="H244" i="3" s="1"/>
  <c r="F256" i="3"/>
  <c r="H256" i="3" s="1"/>
  <c r="F268" i="3"/>
  <c r="H268" i="3" s="1"/>
  <c r="F250" i="3"/>
  <c r="H250" i="3" s="1"/>
  <c r="F301" i="3"/>
  <c r="H301" i="3" s="1"/>
  <c r="F339" i="3"/>
  <c r="H339" i="3" s="1"/>
  <c r="F229" i="3"/>
  <c r="H229" i="3" s="1"/>
  <c r="F307" i="3"/>
  <c r="H307" i="3" s="1"/>
  <c r="F319" i="3"/>
  <c r="H319" i="3" s="1"/>
  <c r="F331" i="3"/>
  <c r="H331" i="3" s="1"/>
  <c r="F343" i="3"/>
  <c r="H343" i="3" s="1"/>
  <c r="F355" i="3"/>
  <c r="F367" i="3"/>
  <c r="H367" i="3" s="1"/>
  <c r="F379" i="3"/>
  <c r="H379" i="3" s="1"/>
  <c r="F221" i="3"/>
  <c r="H221" i="3" s="1"/>
  <c r="F233" i="3"/>
  <c r="H233" i="3" s="1"/>
  <c r="F245" i="3"/>
  <c r="H245" i="3" s="1"/>
  <c r="F257" i="3"/>
  <c r="H257" i="3" s="1"/>
  <c r="F269" i="3"/>
  <c r="H269" i="3" s="1"/>
  <c r="F300" i="3"/>
  <c r="H300" i="3" s="1"/>
  <c r="F385" i="3"/>
  <c r="H385" i="3" s="1"/>
  <c r="F302" i="3"/>
  <c r="H302" i="3" s="1"/>
  <c r="F363" i="3"/>
  <c r="H363" i="3" s="1"/>
  <c r="F253" i="3"/>
  <c r="H253" i="3" s="1"/>
  <c r="F308" i="3"/>
  <c r="H308" i="3" s="1"/>
  <c r="F320" i="3"/>
  <c r="H320" i="3" s="1"/>
  <c r="F332" i="3"/>
  <c r="H332" i="3" s="1"/>
  <c r="F344" i="3"/>
  <c r="H344" i="3" s="1"/>
  <c r="F356" i="3"/>
  <c r="H356" i="3" s="1"/>
  <c r="F368" i="3"/>
  <c r="H368" i="3" s="1"/>
  <c r="F380" i="3"/>
  <c r="H380" i="3" s="1"/>
  <c r="F222" i="3"/>
  <c r="H222" i="3" s="1"/>
  <c r="F234" i="3"/>
  <c r="H234" i="3" s="1"/>
  <c r="F246" i="3"/>
  <c r="H246" i="3" s="1"/>
  <c r="F258" i="3"/>
  <c r="H258" i="3" s="1"/>
  <c r="F349" i="3"/>
  <c r="F263" i="3"/>
  <c r="H263" i="3" s="1"/>
  <c r="F314" i="3"/>
  <c r="H314" i="3" s="1"/>
  <c r="F217" i="3"/>
  <c r="H217" i="3" s="1"/>
  <c r="F309" i="3"/>
  <c r="H309" i="3" s="1"/>
  <c r="F321" i="3"/>
  <c r="H321" i="3" s="1"/>
  <c r="F333" i="3"/>
  <c r="H333" i="3" s="1"/>
  <c r="F345" i="3"/>
  <c r="H345" i="3" s="1"/>
  <c r="F357" i="3"/>
  <c r="H357" i="3" s="1"/>
  <c r="F369" i="3"/>
  <c r="H369" i="3" s="1"/>
  <c r="F381" i="3"/>
  <c r="H381" i="3" s="1"/>
  <c r="F223" i="3"/>
  <c r="H223" i="3" s="1"/>
  <c r="F235" i="3"/>
  <c r="H235" i="3" s="1"/>
  <c r="F247" i="3"/>
  <c r="H247" i="3" s="1"/>
  <c r="F259" i="3"/>
  <c r="H259" i="3" s="1"/>
  <c r="F324" i="3"/>
  <c r="H324" i="3" s="1"/>
  <c r="F313" i="3"/>
  <c r="H313" i="3" s="1"/>
  <c r="F350" i="3"/>
  <c r="H350" i="3" s="1"/>
  <c r="F303" i="3"/>
  <c r="H303" i="3" s="1"/>
  <c r="F298" i="3"/>
  <c r="H298" i="3" s="1"/>
  <c r="F310" i="3"/>
  <c r="H310" i="3" s="1"/>
  <c r="F322" i="3"/>
  <c r="H322" i="3" s="1"/>
  <c r="F334" i="3"/>
  <c r="H334" i="3" s="1"/>
  <c r="F346" i="3"/>
  <c r="H346" i="3" s="1"/>
  <c r="F358" i="3"/>
  <c r="F370" i="3"/>
  <c r="H370" i="3" s="1"/>
  <c r="F382" i="3"/>
  <c r="H382" i="3" s="1"/>
  <c r="F224" i="3"/>
  <c r="H224" i="3" s="1"/>
  <c r="F236" i="3"/>
  <c r="H236" i="3" s="1"/>
  <c r="F248" i="3"/>
  <c r="H248" i="3" s="1"/>
  <c r="F260" i="3"/>
  <c r="H260" i="3" s="1"/>
  <c r="F360" i="3"/>
  <c r="H360" i="3" s="1"/>
  <c r="F215" i="3"/>
  <c r="H215" i="3" s="1"/>
  <c r="F338" i="3"/>
  <c r="H338" i="3" s="1"/>
  <c r="F240" i="3"/>
  <c r="H240" i="3" s="1"/>
  <c r="F315" i="3"/>
  <c r="H315" i="3" s="1"/>
  <c r="F299" i="3"/>
  <c r="H299" i="3" s="1"/>
  <c r="F311" i="3"/>
  <c r="H311" i="3" s="1"/>
  <c r="F323" i="3"/>
  <c r="H323" i="3" s="1"/>
  <c r="F335" i="3"/>
  <c r="H335" i="3" s="1"/>
  <c r="F347" i="3"/>
  <c r="H347" i="3" s="1"/>
  <c r="F359" i="3"/>
  <c r="H359" i="3" s="1"/>
  <c r="F371" i="3"/>
  <c r="H371" i="3" s="1"/>
  <c r="F383" i="3"/>
  <c r="H383" i="3" s="1"/>
  <c r="F182" i="3"/>
  <c r="H182" i="3" s="1"/>
  <c r="F225" i="3"/>
  <c r="H225" i="3" s="1"/>
  <c r="F237" i="3"/>
  <c r="H237" i="3" s="1"/>
  <c r="F249" i="3"/>
  <c r="H249" i="3" s="1"/>
  <c r="F261" i="3"/>
  <c r="H261" i="3" s="1"/>
  <c r="F181" i="3"/>
  <c r="F336" i="3"/>
  <c r="H336" i="3" s="1"/>
  <c r="F384" i="3"/>
  <c r="H384" i="3" s="1"/>
  <c r="F214" i="3"/>
  <c r="H214" i="3" s="1"/>
  <c r="F238" i="3"/>
  <c r="H238" i="3" s="1"/>
  <c r="F325" i="3"/>
  <c r="H325" i="3" s="1"/>
  <c r="F361" i="3"/>
  <c r="H361" i="3" s="1"/>
  <c r="F373" i="3"/>
  <c r="H373" i="3" s="1"/>
  <c r="F239" i="3"/>
  <c r="H239" i="3" s="1"/>
  <c r="F326" i="3"/>
  <c r="H326" i="3" s="1"/>
  <c r="F374" i="3"/>
  <c r="H374" i="3" s="1"/>
  <c r="F216" i="3"/>
  <c r="H216" i="3" s="1"/>
  <c r="F252" i="3"/>
  <c r="H252" i="3" s="1"/>
  <c r="F327" i="3"/>
  <c r="H327" i="3" s="1"/>
  <c r="F183" i="3"/>
  <c r="H183" i="3" s="1"/>
  <c r="F184" i="3"/>
  <c r="H184" i="3" s="1"/>
  <c r="F195" i="3"/>
  <c r="H195" i="3" s="1"/>
  <c r="F196" i="3"/>
  <c r="H196" i="3" s="1"/>
  <c r="F197" i="3"/>
  <c r="H197" i="3" s="1"/>
  <c r="F199" i="3"/>
  <c r="H199" i="3" s="1"/>
  <c r="F198" i="3"/>
  <c r="H198" i="3" s="1"/>
  <c r="F200" i="3"/>
  <c r="H200" i="3" s="1"/>
  <c r="F202" i="3"/>
  <c r="H202" i="3" s="1"/>
  <c r="F201" i="3"/>
  <c r="H201" i="3" s="1"/>
  <c r="F203" i="3"/>
  <c r="H203" i="3" s="1"/>
  <c r="F204" i="3"/>
  <c r="H204" i="3" s="1"/>
  <c r="F205" i="3"/>
  <c r="H205" i="3" s="1"/>
  <c r="F206" i="3"/>
  <c r="H206" i="3" s="1"/>
  <c r="F208" i="3"/>
  <c r="H208" i="3" s="1"/>
  <c r="F207" i="3"/>
  <c r="H207" i="3" s="1"/>
  <c r="F209" i="3"/>
  <c r="H209" i="3" s="1"/>
  <c r="F210" i="3"/>
  <c r="H210" i="3" s="1"/>
  <c r="F211" i="3"/>
  <c r="H211" i="3" s="1"/>
  <c r="F212" i="3"/>
  <c r="H212" i="3" s="1"/>
  <c r="F213" i="3"/>
  <c r="H213" i="3" s="1"/>
  <c r="G170" i="3"/>
  <c r="I170" i="3" s="1"/>
  <c r="G58" i="3"/>
  <c r="I58" i="3" s="1"/>
  <c r="G59" i="3"/>
  <c r="F58" i="3"/>
  <c r="F59" i="3"/>
  <c r="H59" i="3" s="1"/>
  <c r="E58" i="3"/>
  <c r="H355" i="3"/>
  <c r="F61" i="3"/>
  <c r="H61" i="3" s="1"/>
  <c r="F67" i="3"/>
  <c r="H67" i="3" s="1"/>
  <c r="F73" i="3"/>
  <c r="H73" i="3" s="1"/>
  <c r="F79" i="3"/>
  <c r="H79" i="3" s="1"/>
  <c r="F85" i="3"/>
  <c r="H85" i="3" s="1"/>
  <c r="F91" i="3"/>
  <c r="H91" i="3" s="1"/>
  <c r="F97" i="3"/>
  <c r="H97" i="3" s="1"/>
  <c r="F103" i="3"/>
  <c r="H103" i="3" s="1"/>
  <c r="F109" i="3"/>
  <c r="H109" i="3" s="1"/>
  <c r="F115" i="3"/>
  <c r="H115" i="3" s="1"/>
  <c r="F121" i="3"/>
  <c r="H121" i="3" s="1"/>
  <c r="F127" i="3"/>
  <c r="H127" i="3" s="1"/>
  <c r="F133" i="3"/>
  <c r="H133" i="3" s="1"/>
  <c r="F139" i="3"/>
  <c r="H139" i="3" s="1"/>
  <c r="F145" i="3"/>
  <c r="H145" i="3" s="1"/>
  <c r="F151" i="3"/>
  <c r="H151" i="3" s="1"/>
  <c r="F114" i="3"/>
  <c r="H114" i="3" s="1"/>
  <c r="F290" i="3"/>
  <c r="H290" i="3" s="1"/>
  <c r="F295" i="3"/>
  <c r="H295" i="3" s="1"/>
  <c r="F84" i="3"/>
  <c r="H84" i="3" s="1"/>
  <c r="F150" i="3"/>
  <c r="H150" i="3" s="1"/>
  <c r="F62" i="3"/>
  <c r="H62" i="3" s="1"/>
  <c r="F68" i="3"/>
  <c r="H68" i="3" s="1"/>
  <c r="F74" i="3"/>
  <c r="H74" i="3" s="1"/>
  <c r="F80" i="3"/>
  <c r="H80" i="3" s="1"/>
  <c r="F86" i="3"/>
  <c r="H86" i="3" s="1"/>
  <c r="F92" i="3"/>
  <c r="H92" i="3" s="1"/>
  <c r="F98" i="3"/>
  <c r="H98" i="3" s="1"/>
  <c r="F104" i="3"/>
  <c r="H104" i="3" s="1"/>
  <c r="F110" i="3"/>
  <c r="H110" i="3" s="1"/>
  <c r="F116" i="3"/>
  <c r="H116" i="3" s="1"/>
  <c r="F122" i="3"/>
  <c r="H122" i="3" s="1"/>
  <c r="F128" i="3"/>
  <c r="H128" i="3" s="1"/>
  <c r="F134" i="3"/>
  <c r="H134" i="3" s="1"/>
  <c r="F140" i="3"/>
  <c r="H140" i="3" s="1"/>
  <c r="F146" i="3"/>
  <c r="H146" i="3" s="1"/>
  <c r="F152" i="3"/>
  <c r="H152" i="3" s="1"/>
  <c r="F108" i="3"/>
  <c r="H108" i="3" s="1"/>
  <c r="F291" i="3"/>
  <c r="H291" i="3" s="1"/>
  <c r="F78" i="3"/>
  <c r="H78" i="3" s="1"/>
  <c r="H304" i="3"/>
  <c r="F63" i="3"/>
  <c r="H63" i="3" s="1"/>
  <c r="F69" i="3"/>
  <c r="H69" i="3" s="1"/>
  <c r="F75" i="3"/>
  <c r="H75" i="3" s="1"/>
  <c r="F81" i="3"/>
  <c r="H81" i="3" s="1"/>
  <c r="F87" i="3"/>
  <c r="H87" i="3" s="1"/>
  <c r="F93" i="3"/>
  <c r="H93" i="3" s="1"/>
  <c r="F99" i="3"/>
  <c r="H99" i="3" s="1"/>
  <c r="F105" i="3"/>
  <c r="H105" i="3" s="1"/>
  <c r="F111" i="3"/>
  <c r="H111" i="3" s="1"/>
  <c r="F117" i="3"/>
  <c r="H117" i="3" s="1"/>
  <c r="F123" i="3"/>
  <c r="H123" i="3" s="1"/>
  <c r="F129" i="3"/>
  <c r="H129" i="3" s="1"/>
  <c r="F135" i="3"/>
  <c r="H135" i="3" s="1"/>
  <c r="F141" i="3"/>
  <c r="H141" i="3" s="1"/>
  <c r="F147" i="3"/>
  <c r="H147" i="3" s="1"/>
  <c r="F153" i="3"/>
  <c r="H153" i="3" s="1"/>
  <c r="F90" i="3"/>
  <c r="H90" i="3" s="1"/>
  <c r="F292" i="3"/>
  <c r="H292" i="3" s="1"/>
  <c r="F296" i="3"/>
  <c r="H296" i="3" s="1"/>
  <c r="F120" i="3"/>
  <c r="H120" i="3" s="1"/>
  <c r="F294" i="3"/>
  <c r="H294" i="3" s="1"/>
  <c r="H312" i="3"/>
  <c r="H358" i="3"/>
  <c r="F64" i="3"/>
  <c r="H64" i="3" s="1"/>
  <c r="F70" i="3"/>
  <c r="H70" i="3" s="1"/>
  <c r="F76" i="3"/>
  <c r="H76" i="3" s="1"/>
  <c r="F82" i="3"/>
  <c r="H82" i="3" s="1"/>
  <c r="F88" i="3"/>
  <c r="H88" i="3" s="1"/>
  <c r="F94" i="3"/>
  <c r="H94" i="3" s="1"/>
  <c r="F100" i="3"/>
  <c r="H100" i="3" s="1"/>
  <c r="F106" i="3"/>
  <c r="H106" i="3" s="1"/>
  <c r="F112" i="3"/>
  <c r="H112" i="3" s="1"/>
  <c r="F118" i="3"/>
  <c r="H118" i="3" s="1"/>
  <c r="F124" i="3"/>
  <c r="H124" i="3" s="1"/>
  <c r="F130" i="3"/>
  <c r="H130" i="3" s="1"/>
  <c r="F136" i="3"/>
  <c r="H136" i="3" s="1"/>
  <c r="F142" i="3"/>
  <c r="H142" i="3" s="1"/>
  <c r="F148" i="3"/>
  <c r="H148" i="3" s="1"/>
  <c r="F154" i="3"/>
  <c r="H154" i="3" s="1"/>
  <c r="F72" i="3"/>
  <c r="H72" i="3" s="1"/>
  <c r="F132" i="3"/>
  <c r="H132" i="3" s="1"/>
  <c r="F288" i="3"/>
  <c r="H288" i="3" s="1"/>
  <c r="F297" i="3"/>
  <c r="H297" i="3" s="1"/>
  <c r="H317" i="3"/>
  <c r="F60" i="3"/>
  <c r="H60" i="3" s="1"/>
  <c r="F126" i="3"/>
  <c r="H126" i="3" s="1"/>
  <c r="F65" i="3"/>
  <c r="H65" i="3" s="1"/>
  <c r="F71" i="3"/>
  <c r="H71" i="3" s="1"/>
  <c r="F77" i="3"/>
  <c r="H77" i="3" s="1"/>
  <c r="F83" i="3"/>
  <c r="H83" i="3" s="1"/>
  <c r="F89" i="3"/>
  <c r="H89" i="3" s="1"/>
  <c r="F95" i="3"/>
  <c r="H95" i="3" s="1"/>
  <c r="F101" i="3"/>
  <c r="H101" i="3" s="1"/>
  <c r="F107" i="3"/>
  <c r="H107" i="3" s="1"/>
  <c r="F113" i="3"/>
  <c r="H113" i="3" s="1"/>
  <c r="F119" i="3"/>
  <c r="H119" i="3" s="1"/>
  <c r="F125" i="3"/>
  <c r="H125" i="3" s="1"/>
  <c r="F131" i="3"/>
  <c r="H131" i="3" s="1"/>
  <c r="F137" i="3"/>
  <c r="H137" i="3" s="1"/>
  <c r="F143" i="3"/>
  <c r="H143" i="3" s="1"/>
  <c r="F149" i="3"/>
  <c r="H149" i="3" s="1"/>
  <c r="F155" i="3"/>
  <c r="H155" i="3" s="1"/>
  <c r="F66" i="3"/>
  <c r="H66" i="3" s="1"/>
  <c r="F96" i="3"/>
  <c r="H96" i="3" s="1"/>
  <c r="F138" i="3"/>
  <c r="H138" i="3" s="1"/>
  <c r="F289" i="3"/>
  <c r="H289" i="3" s="1"/>
  <c r="F293" i="3"/>
  <c r="H293" i="3" s="1"/>
  <c r="H349" i="3"/>
  <c r="F102" i="3"/>
  <c r="H102" i="3" s="1"/>
  <c r="F144" i="3"/>
  <c r="H144" i="3" s="1"/>
  <c r="G294" i="3"/>
  <c r="I294" i="3" s="1"/>
  <c r="G304" i="3"/>
  <c r="I304" i="3" s="1"/>
  <c r="G309" i="3"/>
  <c r="I309" i="3" s="1"/>
  <c r="G319" i="3"/>
  <c r="I319" i="3" s="1"/>
  <c r="G324" i="3"/>
  <c r="I324" i="3" s="1"/>
  <c r="G329" i="3"/>
  <c r="I329" i="3" s="1"/>
  <c r="G334" i="3"/>
  <c r="I334" i="3" s="1"/>
  <c r="G344" i="3"/>
  <c r="I344" i="3" s="1"/>
  <c r="G365" i="3"/>
  <c r="I365" i="3" s="1"/>
  <c r="G370" i="3"/>
  <c r="I370" i="3" s="1"/>
  <c r="G380" i="3"/>
  <c r="I380" i="3" s="1"/>
  <c r="G173" i="3"/>
  <c r="I173" i="3" s="1"/>
  <c r="G196" i="3"/>
  <c r="I196" i="3" s="1"/>
  <c r="G202" i="3"/>
  <c r="I202" i="3" s="1"/>
  <c r="G333" i="3"/>
  <c r="I333" i="3" s="1"/>
  <c r="G114" i="3"/>
  <c r="I114" i="3" s="1"/>
  <c r="G299" i="3"/>
  <c r="I299" i="3" s="1"/>
  <c r="G314" i="3"/>
  <c r="I314" i="3" s="1"/>
  <c r="G340" i="3"/>
  <c r="I340" i="3" s="1"/>
  <c r="G355" i="3"/>
  <c r="I355" i="3" s="1"/>
  <c r="G360" i="3"/>
  <c r="I360" i="3" s="1"/>
  <c r="G376" i="3"/>
  <c r="I376" i="3" s="1"/>
  <c r="G179" i="3"/>
  <c r="I179" i="3" s="1"/>
  <c r="G208" i="3"/>
  <c r="I208" i="3" s="1"/>
  <c r="G214" i="3"/>
  <c r="I214" i="3" s="1"/>
  <c r="G220" i="3"/>
  <c r="I220" i="3" s="1"/>
  <c r="G226" i="3"/>
  <c r="I226" i="3" s="1"/>
  <c r="G232" i="3"/>
  <c r="I232" i="3" s="1"/>
  <c r="G238" i="3"/>
  <c r="I238" i="3" s="1"/>
  <c r="G244" i="3"/>
  <c r="I244" i="3" s="1"/>
  <c r="G250" i="3"/>
  <c r="I250" i="3" s="1"/>
  <c r="G256" i="3"/>
  <c r="I256" i="3" s="1"/>
  <c r="G262" i="3"/>
  <c r="I262" i="3" s="1"/>
  <c r="G268" i="3"/>
  <c r="I268" i="3" s="1"/>
  <c r="G61" i="3"/>
  <c r="I61" i="3" s="1"/>
  <c r="G67" i="3"/>
  <c r="I67" i="3" s="1"/>
  <c r="G73" i="3"/>
  <c r="I73" i="3" s="1"/>
  <c r="G79" i="3"/>
  <c r="I79" i="3" s="1"/>
  <c r="G85" i="3"/>
  <c r="I85" i="3" s="1"/>
  <c r="G91" i="3"/>
  <c r="I91" i="3" s="1"/>
  <c r="G97" i="3"/>
  <c r="I97" i="3" s="1"/>
  <c r="G103" i="3"/>
  <c r="I103" i="3" s="1"/>
  <c r="G109" i="3"/>
  <c r="I109" i="3" s="1"/>
  <c r="G115" i="3"/>
  <c r="I115" i="3" s="1"/>
  <c r="G121" i="3"/>
  <c r="I121" i="3" s="1"/>
  <c r="G127" i="3"/>
  <c r="I127" i="3" s="1"/>
  <c r="G133" i="3"/>
  <c r="I133" i="3" s="1"/>
  <c r="G139" i="3"/>
  <c r="I139" i="3" s="1"/>
  <c r="G145" i="3"/>
  <c r="I145" i="3" s="1"/>
  <c r="G151" i="3"/>
  <c r="I151" i="3" s="1"/>
  <c r="G303" i="3"/>
  <c r="I303" i="3" s="1"/>
  <c r="G385" i="3"/>
  <c r="I385" i="3" s="1"/>
  <c r="G231" i="3"/>
  <c r="I231" i="3" s="1"/>
  <c r="G72" i="3"/>
  <c r="I72" i="3" s="1"/>
  <c r="G138" i="3"/>
  <c r="I138" i="3" s="1"/>
  <c r="G290" i="3"/>
  <c r="I290" i="3" s="1"/>
  <c r="G295" i="3"/>
  <c r="I295" i="3" s="1"/>
  <c r="G310" i="3"/>
  <c r="I310" i="3" s="1"/>
  <c r="G325" i="3"/>
  <c r="I325" i="3" s="1"/>
  <c r="G330" i="3"/>
  <c r="I330" i="3" s="1"/>
  <c r="G345" i="3"/>
  <c r="I345" i="3" s="1"/>
  <c r="G350" i="3"/>
  <c r="I350" i="3" s="1"/>
  <c r="G366" i="3"/>
  <c r="I366" i="3" s="1"/>
  <c r="G381" i="3"/>
  <c r="I381" i="3" s="1"/>
  <c r="G386" i="3"/>
  <c r="I386" i="3" s="1"/>
  <c r="G197" i="3"/>
  <c r="I197" i="3" s="1"/>
  <c r="G203" i="3"/>
  <c r="I203" i="3" s="1"/>
  <c r="G178" i="3"/>
  <c r="I178" i="3" s="1"/>
  <c r="G237" i="3"/>
  <c r="I237" i="3" s="1"/>
  <c r="G90" i="3"/>
  <c r="I90" i="3" s="1"/>
  <c r="G150" i="3"/>
  <c r="I150" i="3" s="1"/>
  <c r="G300" i="3"/>
  <c r="I300" i="3" s="1"/>
  <c r="G305" i="3"/>
  <c r="I305" i="3" s="1"/>
  <c r="G315" i="3"/>
  <c r="I315" i="3" s="1"/>
  <c r="G320" i="3"/>
  <c r="I320" i="3" s="1"/>
  <c r="G335" i="3"/>
  <c r="I335" i="3" s="1"/>
  <c r="G356" i="3"/>
  <c r="I356" i="3" s="1"/>
  <c r="G361" i="3"/>
  <c r="I361" i="3" s="1"/>
  <c r="G371" i="3"/>
  <c r="I371" i="3" s="1"/>
  <c r="G174" i="3"/>
  <c r="I174" i="3" s="1"/>
  <c r="G180" i="3"/>
  <c r="I180" i="3" s="1"/>
  <c r="G209" i="3"/>
  <c r="I209" i="3" s="1"/>
  <c r="G215" i="3"/>
  <c r="I215" i="3" s="1"/>
  <c r="G221" i="3"/>
  <c r="I221" i="3" s="1"/>
  <c r="G227" i="3"/>
  <c r="I227" i="3" s="1"/>
  <c r="G233" i="3"/>
  <c r="I233" i="3" s="1"/>
  <c r="G239" i="3"/>
  <c r="I239" i="3" s="1"/>
  <c r="G245" i="3"/>
  <c r="I245" i="3" s="1"/>
  <c r="G251" i="3"/>
  <c r="I251" i="3" s="1"/>
  <c r="G257" i="3"/>
  <c r="I257" i="3" s="1"/>
  <c r="G263" i="3"/>
  <c r="I263" i="3" s="1"/>
  <c r="G269" i="3"/>
  <c r="I269" i="3" s="1"/>
  <c r="G62" i="3"/>
  <c r="I62" i="3" s="1"/>
  <c r="G68" i="3"/>
  <c r="I68" i="3" s="1"/>
  <c r="G74" i="3"/>
  <c r="I74" i="3" s="1"/>
  <c r="G80" i="3"/>
  <c r="I80" i="3" s="1"/>
  <c r="G86" i="3"/>
  <c r="I86" i="3" s="1"/>
  <c r="G92" i="3"/>
  <c r="I92" i="3" s="1"/>
  <c r="G98" i="3"/>
  <c r="I98" i="3" s="1"/>
  <c r="G104" i="3"/>
  <c r="I104" i="3" s="1"/>
  <c r="G110" i="3"/>
  <c r="I110" i="3" s="1"/>
  <c r="G116" i="3"/>
  <c r="I116" i="3" s="1"/>
  <c r="G122" i="3"/>
  <c r="I122" i="3" s="1"/>
  <c r="G128" i="3"/>
  <c r="I128" i="3" s="1"/>
  <c r="G134" i="3"/>
  <c r="I134" i="3" s="1"/>
  <c r="G140" i="3"/>
  <c r="I140" i="3" s="1"/>
  <c r="G146" i="3"/>
  <c r="I146" i="3" s="1"/>
  <c r="G152" i="3"/>
  <c r="I152" i="3" s="1"/>
  <c r="G207" i="3"/>
  <c r="I207" i="3" s="1"/>
  <c r="G267" i="3"/>
  <c r="I267" i="3" s="1"/>
  <c r="G120" i="3"/>
  <c r="I120" i="3" s="1"/>
  <c r="G291" i="3"/>
  <c r="I291" i="3" s="1"/>
  <c r="G331" i="3"/>
  <c r="I331" i="3" s="1"/>
  <c r="G346" i="3"/>
  <c r="I346" i="3" s="1"/>
  <c r="G351" i="3"/>
  <c r="I351" i="3" s="1"/>
  <c r="G367" i="3"/>
  <c r="I367" i="3" s="1"/>
  <c r="G382" i="3"/>
  <c r="I382" i="3" s="1"/>
  <c r="G198" i="3"/>
  <c r="I198" i="3" s="1"/>
  <c r="G308" i="3"/>
  <c r="I308" i="3" s="1"/>
  <c r="G369" i="3"/>
  <c r="I369" i="3" s="1"/>
  <c r="G359" i="3"/>
  <c r="I359" i="3" s="1"/>
  <c r="G60" i="3"/>
  <c r="I60" i="3" s="1"/>
  <c r="G132" i="3"/>
  <c r="I132" i="3" s="1"/>
  <c r="G301" i="3"/>
  <c r="I301" i="3" s="1"/>
  <c r="G306" i="3"/>
  <c r="I306" i="3" s="1"/>
  <c r="G311" i="3"/>
  <c r="I311" i="3" s="1"/>
  <c r="G316" i="3"/>
  <c r="I316" i="3" s="1"/>
  <c r="G321" i="3"/>
  <c r="I321" i="3" s="1"/>
  <c r="G326" i="3"/>
  <c r="I326" i="3" s="1"/>
  <c r="G336" i="3"/>
  <c r="I336" i="3" s="1"/>
  <c r="G341" i="3"/>
  <c r="I341" i="3" s="1"/>
  <c r="G357" i="3"/>
  <c r="I357" i="3" s="1"/>
  <c r="G372" i="3"/>
  <c r="I372" i="3" s="1"/>
  <c r="G377" i="3"/>
  <c r="I377" i="3" s="1"/>
  <c r="G175" i="3"/>
  <c r="I175" i="3" s="1"/>
  <c r="G204" i="3"/>
  <c r="I204" i="3" s="1"/>
  <c r="G210" i="3"/>
  <c r="I210" i="3" s="1"/>
  <c r="G216" i="3"/>
  <c r="I216" i="3" s="1"/>
  <c r="G222" i="3"/>
  <c r="I222" i="3" s="1"/>
  <c r="G228" i="3"/>
  <c r="I228" i="3" s="1"/>
  <c r="G234" i="3"/>
  <c r="I234" i="3" s="1"/>
  <c r="G240" i="3"/>
  <c r="I240" i="3" s="1"/>
  <c r="G246" i="3"/>
  <c r="I246" i="3" s="1"/>
  <c r="G252" i="3"/>
  <c r="I252" i="3" s="1"/>
  <c r="G258" i="3"/>
  <c r="I258" i="3" s="1"/>
  <c r="G264" i="3"/>
  <c r="I264" i="3" s="1"/>
  <c r="G63" i="3"/>
  <c r="I63" i="3" s="1"/>
  <c r="G69" i="3"/>
  <c r="I69" i="3" s="1"/>
  <c r="G75" i="3"/>
  <c r="I75" i="3" s="1"/>
  <c r="G81" i="3"/>
  <c r="I81" i="3" s="1"/>
  <c r="G87" i="3"/>
  <c r="I87" i="3" s="1"/>
  <c r="G93" i="3"/>
  <c r="I93" i="3" s="1"/>
  <c r="G99" i="3"/>
  <c r="I99" i="3" s="1"/>
  <c r="G105" i="3"/>
  <c r="I105" i="3" s="1"/>
  <c r="G111" i="3"/>
  <c r="I111" i="3" s="1"/>
  <c r="G117" i="3"/>
  <c r="I117" i="3" s="1"/>
  <c r="G123" i="3"/>
  <c r="I123" i="3" s="1"/>
  <c r="G129" i="3"/>
  <c r="I129" i="3" s="1"/>
  <c r="G135" i="3"/>
  <c r="I135" i="3" s="1"/>
  <c r="G141" i="3"/>
  <c r="I141" i="3" s="1"/>
  <c r="G147" i="3"/>
  <c r="I147" i="3" s="1"/>
  <c r="G153" i="3"/>
  <c r="I153" i="3" s="1"/>
  <c r="G318" i="3"/>
  <c r="I318" i="3" s="1"/>
  <c r="G255" i="3"/>
  <c r="I255" i="3" s="1"/>
  <c r="G108" i="3"/>
  <c r="I108" i="3" s="1"/>
  <c r="G292" i="3"/>
  <c r="I292" i="3" s="1"/>
  <c r="G296" i="3"/>
  <c r="I296" i="3" s="1"/>
  <c r="G347" i="3"/>
  <c r="I347" i="3" s="1"/>
  <c r="G352" i="3"/>
  <c r="I352" i="3" s="1"/>
  <c r="G362" i="3"/>
  <c r="I362" i="3" s="1"/>
  <c r="G383" i="3"/>
  <c r="I383" i="3" s="1"/>
  <c r="G193" i="3"/>
  <c r="I193" i="3" s="1"/>
  <c r="G199" i="3"/>
  <c r="I199" i="3" s="1"/>
  <c r="G298" i="3"/>
  <c r="I298" i="3" s="1"/>
  <c r="G213" i="3"/>
  <c r="I213" i="3" s="1"/>
  <c r="G261" i="3"/>
  <c r="I261" i="3" s="1"/>
  <c r="G102" i="3"/>
  <c r="I102" i="3" s="1"/>
  <c r="G307" i="3"/>
  <c r="I307" i="3" s="1"/>
  <c r="G312" i="3"/>
  <c r="I312" i="3" s="1"/>
  <c r="G322" i="3"/>
  <c r="I322" i="3" s="1"/>
  <c r="G327" i="3"/>
  <c r="I327" i="3" s="1"/>
  <c r="G337" i="3"/>
  <c r="I337" i="3" s="1"/>
  <c r="G342" i="3"/>
  <c r="I342" i="3" s="1"/>
  <c r="G358" i="3"/>
  <c r="I358" i="3" s="1"/>
  <c r="G373" i="3"/>
  <c r="I373" i="3" s="1"/>
  <c r="G378" i="3"/>
  <c r="I378" i="3" s="1"/>
  <c r="G176" i="3"/>
  <c r="I176" i="3" s="1"/>
  <c r="G205" i="3"/>
  <c r="I205" i="3" s="1"/>
  <c r="G211" i="3"/>
  <c r="I211" i="3" s="1"/>
  <c r="G217" i="3"/>
  <c r="I217" i="3" s="1"/>
  <c r="G223" i="3"/>
  <c r="I223" i="3" s="1"/>
  <c r="G229" i="3"/>
  <c r="I229" i="3" s="1"/>
  <c r="G235" i="3"/>
  <c r="I235" i="3" s="1"/>
  <c r="G241" i="3"/>
  <c r="I241" i="3" s="1"/>
  <c r="G247" i="3"/>
  <c r="I247" i="3" s="1"/>
  <c r="G253" i="3"/>
  <c r="I253" i="3" s="1"/>
  <c r="G259" i="3"/>
  <c r="I259" i="3" s="1"/>
  <c r="G265" i="3"/>
  <c r="I265" i="3" s="1"/>
  <c r="G64" i="3"/>
  <c r="I64" i="3" s="1"/>
  <c r="G70" i="3"/>
  <c r="I70" i="3" s="1"/>
  <c r="G76" i="3"/>
  <c r="I76" i="3" s="1"/>
  <c r="G82" i="3"/>
  <c r="I82" i="3" s="1"/>
  <c r="G88" i="3"/>
  <c r="I88" i="3" s="1"/>
  <c r="G94" i="3"/>
  <c r="I94" i="3" s="1"/>
  <c r="G100" i="3"/>
  <c r="I100" i="3" s="1"/>
  <c r="G106" i="3"/>
  <c r="I106" i="3" s="1"/>
  <c r="G112" i="3"/>
  <c r="I112" i="3" s="1"/>
  <c r="G118" i="3"/>
  <c r="I118" i="3" s="1"/>
  <c r="G124" i="3"/>
  <c r="I124" i="3" s="1"/>
  <c r="G130" i="3"/>
  <c r="I130" i="3" s="1"/>
  <c r="G136" i="3"/>
  <c r="I136" i="3" s="1"/>
  <c r="G142" i="3"/>
  <c r="I142" i="3" s="1"/>
  <c r="G148" i="3"/>
  <c r="I148" i="3" s="1"/>
  <c r="G154" i="3"/>
  <c r="I154" i="3" s="1"/>
  <c r="G289" i="3"/>
  <c r="I289" i="3" s="1"/>
  <c r="G364" i="3"/>
  <c r="I364" i="3" s="1"/>
  <c r="G201" i="3"/>
  <c r="I201" i="3" s="1"/>
  <c r="G375" i="3"/>
  <c r="I375" i="3" s="1"/>
  <c r="G225" i="3"/>
  <c r="I225" i="3" s="1"/>
  <c r="G249" i="3"/>
  <c r="I249" i="3" s="1"/>
  <c r="G78" i="3"/>
  <c r="I78" i="3" s="1"/>
  <c r="G126" i="3"/>
  <c r="I126" i="3" s="1"/>
  <c r="G288" i="3"/>
  <c r="I288" i="3" s="1"/>
  <c r="G297" i="3"/>
  <c r="I297" i="3" s="1"/>
  <c r="G302" i="3"/>
  <c r="I302" i="3" s="1"/>
  <c r="G317" i="3"/>
  <c r="I317" i="3" s="1"/>
  <c r="G332" i="3"/>
  <c r="I332" i="3" s="1"/>
  <c r="G348" i="3"/>
  <c r="I348" i="3" s="1"/>
  <c r="G363" i="3"/>
  <c r="I363" i="3" s="1"/>
  <c r="G368" i="3"/>
  <c r="I368" i="3" s="1"/>
  <c r="G384" i="3"/>
  <c r="I384" i="3" s="1"/>
  <c r="G171" i="3"/>
  <c r="I171" i="3" s="1"/>
  <c r="G194" i="3"/>
  <c r="I194" i="3" s="1"/>
  <c r="G200" i="3"/>
  <c r="I200" i="3" s="1"/>
  <c r="G293" i="3"/>
  <c r="I293" i="3" s="1"/>
  <c r="G349" i="3"/>
  <c r="I349" i="3" s="1"/>
  <c r="G172" i="3"/>
  <c r="I172" i="3" s="1"/>
  <c r="G195" i="3"/>
  <c r="I195" i="3" s="1"/>
  <c r="G354" i="3"/>
  <c r="I354" i="3" s="1"/>
  <c r="G219" i="3"/>
  <c r="I219" i="3" s="1"/>
  <c r="G243" i="3"/>
  <c r="I243" i="3" s="1"/>
  <c r="G66" i="3"/>
  <c r="I66" i="3" s="1"/>
  <c r="G96" i="3"/>
  <c r="I96" i="3" s="1"/>
  <c r="G144" i="3"/>
  <c r="I144" i="3" s="1"/>
  <c r="G313" i="3"/>
  <c r="I313" i="3" s="1"/>
  <c r="G328" i="3"/>
  <c r="I328" i="3" s="1"/>
  <c r="G338" i="3"/>
  <c r="I338" i="3" s="1"/>
  <c r="G343" i="3"/>
  <c r="I343" i="3" s="1"/>
  <c r="G353" i="3"/>
  <c r="I353" i="3" s="1"/>
  <c r="G374" i="3"/>
  <c r="I374" i="3" s="1"/>
  <c r="G379" i="3"/>
  <c r="I379" i="3" s="1"/>
  <c r="G177" i="3"/>
  <c r="I177" i="3" s="1"/>
  <c r="G206" i="3"/>
  <c r="I206" i="3" s="1"/>
  <c r="G212" i="3"/>
  <c r="I212" i="3" s="1"/>
  <c r="G218" i="3"/>
  <c r="I218" i="3" s="1"/>
  <c r="G224" i="3"/>
  <c r="I224" i="3" s="1"/>
  <c r="G230" i="3"/>
  <c r="I230" i="3" s="1"/>
  <c r="G236" i="3"/>
  <c r="I236" i="3" s="1"/>
  <c r="G242" i="3"/>
  <c r="I242" i="3" s="1"/>
  <c r="G248" i="3"/>
  <c r="I248" i="3" s="1"/>
  <c r="G254" i="3"/>
  <c r="I254" i="3" s="1"/>
  <c r="G260" i="3"/>
  <c r="I260" i="3" s="1"/>
  <c r="G266" i="3"/>
  <c r="I266" i="3" s="1"/>
  <c r="G65" i="3"/>
  <c r="I65" i="3" s="1"/>
  <c r="G71" i="3"/>
  <c r="I71" i="3" s="1"/>
  <c r="G77" i="3"/>
  <c r="I77" i="3" s="1"/>
  <c r="G83" i="3"/>
  <c r="I83" i="3" s="1"/>
  <c r="G89" i="3"/>
  <c r="I89" i="3" s="1"/>
  <c r="G95" i="3"/>
  <c r="I95" i="3" s="1"/>
  <c r="G101" i="3"/>
  <c r="I101" i="3" s="1"/>
  <c r="G107" i="3"/>
  <c r="I107" i="3" s="1"/>
  <c r="G113" i="3"/>
  <c r="I113" i="3" s="1"/>
  <c r="G119" i="3"/>
  <c r="I119" i="3" s="1"/>
  <c r="G125" i="3"/>
  <c r="I125" i="3" s="1"/>
  <c r="G131" i="3"/>
  <c r="I131" i="3" s="1"/>
  <c r="G137" i="3"/>
  <c r="I137" i="3" s="1"/>
  <c r="G143" i="3"/>
  <c r="I143" i="3" s="1"/>
  <c r="G149" i="3"/>
  <c r="I149" i="3" s="1"/>
  <c r="G155" i="3"/>
  <c r="I155" i="3" s="1"/>
  <c r="G323" i="3"/>
  <c r="I323" i="3" s="1"/>
  <c r="G339" i="3"/>
  <c r="I339" i="3" s="1"/>
  <c r="G84" i="3"/>
  <c r="I84" i="3" s="1"/>
  <c r="G131" i="13"/>
  <c r="H83" i="13"/>
  <c r="G83" i="13"/>
  <c r="C47" i="13"/>
  <c r="E47" i="13"/>
  <c r="C67" i="13"/>
  <c r="E67" i="13"/>
  <c r="F67" i="13" s="1"/>
  <c r="F122" i="13" s="1"/>
  <c r="F177" i="13" s="1"/>
  <c r="C79" i="13"/>
  <c r="J79" i="13" s="1"/>
  <c r="E79" i="13"/>
  <c r="F79" i="13" s="1"/>
  <c r="F134" i="13" s="1"/>
  <c r="F189" i="13" s="1"/>
  <c r="E84" i="13"/>
  <c r="F84" i="13" s="1"/>
  <c r="F139" i="13" s="1"/>
  <c r="F194" i="13" s="1"/>
  <c r="C50" i="13"/>
  <c r="E50" i="13"/>
  <c r="F50" i="13" s="1"/>
  <c r="F105" i="13" s="1"/>
  <c r="F160" i="13" s="1"/>
  <c r="C53" i="13"/>
  <c r="E53" i="13"/>
  <c r="F53" i="13" s="1"/>
  <c r="F108" i="13" s="1"/>
  <c r="F163" i="13" s="1"/>
  <c r="C57" i="13"/>
  <c r="E57" i="13"/>
  <c r="F57" i="13" s="1"/>
  <c r="F112" i="13" s="1"/>
  <c r="F167" i="13" s="1"/>
  <c r="C60" i="13"/>
  <c r="E60" i="13"/>
  <c r="F60" i="13" s="1"/>
  <c r="F115" i="13" s="1"/>
  <c r="F170" i="13" s="1"/>
  <c r="C64" i="13"/>
  <c r="E64" i="13"/>
  <c r="F64" i="13" s="1"/>
  <c r="F119" i="13" s="1"/>
  <c r="F174" i="13" s="1"/>
  <c r="I174" i="13" s="1"/>
  <c r="E66" i="13"/>
  <c r="F66" i="13" s="1"/>
  <c r="F121" i="13" s="1"/>
  <c r="F176" i="13" s="1"/>
  <c r="C70" i="13"/>
  <c r="E70" i="13"/>
  <c r="F70" i="13" s="1"/>
  <c r="F125" i="13" s="1"/>
  <c r="F180" i="13" s="1"/>
  <c r="E74" i="13"/>
  <c r="F74" i="13" s="1"/>
  <c r="F129" i="13" s="1"/>
  <c r="F184" i="13" s="1"/>
  <c r="C78" i="13"/>
  <c r="E78" i="13"/>
  <c r="F78" i="13" s="1"/>
  <c r="F133" i="13" s="1"/>
  <c r="F188" i="13" s="1"/>
  <c r="C82" i="13"/>
  <c r="E82" i="13"/>
  <c r="F82" i="13" s="1"/>
  <c r="F137" i="13" s="1"/>
  <c r="F192" i="13" s="1"/>
  <c r="C49" i="13"/>
  <c r="E49" i="13"/>
  <c r="F49" i="13" s="1"/>
  <c r="F104" i="13" s="1"/>
  <c r="F159" i="13" s="1"/>
  <c r="C56" i="13"/>
  <c r="E56" i="13"/>
  <c r="F56" i="13" s="1"/>
  <c r="F111" i="13" s="1"/>
  <c r="F166" i="13" s="1"/>
  <c r="C63" i="13"/>
  <c r="E63" i="13"/>
  <c r="F63" i="13" s="1"/>
  <c r="F118" i="13" s="1"/>
  <c r="F173" i="13" s="1"/>
  <c r="C69" i="13"/>
  <c r="E69" i="13"/>
  <c r="F69" i="13" s="1"/>
  <c r="F124" i="13" s="1"/>
  <c r="F179" i="13" s="1"/>
  <c r="C81" i="13"/>
  <c r="N81" i="13" s="1"/>
  <c r="E81" i="13"/>
  <c r="F81" i="13" s="1"/>
  <c r="F136" i="13" s="1"/>
  <c r="F191" i="13" s="1"/>
  <c r="C87" i="13"/>
  <c r="I87" i="13" s="1"/>
  <c r="E87" i="13"/>
  <c r="F87" i="13" s="1"/>
  <c r="F142" i="13" s="1"/>
  <c r="F197" i="13" s="1"/>
  <c r="C91" i="13"/>
  <c r="K91" i="13" s="1"/>
  <c r="E91" i="13"/>
  <c r="F91" i="13" s="1"/>
  <c r="F146" i="13" s="1"/>
  <c r="F201" i="13" s="1"/>
  <c r="C52" i="13"/>
  <c r="E52" i="13"/>
  <c r="F52" i="13" s="1"/>
  <c r="F107" i="13" s="1"/>
  <c r="F162" i="13" s="1"/>
  <c r="C59" i="13"/>
  <c r="E59" i="13"/>
  <c r="F59" i="13" s="1"/>
  <c r="F114" i="13" s="1"/>
  <c r="F169" i="13" s="1"/>
  <c r="C73" i="13"/>
  <c r="E73" i="13"/>
  <c r="F73" i="13" s="1"/>
  <c r="F128" i="13" s="1"/>
  <c r="F183" i="13" s="1"/>
  <c r="C77" i="13"/>
  <c r="E77" i="13"/>
  <c r="F77" i="13" s="1"/>
  <c r="F132" i="13" s="1"/>
  <c r="F187" i="13" s="1"/>
  <c r="C85" i="13"/>
  <c r="E85" i="13"/>
  <c r="F85" i="13" s="1"/>
  <c r="F140" i="13" s="1"/>
  <c r="F195" i="13" s="1"/>
  <c r="C89" i="13"/>
  <c r="K89" i="13" s="1"/>
  <c r="E89" i="13"/>
  <c r="F89" i="13" s="1"/>
  <c r="F144" i="13" s="1"/>
  <c r="F199" i="13" s="1"/>
  <c r="C48" i="13"/>
  <c r="E48" i="13"/>
  <c r="F48" i="13" s="1"/>
  <c r="F103" i="13" s="1"/>
  <c r="F158" i="13" s="1"/>
  <c r="C51" i="13"/>
  <c r="E51" i="13"/>
  <c r="F51" i="13" s="1"/>
  <c r="F106" i="13" s="1"/>
  <c r="F161" i="13" s="1"/>
  <c r="C55" i="13"/>
  <c r="E55" i="13"/>
  <c r="F55" i="13" s="1"/>
  <c r="F110" i="13" s="1"/>
  <c r="F165" i="13" s="1"/>
  <c r="C58" i="13"/>
  <c r="E58" i="13"/>
  <c r="F58" i="13" s="1"/>
  <c r="F113" i="13" s="1"/>
  <c r="F168" i="13" s="1"/>
  <c r="C62" i="13"/>
  <c r="E62" i="13"/>
  <c r="F62" i="13" s="1"/>
  <c r="F117" i="13" s="1"/>
  <c r="F172" i="13" s="1"/>
  <c r="C65" i="13"/>
  <c r="L65" i="13" s="1"/>
  <c r="E65" i="13"/>
  <c r="F65" i="13" s="1"/>
  <c r="F120" i="13" s="1"/>
  <c r="F175" i="13" s="1"/>
  <c r="E68" i="13"/>
  <c r="F68" i="13" s="1"/>
  <c r="F123" i="13" s="1"/>
  <c r="F178" i="13" s="1"/>
  <c r="E72" i="13"/>
  <c r="F72" i="13" s="1"/>
  <c r="F127" i="13" s="1"/>
  <c r="F182" i="13" s="1"/>
  <c r="E76" i="13"/>
  <c r="F76" i="13" s="1"/>
  <c r="F131" i="13" s="1"/>
  <c r="F186" i="13" s="1"/>
  <c r="C80" i="13"/>
  <c r="I80" i="13" s="1"/>
  <c r="E80" i="13"/>
  <c r="F80" i="13" s="1"/>
  <c r="F135" i="13" s="1"/>
  <c r="F190" i="13" s="1"/>
  <c r="C54" i="13"/>
  <c r="E54" i="13"/>
  <c r="F54" i="13" s="1"/>
  <c r="F109" i="13" s="1"/>
  <c r="F164" i="13" s="1"/>
  <c r="C61" i="13"/>
  <c r="E61" i="13"/>
  <c r="F61" i="13" s="1"/>
  <c r="F116" i="13" s="1"/>
  <c r="F171" i="13" s="1"/>
  <c r="C71" i="13"/>
  <c r="E71" i="13"/>
  <c r="F71" i="13" s="1"/>
  <c r="F126" i="13" s="1"/>
  <c r="F181" i="13" s="1"/>
  <c r="C75" i="13"/>
  <c r="E75" i="13"/>
  <c r="F75" i="13" s="1"/>
  <c r="F130" i="13" s="1"/>
  <c r="F185" i="13" s="1"/>
  <c r="C86" i="13"/>
  <c r="I86" i="13" s="1"/>
  <c r="E86" i="13"/>
  <c r="F86" i="13" s="1"/>
  <c r="F141" i="13" s="1"/>
  <c r="F196" i="13" s="1"/>
  <c r="C88" i="13"/>
  <c r="K88" i="13" s="1"/>
  <c r="E88" i="13"/>
  <c r="F88" i="13" s="1"/>
  <c r="F143" i="13" s="1"/>
  <c r="F198" i="13" s="1"/>
  <c r="I198" i="13" s="1"/>
  <c r="E90" i="13"/>
  <c r="F90" i="13" s="1"/>
  <c r="F145" i="13" s="1"/>
  <c r="F200" i="13" s="1"/>
  <c r="E92" i="13"/>
  <c r="F92" i="13" s="1"/>
  <c r="F147" i="13" s="1"/>
  <c r="F202" i="13" s="1"/>
  <c r="F145" i="27"/>
  <c r="F155" i="27"/>
  <c r="F150" i="27"/>
  <c r="C158" i="13"/>
  <c r="C191" i="13"/>
  <c r="K191" i="13" s="1"/>
  <c r="C189" i="13"/>
  <c r="K189" i="13" s="1"/>
  <c r="C115" i="13"/>
  <c r="J115" i="13" s="1"/>
  <c r="C177" i="13"/>
  <c r="C134" i="13"/>
  <c r="C126" i="13"/>
  <c r="J126" i="13" s="1"/>
  <c r="C165" i="13"/>
  <c r="J165" i="13" s="1"/>
  <c r="C102" i="13"/>
  <c r="C179" i="13"/>
  <c r="J179" i="13" s="1"/>
  <c r="C103" i="13"/>
  <c r="L103" i="13" s="1"/>
  <c r="C90" i="13"/>
  <c r="J90" i="13" s="1"/>
  <c r="C160" i="13"/>
  <c r="K160" i="13" s="1"/>
  <c r="C173" i="13"/>
  <c r="C180" i="13"/>
  <c r="K180" i="13" s="1"/>
  <c r="C196" i="13"/>
  <c r="I196" i="13" s="1"/>
  <c r="C123" i="13"/>
  <c r="J123" i="13" s="1"/>
  <c r="C136" i="13"/>
  <c r="J136" i="13" s="1"/>
  <c r="C157" i="13"/>
  <c r="J157" i="13" s="1"/>
  <c r="C163" i="13"/>
  <c r="J163" i="13" s="1"/>
  <c r="C170" i="13"/>
  <c r="J170" i="13" s="1"/>
  <c r="C186" i="13"/>
  <c r="K186" i="13" s="1"/>
  <c r="C92" i="13"/>
  <c r="I92" i="13" s="1"/>
  <c r="C162" i="13"/>
  <c r="J162" i="13" s="1"/>
  <c r="C192" i="13"/>
  <c r="I192" i="13" s="1"/>
  <c r="C200" i="13"/>
  <c r="I200" i="13" s="1"/>
  <c r="C66" i="13"/>
  <c r="C68" i="13"/>
  <c r="C72" i="13"/>
  <c r="C74" i="13"/>
  <c r="C76" i="13"/>
  <c r="C84" i="13"/>
  <c r="C159" i="13"/>
  <c r="K159" i="13" s="1"/>
  <c r="C167" i="13"/>
  <c r="K167" i="13" s="1"/>
  <c r="C183" i="13"/>
  <c r="K183" i="13" s="1"/>
  <c r="C187" i="13"/>
  <c r="I187" i="13" s="1"/>
  <c r="H190" i="13"/>
  <c r="G159" i="13"/>
  <c r="G157" i="13"/>
  <c r="G174" i="13"/>
  <c r="J174" i="13" s="1"/>
  <c r="G176" i="13"/>
  <c r="H177" i="13"/>
  <c r="H178" i="13"/>
  <c r="H179" i="13"/>
  <c r="G162" i="13"/>
  <c r="H160" i="13"/>
  <c r="G164" i="13"/>
  <c r="H165" i="13"/>
  <c r="H108" i="13"/>
  <c r="H107" i="13"/>
  <c r="H157" i="13"/>
  <c r="H158" i="13"/>
  <c r="H161" i="13"/>
  <c r="H162" i="13"/>
  <c r="H163" i="13"/>
  <c r="G169" i="13"/>
  <c r="H170" i="13"/>
  <c r="G173" i="13"/>
  <c r="G182" i="13"/>
  <c r="G188" i="13"/>
  <c r="H167" i="13"/>
  <c r="H168" i="13"/>
  <c r="G160" i="13"/>
  <c r="J178" i="13"/>
  <c r="I161" i="13"/>
  <c r="C116" i="13"/>
  <c r="K116" i="13" s="1"/>
  <c r="C128" i="13"/>
  <c r="K128" i="13" s="1"/>
  <c r="N175" i="13"/>
  <c r="I175" i="13"/>
  <c r="K175" i="13"/>
  <c r="J175" i="13"/>
  <c r="H102" i="13"/>
  <c r="G105" i="13"/>
  <c r="H106" i="13"/>
  <c r="C110" i="13"/>
  <c r="J110" i="13" s="1"/>
  <c r="C113" i="13"/>
  <c r="J113" i="13" s="1"/>
  <c r="C118" i="13"/>
  <c r="I118" i="13" s="1"/>
  <c r="C120" i="13"/>
  <c r="L120" i="13" s="1"/>
  <c r="C122" i="13"/>
  <c r="C125" i="13"/>
  <c r="K125" i="13" s="1"/>
  <c r="C133" i="13"/>
  <c r="K133" i="13" s="1"/>
  <c r="C141" i="13"/>
  <c r="I141" i="13" s="1"/>
  <c r="C144" i="13"/>
  <c r="K144" i="13" s="1"/>
  <c r="C105" i="13"/>
  <c r="K105" i="13" s="1"/>
  <c r="C147" i="13"/>
  <c r="I147" i="13" s="1"/>
  <c r="C127" i="13"/>
  <c r="K127" i="13" s="1"/>
  <c r="C139" i="13"/>
  <c r="I139" i="13" s="1"/>
  <c r="C142" i="13"/>
  <c r="K142" i="13" s="1"/>
  <c r="C145" i="13"/>
  <c r="I145" i="13" s="1"/>
  <c r="L175" i="13"/>
  <c r="K184" i="13"/>
  <c r="I184" i="13"/>
  <c r="J184" i="13"/>
  <c r="C131" i="13"/>
  <c r="K131" i="13" s="1"/>
  <c r="C137" i="13"/>
  <c r="I137" i="13" s="1"/>
  <c r="C140" i="13"/>
  <c r="K140" i="13" s="1"/>
  <c r="C104" i="13"/>
  <c r="J104" i="13" s="1"/>
  <c r="C109" i="13"/>
  <c r="L109" i="13" s="1"/>
  <c r="C121" i="13"/>
  <c r="L121" i="13" s="1"/>
  <c r="C106" i="13"/>
  <c r="L106" i="13" s="1"/>
  <c r="C107" i="13"/>
  <c r="C108" i="13"/>
  <c r="C111" i="13"/>
  <c r="K111" i="13" s="1"/>
  <c r="C114" i="13"/>
  <c r="J114" i="13" s="1"/>
  <c r="C117" i="13"/>
  <c r="J117" i="13" s="1"/>
  <c r="C119" i="13"/>
  <c r="C124" i="13"/>
  <c r="J124" i="13" s="1"/>
  <c r="C129" i="13"/>
  <c r="I129" i="13" s="1"/>
  <c r="C132" i="13"/>
  <c r="I132" i="13" s="1"/>
  <c r="C135" i="13"/>
  <c r="L135" i="13" s="1"/>
  <c r="C143" i="13"/>
  <c r="I143" i="13" s="1"/>
  <c r="C146" i="13"/>
  <c r="K146" i="13" s="1"/>
  <c r="N174" i="13"/>
  <c r="K185" i="13"/>
  <c r="I185" i="13"/>
  <c r="J185" i="13"/>
  <c r="J161" i="13"/>
  <c r="L164" i="13"/>
  <c r="J164" i="13"/>
  <c r="I164" i="13"/>
  <c r="L169" i="13"/>
  <c r="J169" i="13"/>
  <c r="I169" i="13"/>
  <c r="H172" i="13"/>
  <c r="J176" i="13"/>
  <c r="L176" i="13"/>
  <c r="I176" i="13"/>
  <c r="K178" i="13"/>
  <c r="I178" i="13"/>
  <c r="L178" i="13"/>
  <c r="H181" i="13"/>
  <c r="J182" i="13"/>
  <c r="L182" i="13"/>
  <c r="I182" i="13"/>
  <c r="G186" i="13"/>
  <c r="G195" i="13"/>
  <c r="G197" i="13"/>
  <c r="G199" i="13"/>
  <c r="H202" i="13"/>
  <c r="H200" i="13"/>
  <c r="H198" i="13"/>
  <c r="K198" i="13" s="1"/>
  <c r="H196" i="13"/>
  <c r="H194" i="13"/>
  <c r="K194" i="13" s="1"/>
  <c r="H192" i="13"/>
  <c r="G191" i="13"/>
  <c r="G190" i="13"/>
  <c r="G189" i="13"/>
  <c r="H186" i="13"/>
  <c r="G185" i="13"/>
  <c r="G184" i="13"/>
  <c r="H180" i="13"/>
  <c r="G179" i="13"/>
  <c r="G178" i="13"/>
  <c r="G177" i="13"/>
  <c r="H174" i="13"/>
  <c r="K174" i="13" s="1"/>
  <c r="H173" i="13"/>
  <c r="G172" i="13"/>
  <c r="H169" i="13"/>
  <c r="G168" i="13"/>
  <c r="G167" i="13"/>
  <c r="H164" i="13"/>
  <c r="G163" i="13"/>
  <c r="G202" i="13"/>
  <c r="G200" i="13"/>
  <c r="G198" i="13"/>
  <c r="J198" i="13" s="1"/>
  <c r="G196" i="13"/>
  <c r="G194" i="13"/>
  <c r="J194" i="13" s="1"/>
  <c r="G192" i="13"/>
  <c r="H187" i="13"/>
  <c r="H201" i="13"/>
  <c r="H199" i="13"/>
  <c r="H197" i="13"/>
  <c r="H195" i="13"/>
  <c r="H188" i="13"/>
  <c r="G187" i="13"/>
  <c r="H183" i="13"/>
  <c r="H182" i="13"/>
  <c r="G181" i="13"/>
  <c r="H176" i="13"/>
  <c r="G175" i="13"/>
  <c r="H171" i="13"/>
  <c r="G170" i="13"/>
  <c r="H166" i="13"/>
  <c r="K166" i="13" s="1"/>
  <c r="G165" i="13"/>
  <c r="G158" i="13"/>
  <c r="H159" i="13"/>
  <c r="G161" i="13"/>
  <c r="K161" i="13"/>
  <c r="K164" i="13"/>
  <c r="G166" i="13"/>
  <c r="K169" i="13"/>
  <c r="G171" i="13"/>
  <c r="H175" i="13"/>
  <c r="K176" i="13"/>
  <c r="G180" i="13"/>
  <c r="H184" i="13"/>
  <c r="H185" i="13"/>
  <c r="J188" i="13"/>
  <c r="I188" i="13"/>
  <c r="L188" i="13"/>
  <c r="H189" i="13"/>
  <c r="K190" i="13"/>
  <c r="J190" i="13"/>
  <c r="L190" i="13" s="1"/>
  <c r="I190" i="13"/>
  <c r="H191" i="13"/>
  <c r="J166" i="13"/>
  <c r="I166" i="13"/>
  <c r="K168" i="13"/>
  <c r="I168" i="13"/>
  <c r="L168" i="13"/>
  <c r="J171" i="13"/>
  <c r="L171" i="13"/>
  <c r="I171" i="13"/>
  <c r="K172" i="13"/>
  <c r="I172" i="13"/>
  <c r="L172" i="13"/>
  <c r="I181" i="13"/>
  <c r="K181" i="13"/>
  <c r="L181" i="13"/>
  <c r="G183" i="13"/>
  <c r="J195" i="13"/>
  <c r="I195" i="13"/>
  <c r="L195" i="13"/>
  <c r="J197" i="13"/>
  <c r="I197" i="13"/>
  <c r="L197" i="13"/>
  <c r="J199" i="13"/>
  <c r="I199" i="13"/>
  <c r="L199" i="13"/>
  <c r="J201" i="13"/>
  <c r="I201" i="13"/>
  <c r="L201" i="13"/>
  <c r="L202" i="13"/>
  <c r="K202" i="13"/>
  <c r="J202" i="13"/>
  <c r="G118" i="13"/>
  <c r="G107" i="13"/>
  <c r="G109" i="13"/>
  <c r="H110" i="13"/>
  <c r="H124" i="13"/>
  <c r="H112" i="13"/>
  <c r="H113" i="13"/>
  <c r="G121" i="13"/>
  <c r="H122" i="13"/>
  <c r="H135" i="13"/>
  <c r="H103" i="13"/>
  <c r="H105" i="13"/>
  <c r="H123" i="13"/>
  <c r="G127" i="13"/>
  <c r="G133" i="13"/>
  <c r="G114" i="13"/>
  <c r="H115" i="13"/>
  <c r="K130" i="13"/>
  <c r="I130" i="13"/>
  <c r="J130" i="13"/>
  <c r="G104" i="13"/>
  <c r="H117" i="13"/>
  <c r="H126" i="13"/>
  <c r="G140" i="13"/>
  <c r="G142" i="13"/>
  <c r="G144" i="13"/>
  <c r="G136" i="13"/>
  <c r="G135" i="13"/>
  <c r="G134" i="13"/>
  <c r="G130" i="13"/>
  <c r="G129" i="13"/>
  <c r="G124" i="13"/>
  <c r="G123" i="13"/>
  <c r="G122" i="13"/>
  <c r="G117" i="13"/>
  <c r="G113" i="13"/>
  <c r="G112" i="13"/>
  <c r="G108" i="13"/>
  <c r="G137" i="13"/>
  <c r="G132" i="13"/>
  <c r="G126" i="13"/>
  <c r="G120" i="13"/>
  <c r="G115" i="13"/>
  <c r="G110" i="13"/>
  <c r="H147" i="13"/>
  <c r="H145" i="13"/>
  <c r="H143" i="13"/>
  <c r="H141" i="13"/>
  <c r="H139" i="13"/>
  <c r="H137" i="13"/>
  <c r="H131" i="13"/>
  <c r="H125" i="13"/>
  <c r="H119" i="13"/>
  <c r="H118" i="13"/>
  <c r="H114" i="13"/>
  <c r="H109" i="13"/>
  <c r="G147" i="13"/>
  <c r="G145" i="13"/>
  <c r="G143" i="13"/>
  <c r="G141" i="13"/>
  <c r="G139" i="13"/>
  <c r="H132" i="13"/>
  <c r="H146" i="13"/>
  <c r="H144" i="13"/>
  <c r="H142" i="13"/>
  <c r="H140" i="13"/>
  <c r="H133" i="13"/>
  <c r="H128" i="13"/>
  <c r="H127" i="13"/>
  <c r="H121" i="13"/>
  <c r="H116" i="13"/>
  <c r="H111" i="13"/>
  <c r="G103" i="13"/>
  <c r="H104" i="13"/>
  <c r="G106" i="13"/>
  <c r="G111" i="13"/>
  <c r="G116" i="13"/>
  <c r="H120" i="13"/>
  <c r="G125" i="13"/>
  <c r="H129" i="13"/>
  <c r="H130" i="13"/>
  <c r="H134" i="13"/>
  <c r="H136" i="13"/>
  <c r="G102" i="13"/>
  <c r="K112" i="13"/>
  <c r="I112" i="13"/>
  <c r="L112" i="13"/>
  <c r="G119" i="13"/>
  <c r="G128" i="13"/>
  <c r="L166" i="13" l="1"/>
  <c r="L194" i="13"/>
  <c r="I107" i="13"/>
  <c r="F47" i="13"/>
  <c r="F102" i="13" s="1"/>
  <c r="F157" i="13" s="1"/>
  <c r="E276" i="3"/>
  <c r="G47" i="13"/>
  <c r="N47" i="13"/>
  <c r="I47" i="13"/>
  <c r="J108" i="13"/>
  <c r="L198" i="13"/>
  <c r="I119" i="13"/>
  <c r="L62" i="13"/>
  <c r="N62" i="13"/>
  <c r="L55" i="13"/>
  <c r="N55" i="13"/>
  <c r="K69" i="13"/>
  <c r="N69" i="13"/>
  <c r="L56" i="13"/>
  <c r="N56" i="13"/>
  <c r="L82" i="13"/>
  <c r="N82" i="13"/>
  <c r="L50" i="13"/>
  <c r="N50" i="13"/>
  <c r="I71" i="13"/>
  <c r="N71" i="13"/>
  <c r="K54" i="13"/>
  <c r="N54" i="13"/>
  <c r="K70" i="13"/>
  <c r="N70" i="13"/>
  <c r="I73" i="13"/>
  <c r="N73" i="13"/>
  <c r="K58" i="13"/>
  <c r="N58" i="13"/>
  <c r="L51" i="13"/>
  <c r="N51" i="13"/>
  <c r="I77" i="13"/>
  <c r="N77" i="13"/>
  <c r="K59" i="13"/>
  <c r="N59" i="13"/>
  <c r="K49" i="13"/>
  <c r="N49" i="13"/>
  <c r="L78" i="13"/>
  <c r="N78" i="13"/>
  <c r="L60" i="13"/>
  <c r="N60" i="13"/>
  <c r="K53" i="13"/>
  <c r="N53" i="13"/>
  <c r="L48" i="13"/>
  <c r="N48" i="13"/>
  <c r="J76" i="13"/>
  <c r="N76" i="13"/>
  <c r="L66" i="13"/>
  <c r="N66" i="13"/>
  <c r="L75" i="13"/>
  <c r="N75" i="13"/>
  <c r="I61" i="13"/>
  <c r="N61" i="13"/>
  <c r="K79" i="13"/>
  <c r="I75" i="13"/>
  <c r="I79" i="13"/>
  <c r="J75" i="13"/>
  <c r="L79" i="13"/>
  <c r="L59" i="13"/>
  <c r="I158" i="13"/>
  <c r="K75" i="13"/>
  <c r="H69" i="13"/>
  <c r="H75" i="13"/>
  <c r="H73" i="13"/>
  <c r="H50" i="13"/>
  <c r="H74" i="13"/>
  <c r="G69" i="13"/>
  <c r="G74" i="13"/>
  <c r="G57" i="13"/>
  <c r="H60" i="13"/>
  <c r="H55" i="13"/>
  <c r="H49" i="13"/>
  <c r="G73" i="13"/>
  <c r="L71" i="13"/>
  <c r="G91" i="13"/>
  <c r="J71" i="13"/>
  <c r="K71" i="13"/>
  <c r="G55" i="13"/>
  <c r="G60" i="13"/>
  <c r="I67" i="13"/>
  <c r="H89" i="13"/>
  <c r="G49" i="13"/>
  <c r="H87" i="13"/>
  <c r="H65" i="13"/>
  <c r="G81" i="13"/>
  <c r="J81" i="13" s="1"/>
  <c r="G53" i="13"/>
  <c r="H84" i="13"/>
  <c r="K84" i="13" s="1"/>
  <c r="H78" i="13"/>
  <c r="H66" i="13"/>
  <c r="G87" i="13"/>
  <c r="H59" i="13"/>
  <c r="G75" i="13"/>
  <c r="H48" i="13"/>
  <c r="G89" i="13"/>
  <c r="G71" i="13"/>
  <c r="H47" i="13"/>
  <c r="H77" i="13"/>
  <c r="G62" i="13"/>
  <c r="G48" i="13"/>
  <c r="H90" i="13"/>
  <c r="G77" i="13"/>
  <c r="H62" i="13"/>
  <c r="H71" i="13"/>
  <c r="H54" i="13"/>
  <c r="H53" i="13"/>
  <c r="H91" i="13"/>
  <c r="G90" i="13"/>
  <c r="H63" i="13"/>
  <c r="G63" i="13"/>
  <c r="H72" i="13"/>
  <c r="G84" i="13"/>
  <c r="G82" i="13"/>
  <c r="H79" i="13"/>
  <c r="G59" i="13"/>
  <c r="G78" i="13"/>
  <c r="H51" i="13"/>
  <c r="G51" i="13"/>
  <c r="G72" i="13"/>
  <c r="G70" i="13"/>
  <c r="H67" i="13"/>
  <c r="K67" i="13" s="1"/>
  <c r="H81" i="13"/>
  <c r="G66" i="13"/>
  <c r="G88" i="13"/>
  <c r="H85" i="13"/>
  <c r="G58" i="13"/>
  <c r="H57" i="13"/>
  <c r="K57" i="13" s="1"/>
  <c r="G54" i="13"/>
  <c r="G76" i="13"/>
  <c r="G85" i="13"/>
  <c r="H92" i="13"/>
  <c r="G92" i="13"/>
  <c r="H88" i="13"/>
  <c r="G64" i="13"/>
  <c r="H61" i="13"/>
  <c r="H82" i="13"/>
  <c r="H80" i="13"/>
  <c r="G80" i="13"/>
  <c r="G79" i="13"/>
  <c r="H76" i="13"/>
  <c r="G52" i="13"/>
  <c r="J52" i="13" s="1"/>
  <c r="G61" i="13"/>
  <c r="H70" i="13"/>
  <c r="H68" i="13"/>
  <c r="G68" i="13"/>
  <c r="G67" i="13"/>
  <c r="H64" i="13"/>
  <c r="H86" i="13"/>
  <c r="G65" i="13"/>
  <c r="G50" i="13"/>
  <c r="H58" i="13"/>
  <c r="H56" i="13"/>
  <c r="G56" i="13"/>
  <c r="H52" i="13"/>
  <c r="K52" i="13" s="1"/>
  <c r="G86" i="13"/>
  <c r="J48" i="13"/>
  <c r="K48" i="13"/>
  <c r="K47" i="13"/>
  <c r="J47" i="13"/>
  <c r="L61" i="13"/>
  <c r="J61" i="13"/>
  <c r="K61" i="13"/>
  <c r="I48" i="13"/>
  <c r="J158" i="13"/>
  <c r="J51" i="13"/>
  <c r="K200" i="13"/>
  <c r="J86" i="13"/>
  <c r="L86" i="13"/>
  <c r="I59" i="13"/>
  <c r="J59" i="13"/>
  <c r="J103" i="13"/>
  <c r="K51" i="13"/>
  <c r="L70" i="13"/>
  <c r="L63" i="13"/>
  <c r="K63" i="13"/>
  <c r="K158" i="13"/>
  <c r="I63" i="13"/>
  <c r="J70" i="13"/>
  <c r="J63" i="13"/>
  <c r="I70" i="13"/>
  <c r="I51" i="13"/>
  <c r="L180" i="13"/>
  <c r="K132" i="13"/>
  <c r="K187" i="13"/>
  <c r="I78" i="13"/>
  <c r="J78" i="13"/>
  <c r="K86" i="13"/>
  <c r="L189" i="13"/>
  <c r="I189" i="13"/>
  <c r="L191" i="13"/>
  <c r="J189" i="13"/>
  <c r="L179" i="13"/>
  <c r="I191" i="13"/>
  <c r="J191" i="13"/>
  <c r="K78" i="13"/>
  <c r="H519" i="19"/>
  <c r="K519" i="19" s="1"/>
  <c r="N519" i="19" s="1"/>
  <c r="I126" i="13"/>
  <c r="I123" i="13"/>
  <c r="K115" i="13"/>
  <c r="K123" i="13"/>
  <c r="I115" i="13"/>
  <c r="L126" i="13"/>
  <c r="L115" i="13"/>
  <c r="I179" i="13"/>
  <c r="J159" i="13"/>
  <c r="L114" i="13"/>
  <c r="L192" i="13"/>
  <c r="K179" i="13"/>
  <c r="I177" i="13"/>
  <c r="L159" i="13"/>
  <c r="L200" i="13"/>
  <c r="J122" i="13"/>
  <c r="L122" i="13" s="1"/>
  <c r="L128" i="13"/>
  <c r="L187" i="13"/>
  <c r="J200" i="13"/>
  <c r="J177" i="13"/>
  <c r="K177" i="13"/>
  <c r="I159" i="13"/>
  <c r="L163" i="13"/>
  <c r="K136" i="13"/>
  <c r="K90" i="13"/>
  <c r="L165" i="13"/>
  <c r="L90" i="13"/>
  <c r="L136" i="13"/>
  <c r="I163" i="13"/>
  <c r="K165" i="13"/>
  <c r="I136" i="13"/>
  <c r="K163" i="13"/>
  <c r="I165" i="13"/>
  <c r="J167" i="13"/>
  <c r="J187" i="13"/>
  <c r="I124" i="13"/>
  <c r="J186" i="13"/>
  <c r="K102" i="13"/>
  <c r="L134" i="13"/>
  <c r="L162" i="13"/>
  <c r="K134" i="13"/>
  <c r="L160" i="13"/>
  <c r="L183" i="13"/>
  <c r="I134" i="13"/>
  <c r="L186" i="13"/>
  <c r="I157" i="13"/>
  <c r="I162" i="13"/>
  <c r="I160" i="13"/>
  <c r="K157" i="13"/>
  <c r="K103" i="13"/>
  <c r="I102" i="13"/>
  <c r="J134" i="13"/>
  <c r="I180" i="13"/>
  <c r="I167" i="13"/>
  <c r="K162" i="13"/>
  <c r="J160" i="13"/>
  <c r="J102" i="13"/>
  <c r="I103" i="13"/>
  <c r="J180" i="13"/>
  <c r="I186" i="13"/>
  <c r="J145" i="13"/>
  <c r="K126" i="13"/>
  <c r="J118" i="13"/>
  <c r="K107" i="13"/>
  <c r="J196" i="13"/>
  <c r="I173" i="13"/>
  <c r="L170" i="13"/>
  <c r="J183" i="13"/>
  <c r="K145" i="13"/>
  <c r="K137" i="13"/>
  <c r="L123" i="13"/>
  <c r="K196" i="13"/>
  <c r="J192" i="13"/>
  <c r="J173" i="13"/>
  <c r="K170" i="13"/>
  <c r="L137" i="13"/>
  <c r="L196" i="13"/>
  <c r="K173" i="13"/>
  <c r="K192" i="13"/>
  <c r="L173" i="13"/>
  <c r="I170" i="13"/>
  <c r="I183" i="13"/>
  <c r="J106" i="13"/>
  <c r="I106" i="13"/>
  <c r="K106" i="13"/>
  <c r="K119" i="13"/>
  <c r="L132" i="13"/>
  <c r="J119" i="13"/>
  <c r="J132" i="13"/>
  <c r="L141" i="13"/>
  <c r="K121" i="13"/>
  <c r="K110" i="13"/>
  <c r="I133" i="13"/>
  <c r="I120" i="13"/>
  <c r="J62" i="13"/>
  <c r="I52" i="13"/>
  <c r="J58" i="13"/>
  <c r="J133" i="13"/>
  <c r="I84" i="13"/>
  <c r="I110" i="13"/>
  <c r="L89" i="13"/>
  <c r="I54" i="13"/>
  <c r="K139" i="13"/>
  <c r="L131" i="13"/>
  <c r="L129" i="13"/>
  <c r="J65" i="13"/>
  <c r="L133" i="13"/>
  <c r="I122" i="13"/>
  <c r="L110" i="13"/>
  <c r="K122" i="13"/>
  <c r="K143" i="13"/>
  <c r="K129" i="13"/>
  <c r="I142" i="13"/>
  <c r="K117" i="13"/>
  <c r="L111" i="13"/>
  <c r="K104" i="13"/>
  <c r="J142" i="13"/>
  <c r="K135" i="13"/>
  <c r="J128" i="13"/>
  <c r="J141" i="13"/>
  <c r="I140" i="13"/>
  <c r="I135" i="13"/>
  <c r="I131" i="13"/>
  <c r="J121" i="13"/>
  <c r="J120" i="13"/>
  <c r="I128" i="13"/>
  <c r="I104" i="13"/>
  <c r="L140" i="13"/>
  <c r="J111" i="13"/>
  <c r="N120" i="13"/>
  <c r="L104" i="13"/>
  <c r="L142" i="13"/>
  <c r="K141" i="13"/>
  <c r="J140" i="13"/>
  <c r="I113" i="13"/>
  <c r="I111" i="13"/>
  <c r="J135" i="13"/>
  <c r="J131" i="13"/>
  <c r="K120" i="13"/>
  <c r="L174" i="13"/>
  <c r="I68" i="13"/>
  <c r="J54" i="13"/>
  <c r="K87" i="13"/>
  <c r="L68" i="13"/>
  <c r="K113" i="13"/>
  <c r="I108" i="13"/>
  <c r="K68" i="13"/>
  <c r="K73" i="13"/>
  <c r="J89" i="13"/>
  <c r="L73" i="13"/>
  <c r="L54" i="13"/>
  <c r="I90" i="13"/>
  <c r="J147" i="13"/>
  <c r="L147" i="13" s="1"/>
  <c r="I146" i="13"/>
  <c r="L145" i="13"/>
  <c r="L116" i="13"/>
  <c r="K108" i="13"/>
  <c r="I121" i="13"/>
  <c r="I114" i="13"/>
  <c r="N119" i="13"/>
  <c r="I89" i="13"/>
  <c r="L146" i="13"/>
  <c r="K124" i="13"/>
  <c r="J107" i="13"/>
  <c r="J73" i="13"/>
  <c r="K147" i="13"/>
  <c r="J146" i="13"/>
  <c r="L144" i="13"/>
  <c r="L125" i="13"/>
  <c r="L113" i="13"/>
  <c r="K114" i="13"/>
  <c r="J137" i="13"/>
  <c r="L124" i="13"/>
  <c r="L157" i="13"/>
  <c r="L167" i="13"/>
  <c r="I203" i="13"/>
  <c r="L177" i="13"/>
  <c r="J60" i="13"/>
  <c r="I91" i="13"/>
  <c r="I62" i="13"/>
  <c r="L58" i="13"/>
  <c r="I58" i="13"/>
  <c r="I144" i="13"/>
  <c r="L143" i="13"/>
  <c r="I116" i="13"/>
  <c r="I127" i="13"/>
  <c r="L118" i="13"/>
  <c r="I109" i="13"/>
  <c r="I105" i="13"/>
  <c r="L105" i="13" s="1"/>
  <c r="K62" i="13"/>
  <c r="L127" i="13"/>
  <c r="J109" i="13"/>
  <c r="J105" i="13"/>
  <c r="J129" i="13"/>
  <c r="J144" i="13"/>
  <c r="I125" i="13"/>
  <c r="L117" i="13"/>
  <c r="J80" i="13"/>
  <c r="J143" i="13"/>
  <c r="J139" i="13"/>
  <c r="L139" i="13" s="1"/>
  <c r="J125" i="13"/>
  <c r="I117" i="13"/>
  <c r="J116" i="13"/>
  <c r="K118" i="13"/>
  <c r="K109" i="13"/>
  <c r="J127" i="13"/>
  <c r="L76" i="13"/>
  <c r="I55" i="13"/>
  <c r="L49" i="13"/>
  <c r="I85" i="13"/>
  <c r="L85" i="13" s="1"/>
  <c r="J85" i="13"/>
  <c r="J91" i="13"/>
  <c r="J53" i="13"/>
  <c r="K56" i="13"/>
  <c r="J49" i="13"/>
  <c r="K85" i="13"/>
  <c r="K76" i="13"/>
  <c r="J66" i="13"/>
  <c r="I53" i="13"/>
  <c r="L53" i="13" s="1"/>
  <c r="I56" i="13"/>
  <c r="I76" i="13"/>
  <c r="J55" i="13"/>
  <c r="L80" i="13"/>
  <c r="K80" i="13"/>
  <c r="J56" i="13"/>
  <c r="I49" i="13"/>
  <c r="L91" i="13"/>
  <c r="J72" i="13"/>
  <c r="J82" i="13"/>
  <c r="K55" i="13"/>
  <c r="K77" i="13"/>
  <c r="J74" i="13"/>
  <c r="K82" i="13"/>
  <c r="I82" i="13"/>
  <c r="L74" i="13"/>
  <c r="K81" i="13"/>
  <c r="I65" i="13"/>
  <c r="L87" i="13"/>
  <c r="J77" i="13"/>
  <c r="J92" i="13"/>
  <c r="I64" i="13"/>
  <c r="I74" i="13"/>
  <c r="K64" i="13"/>
  <c r="N64" i="13"/>
  <c r="K92" i="13"/>
  <c r="I72" i="13"/>
  <c r="I81" i="13"/>
  <c r="K74" i="13"/>
  <c r="L77" i="13"/>
  <c r="L92" i="13"/>
  <c r="K72" i="13"/>
  <c r="J68" i="13"/>
  <c r="L72" i="13"/>
  <c r="K65" i="13"/>
  <c r="L88" i="13"/>
  <c r="J87" i="13"/>
  <c r="K60" i="13"/>
  <c r="I57" i="13"/>
  <c r="I50" i="13"/>
  <c r="L69" i="13"/>
  <c r="J69" i="13"/>
  <c r="I60" i="13"/>
  <c r="I66" i="13"/>
  <c r="I88" i="13"/>
  <c r="K66" i="13"/>
  <c r="J50" i="13"/>
  <c r="J88" i="13"/>
  <c r="I69" i="13"/>
  <c r="K50" i="13"/>
  <c r="N65" i="13"/>
  <c r="L47" i="13"/>
  <c r="I59" i="3" l="1"/>
  <c r="E159" i="3" s="1"/>
  <c r="G287" i="3"/>
  <c r="I287" i="3" s="1"/>
  <c r="E391" i="3" s="1"/>
  <c r="H181" i="3"/>
  <c r="F172" i="3"/>
  <c r="H172" i="3" s="1"/>
  <c r="F170" i="3"/>
  <c r="H170" i="3" s="1"/>
  <c r="F180" i="3"/>
  <c r="H180" i="3" s="1"/>
  <c r="F178" i="3"/>
  <c r="H178" i="3" s="1"/>
  <c r="F179" i="3"/>
  <c r="H179" i="3" s="1"/>
  <c r="F176" i="3"/>
  <c r="H176" i="3" s="1"/>
  <c r="F177" i="3"/>
  <c r="H177" i="3" s="1"/>
  <c r="F175" i="3"/>
  <c r="H175" i="3" s="1"/>
  <c r="F287" i="3"/>
  <c r="H287" i="3" s="1"/>
  <c r="E390" i="3" s="1"/>
  <c r="H58" i="3"/>
  <c r="E158" i="3" s="1"/>
  <c r="J57" i="13"/>
  <c r="L57" i="13"/>
  <c r="J64" i="13"/>
  <c r="F171" i="3"/>
  <c r="H171" i="3" s="1"/>
  <c r="J67" i="13"/>
  <c r="L67" i="13" s="1"/>
  <c r="J84" i="13"/>
  <c r="J93" i="13" s="1"/>
  <c r="L108" i="13"/>
  <c r="L84" i="13"/>
  <c r="L93" i="13" s="1"/>
  <c r="L119" i="13"/>
  <c r="L64" i="13"/>
  <c r="L107" i="13"/>
  <c r="N552" i="19"/>
  <c r="K552" i="19"/>
  <c r="I93" i="13"/>
  <c r="L81" i="13"/>
  <c r="L102" i="13"/>
  <c r="L158" i="13"/>
  <c r="L193" i="13" s="1"/>
  <c r="K203" i="13"/>
  <c r="L203" i="13"/>
  <c r="J203" i="13"/>
  <c r="K193" i="13"/>
  <c r="I193" i="13"/>
  <c r="J193" i="13"/>
  <c r="K148" i="13"/>
  <c r="I148" i="13"/>
  <c r="J148" i="13"/>
  <c r="I138" i="13"/>
  <c r="L148" i="13"/>
  <c r="K138" i="13"/>
  <c r="J138" i="13"/>
  <c r="K93" i="13"/>
  <c r="K83" i="13"/>
  <c r="L52" i="13"/>
  <c r="I83" i="13"/>
  <c r="J83" i="13" l="1"/>
  <c r="L138" i="13"/>
  <c r="L83" i="13"/>
  <c r="B15" i="53" l="1"/>
  <c r="C15" i="53" s="1"/>
  <c r="M286" i="3"/>
  <c r="M169" i="3"/>
  <c r="E6" i="2"/>
  <c r="F238" i="27" l="1"/>
  <c r="E238" i="27"/>
  <c r="E239" i="27" s="1"/>
  <c r="E240" i="27" s="1"/>
  <c r="J165" i="26" l="1"/>
  <c r="I165" i="26"/>
  <c r="H165" i="26"/>
  <c r="F173" i="3" l="1"/>
  <c r="H173" i="3" s="1"/>
  <c r="F174" i="3"/>
  <c r="H174" i="3" s="1"/>
  <c r="I166" i="26"/>
  <c r="E79" i="54"/>
  <c r="I78" i="54" s="1"/>
  <c r="D79" i="54"/>
  <c r="H78" i="54" s="1"/>
  <c r="E71" i="54"/>
  <c r="I70" i="54" s="1"/>
  <c r="D71" i="54"/>
  <c r="B30" i="54"/>
  <c r="C12" i="54"/>
  <c r="H70" i="54" l="1"/>
  <c r="J70" i="54" s="1"/>
  <c r="J78" i="54"/>
  <c r="D19" i="53"/>
  <c r="E19" i="53"/>
  <c r="C19" i="53"/>
  <c r="D32" i="36"/>
  <c r="D31" i="36"/>
  <c r="D30" i="36"/>
  <c r="D29" i="36"/>
  <c r="A13" i="7" l="1" a="1"/>
  <c r="A13" i="7" s="1"/>
  <c r="M190" i="13"/>
  <c r="N190" i="13" s="1"/>
  <c r="M184" i="13"/>
  <c r="N184" i="13" s="1"/>
  <c r="M182" i="13"/>
  <c r="N182" i="13" s="1"/>
  <c r="M178" i="13"/>
  <c r="N178" i="13" s="1"/>
  <c r="M173" i="13"/>
  <c r="N173" i="13" s="1"/>
  <c r="M167" i="13"/>
  <c r="N167" i="13" s="1"/>
  <c r="M135" i="13"/>
  <c r="N135" i="13" s="1"/>
  <c r="M129" i="13"/>
  <c r="N129" i="13" s="1"/>
  <c r="M127" i="13"/>
  <c r="N127" i="13" s="1"/>
  <c r="M123" i="13"/>
  <c r="N123" i="13" s="1"/>
  <c r="M118" i="13"/>
  <c r="N118" i="13" s="1"/>
  <c r="M112" i="13"/>
  <c r="N112" i="13" s="1"/>
  <c r="N74" i="13"/>
  <c r="N79" i="13"/>
  <c r="N67" i="13"/>
  <c r="M189" i="13"/>
  <c r="N189" i="13" s="1"/>
  <c r="M177" i="13"/>
  <c r="N177" i="13" s="1"/>
  <c r="M162" i="13"/>
  <c r="N162" i="13" s="1"/>
  <c r="M122" i="13"/>
  <c r="N122" i="13" s="1"/>
  <c r="M107" i="13"/>
  <c r="N80" i="13"/>
  <c r="N72" i="13"/>
  <c r="N68" i="13"/>
  <c r="N63" i="13"/>
  <c r="M134" i="13"/>
  <c r="N134" i="13" s="1"/>
  <c r="B12" i="53"/>
  <c r="U369" i="20"/>
  <c r="U405" i="20"/>
  <c r="N107" i="13" l="1"/>
  <c r="N138" i="13" s="1"/>
  <c r="F402" i="3"/>
  <c r="F407" i="3" s="1"/>
  <c r="N57" i="13"/>
  <c r="N52" i="13"/>
  <c r="N193" i="13"/>
  <c r="U114" i="20"/>
  <c r="U106" i="20"/>
  <c r="U98" i="20"/>
  <c r="U94" i="20"/>
  <c r="U86" i="20"/>
  <c r="U78" i="20"/>
  <c r="U74" i="20"/>
  <c r="U66" i="20"/>
  <c r="U58" i="20"/>
  <c r="U50" i="20"/>
  <c r="U42" i="20"/>
  <c r="U34" i="20"/>
  <c r="U26" i="20"/>
  <c r="U21" i="20"/>
  <c r="U117" i="20"/>
  <c r="U113" i="20"/>
  <c r="U109" i="20"/>
  <c r="U105" i="20"/>
  <c r="U101" i="20"/>
  <c r="U97" i="20"/>
  <c r="U93" i="20"/>
  <c r="U89" i="20"/>
  <c r="U85" i="20"/>
  <c r="U81" i="20"/>
  <c r="U77" i="20"/>
  <c r="U73" i="20"/>
  <c r="U69" i="20"/>
  <c r="U65" i="20"/>
  <c r="U61" i="20"/>
  <c r="U57" i="20"/>
  <c r="U53" i="20"/>
  <c r="U49" i="20"/>
  <c r="U45" i="20"/>
  <c r="U41" i="20"/>
  <c r="U37" i="20"/>
  <c r="U33" i="20"/>
  <c r="U29" i="20"/>
  <c r="U25" i="20"/>
  <c r="T217" i="20"/>
  <c r="T213" i="20"/>
  <c r="T209" i="20"/>
  <c r="T205" i="20"/>
  <c r="T201" i="20"/>
  <c r="T197" i="20"/>
  <c r="T193" i="20"/>
  <c r="T189" i="20"/>
  <c r="T185" i="20"/>
  <c r="T181" i="20"/>
  <c r="T177" i="20"/>
  <c r="T173" i="20"/>
  <c r="T169" i="20"/>
  <c r="T165" i="20"/>
  <c r="T161" i="20"/>
  <c r="T157" i="20"/>
  <c r="U116" i="20"/>
  <c r="U108" i="20"/>
  <c r="U100" i="20"/>
  <c r="U92" i="20"/>
  <c r="U84" i="20"/>
  <c r="U76" i="20"/>
  <c r="U68" i="20"/>
  <c r="U60" i="20"/>
  <c r="U52" i="20"/>
  <c r="U44" i="20"/>
  <c r="U36" i="20"/>
  <c r="U28" i="20"/>
  <c r="U120" i="20"/>
  <c r="U112" i="20"/>
  <c r="U104" i="20"/>
  <c r="U96" i="20"/>
  <c r="U88" i="20"/>
  <c r="U80" i="20"/>
  <c r="U72" i="20"/>
  <c r="U64" i="20"/>
  <c r="U56" i="20"/>
  <c r="U48" i="20"/>
  <c r="U40" i="20"/>
  <c r="U32" i="20"/>
  <c r="U119" i="20"/>
  <c r="U115" i="20"/>
  <c r="U111" i="20"/>
  <c r="U107" i="20"/>
  <c r="U103" i="20"/>
  <c r="U99" i="20"/>
  <c r="U95" i="20"/>
  <c r="U91" i="20"/>
  <c r="U87" i="20"/>
  <c r="U83" i="20"/>
  <c r="U79" i="20"/>
  <c r="U75" i="20"/>
  <c r="U71" i="20"/>
  <c r="U67" i="20"/>
  <c r="U63" i="20"/>
  <c r="U59" i="20"/>
  <c r="U55" i="20"/>
  <c r="U51" i="20"/>
  <c r="U47" i="20"/>
  <c r="U43" i="20"/>
  <c r="U39" i="20"/>
  <c r="U35" i="20"/>
  <c r="U31" i="20"/>
  <c r="U27" i="20"/>
  <c r="T219" i="20"/>
  <c r="T215" i="20"/>
  <c r="T211" i="20"/>
  <c r="T207" i="20"/>
  <c r="T203" i="20"/>
  <c r="T199" i="20"/>
  <c r="T195" i="20"/>
  <c r="T191" i="20"/>
  <c r="T187" i="20"/>
  <c r="T183" i="20"/>
  <c r="T179" i="20"/>
  <c r="T175" i="20"/>
  <c r="T171" i="20"/>
  <c r="T167" i="20"/>
  <c r="T163" i="20"/>
  <c r="T159" i="20"/>
  <c r="T155" i="20"/>
  <c r="T151" i="20"/>
  <c r="T147" i="20"/>
  <c r="T143" i="20"/>
  <c r="T139" i="20"/>
  <c r="T135" i="20"/>
  <c r="T131" i="20"/>
  <c r="T127" i="20"/>
  <c r="U319" i="20"/>
  <c r="U315" i="20"/>
  <c r="U311" i="20"/>
  <c r="U307" i="20"/>
  <c r="U303" i="20"/>
  <c r="U299" i="20"/>
  <c r="U295" i="20"/>
  <c r="U291" i="20"/>
  <c r="U287" i="20"/>
  <c r="U283" i="20"/>
  <c r="U279" i="20"/>
  <c r="U275" i="20"/>
  <c r="U271" i="20"/>
  <c r="U267" i="20"/>
  <c r="U118" i="20"/>
  <c r="U110" i="20"/>
  <c r="U102" i="20"/>
  <c r="U90" i="20"/>
  <c r="U82" i="20"/>
  <c r="U70" i="20"/>
  <c r="U62" i="20"/>
  <c r="U54" i="20"/>
  <c r="U46" i="20"/>
  <c r="U38" i="20"/>
  <c r="U30" i="20"/>
  <c r="T218" i="20"/>
  <c r="T214" i="20"/>
  <c r="T210" i="20"/>
  <c r="T206" i="20"/>
  <c r="T202" i="20"/>
  <c r="T198" i="20"/>
  <c r="T194" i="20"/>
  <c r="T190" i="20"/>
  <c r="T186" i="20"/>
  <c r="T182" i="20"/>
  <c r="T178" i="20"/>
  <c r="T174" i="20"/>
  <c r="T170" i="20"/>
  <c r="T166" i="20"/>
  <c r="T162" i="20"/>
  <c r="T158" i="20"/>
  <c r="T154" i="20"/>
  <c r="T150" i="20"/>
  <c r="T146" i="20"/>
  <c r="T142" i="20"/>
  <c r="T138" i="20"/>
  <c r="T134" i="20"/>
  <c r="T130" i="20"/>
  <c r="T126" i="20"/>
  <c r="T122" i="20"/>
  <c r="U318" i="20"/>
  <c r="U314" i="20"/>
  <c r="U310" i="20"/>
  <c r="U306" i="20"/>
  <c r="U302" i="20"/>
  <c r="U298" i="20"/>
  <c r="U294" i="20"/>
  <c r="U290" i="20"/>
  <c r="U286" i="20"/>
  <c r="U282" i="20"/>
  <c r="U278" i="20"/>
  <c r="U274" i="20"/>
  <c r="U270" i="20"/>
  <c r="U266" i="20"/>
  <c r="U262" i="20"/>
  <c r="U258" i="20"/>
  <c r="U254" i="20"/>
  <c r="U250" i="20"/>
  <c r="U246" i="20"/>
  <c r="U242" i="20"/>
  <c r="U238" i="20"/>
  <c r="U234" i="20"/>
  <c r="U230" i="20"/>
  <c r="U226" i="20"/>
  <c r="U418" i="20"/>
  <c r="U414" i="20"/>
  <c r="U410" i="20"/>
  <c r="U406" i="20"/>
  <c r="U402" i="20"/>
  <c r="U398" i="20"/>
  <c r="U394" i="20"/>
  <c r="U390" i="20"/>
  <c r="U386" i="20"/>
  <c r="U382" i="20"/>
  <c r="U378" i="20"/>
  <c r="U374" i="20"/>
  <c r="U370" i="20"/>
  <c r="U366" i="20"/>
  <c r="U362" i="20"/>
  <c r="U358" i="20"/>
  <c r="U354" i="20"/>
  <c r="U350" i="20"/>
  <c r="U346" i="20"/>
  <c r="U342" i="20"/>
  <c r="U338" i="20"/>
  <c r="U334" i="20"/>
  <c r="U330" i="20"/>
  <c r="U326" i="20"/>
  <c r="U322" i="20"/>
  <c r="T153" i="20"/>
  <c r="T149" i="20"/>
  <c r="T145" i="20"/>
  <c r="T141" i="20"/>
  <c r="T137" i="20"/>
  <c r="T133" i="20"/>
  <c r="T129" i="20"/>
  <c r="T125" i="20"/>
  <c r="U317" i="20"/>
  <c r="U313" i="20"/>
  <c r="U309" i="20"/>
  <c r="U305" i="20"/>
  <c r="U301" i="20"/>
  <c r="U297" i="20"/>
  <c r="U293" i="20"/>
  <c r="U289" i="20"/>
  <c r="U285" i="20"/>
  <c r="U281" i="20"/>
  <c r="U277" i="20"/>
  <c r="U273" i="20"/>
  <c r="U269" i="20"/>
  <c r="U265" i="20"/>
  <c r="U261" i="20"/>
  <c r="U257" i="20"/>
  <c r="U253" i="20"/>
  <c r="U249" i="20"/>
  <c r="U245" i="20"/>
  <c r="U241" i="20"/>
  <c r="U237" i="20"/>
  <c r="U233" i="20"/>
  <c r="U229" i="20"/>
  <c r="U225" i="20"/>
  <c r="U417" i="20"/>
  <c r="U413" i="20"/>
  <c r="U409" i="20"/>
  <c r="U401" i="20"/>
  <c r="U397" i="20"/>
  <c r="U393" i="20"/>
  <c r="U389" i="20"/>
  <c r="U385" i="20"/>
  <c r="U381" i="20"/>
  <c r="U377" i="20"/>
  <c r="U373" i="20"/>
  <c r="U24" i="20"/>
  <c r="T220" i="20"/>
  <c r="T216" i="20"/>
  <c r="T212" i="20"/>
  <c r="T208" i="20"/>
  <c r="T204" i="20"/>
  <c r="T200" i="20"/>
  <c r="T196" i="20"/>
  <c r="T192" i="20"/>
  <c r="T188" i="20"/>
  <c r="T184" i="20"/>
  <c r="T180" i="20"/>
  <c r="T176" i="20"/>
  <c r="T172" i="20"/>
  <c r="T168" i="20"/>
  <c r="T164" i="20"/>
  <c r="T160" i="20"/>
  <c r="T156" i="20"/>
  <c r="T152" i="20"/>
  <c r="T148" i="20"/>
  <c r="T144" i="20"/>
  <c r="T140" i="20"/>
  <c r="T136" i="20"/>
  <c r="T132" i="20"/>
  <c r="T128" i="20"/>
  <c r="T124" i="20"/>
  <c r="U320" i="20"/>
  <c r="U316" i="20"/>
  <c r="U312" i="20"/>
  <c r="U308" i="20"/>
  <c r="U304" i="20"/>
  <c r="U300" i="20"/>
  <c r="U296" i="20"/>
  <c r="U292" i="20"/>
  <c r="U288" i="20"/>
  <c r="U284" i="20"/>
  <c r="U280" i="20"/>
  <c r="U276" i="20"/>
  <c r="U272" i="20"/>
  <c r="U268" i="20"/>
  <c r="U264" i="20"/>
  <c r="U260" i="20"/>
  <c r="U256" i="20"/>
  <c r="U252" i="20"/>
  <c r="U248" i="20"/>
  <c r="U244" i="20"/>
  <c r="U240" i="20"/>
  <c r="U236" i="20"/>
  <c r="U232" i="20"/>
  <c r="U228" i="20"/>
  <c r="U224" i="20"/>
  <c r="U420" i="20"/>
  <c r="U416" i="20"/>
  <c r="U412" i="20"/>
  <c r="U408" i="20"/>
  <c r="U404" i="20"/>
  <c r="U400" i="20"/>
  <c r="U396" i="20"/>
  <c r="U392" i="20"/>
  <c r="U388" i="20"/>
  <c r="U384" i="20"/>
  <c r="U380" i="20"/>
  <c r="U376" i="20"/>
  <c r="U372" i="20"/>
  <c r="U368" i="20"/>
  <c r="U364" i="20"/>
  <c r="U360" i="20"/>
  <c r="U356" i="20"/>
  <c r="U352" i="20"/>
  <c r="U348" i="20"/>
  <c r="U344" i="20"/>
  <c r="U340" i="20"/>
  <c r="U336" i="20"/>
  <c r="U332" i="20"/>
  <c r="U328" i="20"/>
  <c r="U324" i="20"/>
  <c r="U263" i="20"/>
  <c r="U259" i="20"/>
  <c r="U255" i="20"/>
  <c r="U251" i="20"/>
  <c r="U247" i="20"/>
  <c r="U243" i="20"/>
  <c r="U239" i="20"/>
  <c r="U235" i="20"/>
  <c r="U231" i="20"/>
  <c r="U227" i="20"/>
  <c r="U223" i="20"/>
  <c r="U419" i="20"/>
  <c r="U415" i="20"/>
  <c r="U411" i="20"/>
  <c r="U407" i="20"/>
  <c r="U403" i="20"/>
  <c r="U399" i="20"/>
  <c r="U395" i="20"/>
  <c r="U391" i="20"/>
  <c r="U387" i="20"/>
  <c r="U383" i="20"/>
  <c r="U379" i="20"/>
  <c r="U375" i="20"/>
  <c r="U371" i="20"/>
  <c r="U367" i="20"/>
  <c r="U363" i="20"/>
  <c r="U359" i="20"/>
  <c r="U355" i="20"/>
  <c r="U351" i="20"/>
  <c r="U347" i="20"/>
  <c r="U343" i="20"/>
  <c r="U339" i="20"/>
  <c r="U335" i="20"/>
  <c r="U331" i="20"/>
  <c r="U327" i="20"/>
  <c r="U323" i="20"/>
  <c r="U365" i="20"/>
  <c r="U361" i="20"/>
  <c r="U357" i="20"/>
  <c r="U353" i="20"/>
  <c r="U349" i="20"/>
  <c r="U345" i="20"/>
  <c r="U341" i="20"/>
  <c r="U337" i="20"/>
  <c r="U333" i="20"/>
  <c r="U329" i="20"/>
  <c r="U325" i="20"/>
  <c r="E402" i="3" l="1"/>
  <c r="E407" i="3" s="1"/>
  <c r="N83" i="13"/>
  <c r="J52" i="12" l="1"/>
  <c r="E384" i="27" l="1"/>
  <c r="A218" i="32"/>
  <c r="C218" i="32" s="1"/>
  <c r="A219" i="32"/>
  <c r="D219" i="32" s="1"/>
  <c r="A220" i="32"/>
  <c r="C220" i="32" s="1"/>
  <c r="A221" i="32"/>
  <c r="E221" i="32" s="1"/>
  <c r="A217" i="32"/>
  <c r="E217" i="32" s="1"/>
  <c r="A192" i="32"/>
  <c r="E192" i="32" s="1"/>
  <c r="A193" i="32"/>
  <c r="C193" i="32" s="1"/>
  <c r="A194" i="32"/>
  <c r="C194" i="32" s="1"/>
  <c r="A195" i="32"/>
  <c r="D195" i="32" s="1"/>
  <c r="A196" i="32"/>
  <c r="C196" i="32" s="1"/>
  <c r="A197" i="32"/>
  <c r="C197" i="32" s="1"/>
  <c r="A198" i="32"/>
  <c r="C198" i="32" s="1"/>
  <c r="A199" i="32"/>
  <c r="C199" i="32" s="1"/>
  <c r="A200" i="32"/>
  <c r="E200" i="32" s="1"/>
  <c r="A201" i="32"/>
  <c r="C201" i="32" s="1"/>
  <c r="A202" i="32"/>
  <c r="E202" i="32" s="1"/>
  <c r="A203" i="32"/>
  <c r="C203" i="32" s="1"/>
  <c r="A204" i="32"/>
  <c r="D204" i="32" s="1"/>
  <c r="A205" i="32"/>
  <c r="C205" i="32" s="1"/>
  <c r="A206" i="32"/>
  <c r="C206" i="32" s="1"/>
  <c r="A207" i="32"/>
  <c r="C207" i="32" s="1"/>
  <c r="A208" i="32"/>
  <c r="E208" i="32" s="1"/>
  <c r="A209" i="32"/>
  <c r="D209" i="32" s="1"/>
  <c r="A210" i="32"/>
  <c r="C210" i="32" s="1"/>
  <c r="A211" i="32"/>
  <c r="D211" i="32" s="1"/>
  <c r="A212" i="32"/>
  <c r="D212" i="32" s="1"/>
  <c r="A213" i="32"/>
  <c r="C213" i="32" s="1"/>
  <c r="A214" i="32"/>
  <c r="C214" i="32" s="1"/>
  <c r="A215" i="32"/>
  <c r="C215" i="32" s="1"/>
  <c r="A216" i="32"/>
  <c r="E216" i="32" s="1"/>
  <c r="A191" i="32"/>
  <c r="A179" i="32"/>
  <c r="D179" i="32" s="1"/>
  <c r="A180" i="32"/>
  <c r="C180" i="32" s="1"/>
  <c r="A181" i="32"/>
  <c r="C181" i="32" s="1"/>
  <c r="A182" i="32"/>
  <c r="C182" i="32" s="1"/>
  <c r="A178" i="32"/>
  <c r="D178" i="32" s="1"/>
  <c r="A153" i="32"/>
  <c r="E153" i="32" s="1"/>
  <c r="A154" i="32"/>
  <c r="D154" i="32" s="1"/>
  <c r="A155" i="32"/>
  <c r="D155" i="32" s="1"/>
  <c r="A156" i="32"/>
  <c r="C156" i="32" s="1"/>
  <c r="A157" i="32"/>
  <c r="C157" i="32" s="1"/>
  <c r="A158" i="32"/>
  <c r="D158" i="32" s="1"/>
  <c r="A159" i="32"/>
  <c r="D159" i="32" s="1"/>
  <c r="A160" i="32"/>
  <c r="C160" i="32" s="1"/>
  <c r="A161" i="32"/>
  <c r="E161" i="32" s="1"/>
  <c r="A162" i="32"/>
  <c r="D162" i="32" s="1"/>
  <c r="A163" i="32"/>
  <c r="D163" i="32" s="1"/>
  <c r="A164" i="32"/>
  <c r="C164" i="32" s="1"/>
  <c r="A165" i="32"/>
  <c r="C165" i="32" s="1"/>
  <c r="A166" i="32"/>
  <c r="D166" i="32" s="1"/>
  <c r="A167" i="32"/>
  <c r="D167" i="32" s="1"/>
  <c r="A168" i="32"/>
  <c r="C168" i="32" s="1"/>
  <c r="A169" i="32"/>
  <c r="E169" i="32" s="1"/>
  <c r="A170" i="32"/>
  <c r="D170" i="32" s="1"/>
  <c r="A171" i="32"/>
  <c r="D171" i="32" s="1"/>
  <c r="A172" i="32"/>
  <c r="C172" i="32" s="1"/>
  <c r="A173" i="32"/>
  <c r="C173" i="32" s="1"/>
  <c r="A174" i="32"/>
  <c r="D174" i="32" s="1"/>
  <c r="A175" i="32"/>
  <c r="D175" i="32" s="1"/>
  <c r="A176" i="32"/>
  <c r="C176" i="32" s="1"/>
  <c r="A177" i="32"/>
  <c r="E177" i="32" s="1"/>
  <c r="A152" i="32"/>
  <c r="C152" i="32" s="1"/>
  <c r="F82" i="32"/>
  <c r="G82" i="32" s="1"/>
  <c r="H82" i="32"/>
  <c r="F194" i="3" l="1"/>
  <c r="H194" i="3" s="1"/>
  <c r="F193" i="3"/>
  <c r="H193" i="3" s="1"/>
  <c r="C216" i="32"/>
  <c r="E214" i="32"/>
  <c r="E195" i="32"/>
  <c r="D214" i="32"/>
  <c r="D194" i="32"/>
  <c r="C208" i="32"/>
  <c r="E207" i="32"/>
  <c r="D221" i="32"/>
  <c r="E203" i="32"/>
  <c r="C221" i="32"/>
  <c r="D202" i="32"/>
  <c r="E194" i="32"/>
  <c r="D218" i="32"/>
  <c r="C202" i="32"/>
  <c r="E218" i="32"/>
  <c r="E206" i="32"/>
  <c r="C200" i="32"/>
  <c r="C212" i="32"/>
  <c r="D206" i="32"/>
  <c r="E199" i="32"/>
  <c r="D217" i="32"/>
  <c r="E211" i="32"/>
  <c r="E198" i="32"/>
  <c r="C217" i="32"/>
  <c r="E210" i="32"/>
  <c r="C204" i="32"/>
  <c r="D198" i="32"/>
  <c r="D210" i="32"/>
  <c r="E215" i="32"/>
  <c r="C191" i="32"/>
  <c r="E219" i="32"/>
  <c r="C209" i="32"/>
  <c r="E191" i="32"/>
  <c r="D203" i="32"/>
  <c r="D182" i="32"/>
  <c r="C219" i="32"/>
  <c r="D216" i="32"/>
  <c r="E213" i="32"/>
  <c r="C211" i="32"/>
  <c r="D208" i="32"/>
  <c r="E205" i="32"/>
  <c r="D200" i="32"/>
  <c r="E197" i="32"/>
  <c r="C195" i="32"/>
  <c r="D192" i="32"/>
  <c r="D213" i="32"/>
  <c r="D205" i="32"/>
  <c r="D197" i="32"/>
  <c r="C192" i="32"/>
  <c r="E220" i="32"/>
  <c r="D215" i="32"/>
  <c r="E212" i="32"/>
  <c r="D207" i="32"/>
  <c r="E204" i="32"/>
  <c r="E196" i="32"/>
  <c r="D199" i="32"/>
  <c r="D220" i="32"/>
  <c r="E209" i="32"/>
  <c r="E201" i="32"/>
  <c r="D196" i="32"/>
  <c r="E193" i="32"/>
  <c r="D201" i="32"/>
  <c r="D193" i="32"/>
  <c r="E173" i="32"/>
  <c r="E160" i="32"/>
  <c r="E157" i="32"/>
  <c r="C175" i="32"/>
  <c r="C167" i="32"/>
  <c r="C171" i="32"/>
  <c r="E181" i="32"/>
  <c r="E159" i="32"/>
  <c r="E176" i="32"/>
  <c r="C163" i="32"/>
  <c r="E175" i="32"/>
  <c r="C162" i="32"/>
  <c r="C159" i="32"/>
  <c r="E168" i="32"/>
  <c r="C179" i="32"/>
  <c r="C155" i="32"/>
  <c r="E167" i="32"/>
  <c r="C178" i="32"/>
  <c r="C154" i="32"/>
  <c r="E165" i="32"/>
  <c r="C169" i="32"/>
  <c r="C161" i="32"/>
  <c r="C153" i="32"/>
  <c r="D176" i="32"/>
  <c r="D168" i="32"/>
  <c r="D160" i="32"/>
  <c r="E152" i="32"/>
  <c r="E182" i="32"/>
  <c r="E174" i="32"/>
  <c r="E166" i="32"/>
  <c r="E158" i="32"/>
  <c r="D169" i="32"/>
  <c r="D177" i="32"/>
  <c r="D153" i="32"/>
  <c r="C174" i="32"/>
  <c r="C166" i="32"/>
  <c r="D181" i="32"/>
  <c r="D173" i="32"/>
  <c r="D165" i="32"/>
  <c r="D157" i="32"/>
  <c r="E180" i="32"/>
  <c r="E172" i="32"/>
  <c r="E164" i="32"/>
  <c r="E156" i="32"/>
  <c r="C177" i="32"/>
  <c r="D180" i="32"/>
  <c r="D172" i="32"/>
  <c r="D164" i="32"/>
  <c r="D156" i="32"/>
  <c r="E179" i="32"/>
  <c r="E171" i="32"/>
  <c r="E163" i="32"/>
  <c r="E155" i="32"/>
  <c r="C170" i="32"/>
  <c r="D161" i="32"/>
  <c r="E178" i="32"/>
  <c r="E170" i="32"/>
  <c r="E162" i="32"/>
  <c r="E154" i="32"/>
  <c r="G375" i="27"/>
  <c r="D13" i="42"/>
  <c r="D14" i="42"/>
  <c r="D15" i="42"/>
  <c r="D16" i="42"/>
  <c r="F17" i="42"/>
  <c r="D18" i="42"/>
  <c r="D19" i="42"/>
  <c r="D22" i="42"/>
  <c r="D23" i="42"/>
  <c r="D24" i="42"/>
  <c r="F25" i="42"/>
  <c r="D26" i="42"/>
  <c r="D27" i="42"/>
  <c r="D29" i="42"/>
  <c r="D30" i="42"/>
  <c r="D31" i="42"/>
  <c r="D32" i="42"/>
  <c r="F33" i="42"/>
  <c r="D35" i="42"/>
  <c r="D38" i="42"/>
  <c r="D39" i="42"/>
  <c r="D40" i="42"/>
  <c r="F41" i="42"/>
  <c r="D43" i="42"/>
  <c r="D45" i="42"/>
  <c r="D46" i="42"/>
  <c r="D47" i="42"/>
  <c r="D48" i="42"/>
  <c r="F49" i="42"/>
  <c r="D50" i="42"/>
  <c r="D51" i="42"/>
  <c r="D54" i="42"/>
  <c r="D55" i="42"/>
  <c r="D56" i="42"/>
  <c r="F57" i="42"/>
  <c r="D58" i="42"/>
  <c r="D59" i="42"/>
  <c r="D61" i="42"/>
  <c r="D62" i="42"/>
  <c r="D63" i="42"/>
  <c r="D64" i="42"/>
  <c r="F65" i="42"/>
  <c r="D66" i="42"/>
  <c r="D67" i="42"/>
  <c r="D70" i="42"/>
  <c r="D71" i="42"/>
  <c r="D72" i="42"/>
  <c r="F73" i="42"/>
  <c r="D74" i="42"/>
  <c r="D75" i="42"/>
  <c r="D77" i="42"/>
  <c r="D78" i="42"/>
  <c r="D79" i="42"/>
  <c r="D80" i="42"/>
  <c r="F81" i="42"/>
  <c r="D82" i="42"/>
  <c r="D83" i="42"/>
  <c r="D86" i="42"/>
  <c r="D87" i="42"/>
  <c r="D88" i="42"/>
  <c r="F89" i="42"/>
  <c r="D90" i="42"/>
  <c r="D91" i="42"/>
  <c r="D93" i="42"/>
  <c r="D94" i="42"/>
  <c r="D95" i="42"/>
  <c r="D96" i="42"/>
  <c r="F97" i="42"/>
  <c r="D98" i="42"/>
  <c r="D99" i="42"/>
  <c r="D102" i="42"/>
  <c r="D103" i="42"/>
  <c r="D104" i="42"/>
  <c r="F105" i="42"/>
  <c r="D106" i="42"/>
  <c r="D107" i="42"/>
  <c r="D109" i="42"/>
  <c r="E222" i="32" l="1"/>
  <c r="D57" i="42"/>
  <c r="C222" i="32"/>
  <c r="F18" i="42"/>
  <c r="F13" i="42"/>
  <c r="F72" i="42"/>
  <c r="F50" i="42"/>
  <c r="F106" i="42"/>
  <c r="F26" i="42"/>
  <c r="D42" i="42"/>
  <c r="F56" i="42"/>
  <c r="D41" i="42"/>
  <c r="F82" i="42"/>
  <c r="F64" i="42"/>
  <c r="D33" i="42"/>
  <c r="F90" i="42"/>
  <c r="F69" i="42"/>
  <c r="F53" i="42"/>
  <c r="D49" i="42"/>
  <c r="F34" i="42"/>
  <c r="F66" i="42"/>
  <c r="F58" i="42"/>
  <c r="D34" i="42"/>
  <c r="F98" i="42"/>
  <c r="F74" i="42"/>
  <c r="F48" i="42"/>
  <c r="F42" i="42"/>
  <c r="E183" i="32"/>
  <c r="F109" i="42"/>
  <c r="F104" i="42"/>
  <c r="F101" i="42"/>
  <c r="F96" i="42"/>
  <c r="F93" i="42"/>
  <c r="F88" i="42"/>
  <c r="F85" i="42"/>
  <c r="F80" i="42"/>
  <c r="D73" i="42"/>
  <c r="D65" i="42"/>
  <c r="F21" i="42"/>
  <c r="D105" i="42"/>
  <c r="D97" i="42"/>
  <c r="D89" i="42"/>
  <c r="D81" i="42"/>
  <c r="F40" i="42"/>
  <c r="F37" i="42"/>
  <c r="F32" i="42"/>
  <c r="F103" i="42"/>
  <c r="D101" i="42"/>
  <c r="F87" i="42"/>
  <c r="D85" i="42"/>
  <c r="F71" i="42"/>
  <c r="D69" i="42"/>
  <c r="F55" i="42"/>
  <c r="D53" i="42"/>
  <c r="F39" i="42"/>
  <c r="D37" i="42"/>
  <c r="D28" i="42"/>
  <c r="F23" i="42"/>
  <c r="D21" i="42"/>
  <c r="F10" i="42"/>
  <c r="F77" i="42"/>
  <c r="F61" i="42"/>
  <c r="F45" i="42"/>
  <c r="F29" i="42"/>
  <c r="D100" i="42"/>
  <c r="D84" i="42"/>
  <c r="D68" i="42"/>
  <c r="D52" i="42"/>
  <c r="D36" i="42"/>
  <c r="D25" i="42"/>
  <c r="F20" i="42"/>
  <c r="F95" i="42"/>
  <c r="F79" i="42"/>
  <c r="F63" i="42"/>
  <c r="F47" i="42"/>
  <c r="F31" i="42"/>
  <c r="D20" i="42"/>
  <c r="F15" i="42"/>
  <c r="D108" i="42"/>
  <c r="D92" i="42"/>
  <c r="D76" i="42"/>
  <c r="D60" i="42"/>
  <c r="D44" i="42"/>
  <c r="F28" i="42"/>
  <c r="D17" i="42"/>
  <c r="F24" i="42"/>
  <c r="F16" i="42"/>
  <c r="F107" i="42"/>
  <c r="F99" i="42"/>
  <c r="F91" i="42"/>
  <c r="F83" i="42"/>
  <c r="F75" i="42"/>
  <c r="F67" i="42"/>
  <c r="F59" i="42"/>
  <c r="F51" i="42"/>
  <c r="F43" i="42"/>
  <c r="F35" i="42"/>
  <c r="F27" i="42"/>
  <c r="F19" i="42"/>
  <c r="F102" i="42"/>
  <c r="F94" i="42"/>
  <c r="F86" i="42"/>
  <c r="F78" i="42"/>
  <c r="F70" i="42"/>
  <c r="F62" i="42"/>
  <c r="F54" i="42"/>
  <c r="F46" i="42"/>
  <c r="F38" i="42"/>
  <c r="F30" i="42"/>
  <c r="F22" i="42"/>
  <c r="F14" i="42"/>
  <c r="F108" i="42"/>
  <c r="F100" i="42"/>
  <c r="F92" i="42"/>
  <c r="F84" i="42"/>
  <c r="F76" i="42"/>
  <c r="F68" i="42"/>
  <c r="F60" i="42"/>
  <c r="F52" i="42"/>
  <c r="F44" i="42"/>
  <c r="F36" i="42"/>
  <c r="H55" i="26" l="1"/>
  <c r="J55" i="26" s="1"/>
  <c r="H56" i="26"/>
  <c r="H57" i="26"/>
  <c r="J57" i="26" s="1"/>
  <c r="H58" i="26"/>
  <c r="J58" i="26" s="1"/>
  <c r="H59" i="26"/>
  <c r="L59" i="26" s="1"/>
  <c r="H60" i="26"/>
  <c r="J60" i="26" s="1"/>
  <c r="H61" i="26"/>
  <c r="J61" i="26" s="1"/>
  <c r="H62" i="26"/>
  <c r="L62" i="26" s="1"/>
  <c r="H63" i="26"/>
  <c r="J63" i="26" s="1"/>
  <c r="H64" i="26"/>
  <c r="L64" i="26" s="1"/>
  <c r="H65" i="26"/>
  <c r="J65" i="26" s="1"/>
  <c r="H66" i="26"/>
  <c r="J66" i="26" s="1"/>
  <c r="H67" i="26"/>
  <c r="K67" i="26" s="1"/>
  <c r="H68" i="26"/>
  <c r="J68" i="26" s="1"/>
  <c r="H69" i="26"/>
  <c r="J69" i="26" s="1"/>
  <c r="H70" i="26"/>
  <c r="H71" i="26"/>
  <c r="J71" i="26" s="1"/>
  <c r="H72" i="26"/>
  <c r="J72" i="26" s="1"/>
  <c r="H73" i="26"/>
  <c r="K73" i="26" s="1"/>
  <c r="H74" i="26"/>
  <c r="J74" i="26" s="1"/>
  <c r="H75" i="26"/>
  <c r="K75" i="26" s="1"/>
  <c r="H76" i="26"/>
  <c r="J76" i="26" s="1"/>
  <c r="H77" i="26"/>
  <c r="J77" i="26" s="1"/>
  <c r="H78" i="26"/>
  <c r="J78" i="26" s="1"/>
  <c r="H79" i="26"/>
  <c r="J79" i="26" s="1"/>
  <c r="H80" i="26"/>
  <c r="L80" i="26" s="1"/>
  <c r="H81" i="26"/>
  <c r="J81" i="26" s="1"/>
  <c r="H82" i="26"/>
  <c r="J82" i="26" s="1"/>
  <c r="H83" i="26"/>
  <c r="K83" i="26" s="1"/>
  <c r="H84" i="26"/>
  <c r="J84" i="26" s="1"/>
  <c r="H85" i="26"/>
  <c r="J85" i="26" s="1"/>
  <c r="H86" i="26"/>
  <c r="H87" i="26"/>
  <c r="J87" i="26" s="1"/>
  <c r="H88" i="26"/>
  <c r="J88" i="26" s="1"/>
  <c r="H89" i="26"/>
  <c r="J89" i="26" s="1"/>
  <c r="H90" i="26"/>
  <c r="J90" i="26" s="1"/>
  <c r="H91" i="26"/>
  <c r="K91" i="26" s="1"/>
  <c r="H92" i="26"/>
  <c r="L92" i="26" s="1"/>
  <c r="H93" i="26"/>
  <c r="J93" i="26" s="1"/>
  <c r="H94" i="26"/>
  <c r="J94" i="26" s="1"/>
  <c r="H95" i="26"/>
  <c r="J95" i="26" s="1"/>
  <c r="H96" i="26"/>
  <c r="L96" i="26" s="1"/>
  <c r="H97" i="26"/>
  <c r="J97" i="26" s="1"/>
  <c r="H98" i="26"/>
  <c r="J98" i="26" s="1"/>
  <c r="H99" i="26"/>
  <c r="K99" i="26" s="1"/>
  <c r="H100" i="26"/>
  <c r="K100" i="26" s="1"/>
  <c r="H101" i="26"/>
  <c r="J101" i="26" s="1"/>
  <c r="H102" i="26"/>
  <c r="H103" i="26"/>
  <c r="J103" i="26" s="1"/>
  <c r="H104" i="26"/>
  <c r="H105" i="26"/>
  <c r="K105" i="26" s="1"/>
  <c r="H106" i="26"/>
  <c r="J106" i="26" s="1"/>
  <c r="H107" i="26"/>
  <c r="K107" i="26" s="1"/>
  <c r="H108" i="26"/>
  <c r="J108" i="26" s="1"/>
  <c r="H109" i="26"/>
  <c r="J109" i="26" s="1"/>
  <c r="H110" i="26"/>
  <c r="J110" i="26" s="1"/>
  <c r="H111" i="26"/>
  <c r="J111" i="26" s="1"/>
  <c r="H112" i="26"/>
  <c r="L112" i="26" s="1"/>
  <c r="H113" i="26"/>
  <c r="H114" i="26"/>
  <c r="J114" i="26" s="1"/>
  <c r="H115" i="26"/>
  <c r="J115" i="26" s="1"/>
  <c r="H116" i="26"/>
  <c r="J116" i="26" s="1"/>
  <c r="H117" i="26"/>
  <c r="J117" i="26" s="1"/>
  <c r="H118" i="26"/>
  <c r="J118" i="26" s="1"/>
  <c r="H119" i="26"/>
  <c r="J119" i="26" s="1"/>
  <c r="H120" i="26"/>
  <c r="H121" i="26"/>
  <c r="K121" i="26" s="1"/>
  <c r="H122" i="26"/>
  <c r="J122" i="26" s="1"/>
  <c r="H123" i="26"/>
  <c r="L123" i="26" s="1"/>
  <c r="H124" i="26"/>
  <c r="H125" i="26"/>
  <c r="J125" i="26" s="1"/>
  <c r="H126" i="26"/>
  <c r="J126" i="26" s="1"/>
  <c r="H127" i="26"/>
  <c r="J127" i="26" s="1"/>
  <c r="H128" i="26"/>
  <c r="J128" i="26" s="1"/>
  <c r="H129" i="26"/>
  <c r="K129" i="26" s="1"/>
  <c r="H130" i="26"/>
  <c r="J130" i="26" s="1"/>
  <c r="H131" i="26"/>
  <c r="H132" i="26"/>
  <c r="K132" i="26" s="1"/>
  <c r="H133" i="26"/>
  <c r="J133" i="26" s="1"/>
  <c r="H134" i="26"/>
  <c r="J134" i="26" s="1"/>
  <c r="H135" i="26"/>
  <c r="J135" i="26" s="1"/>
  <c r="H136" i="26"/>
  <c r="K136" i="26" s="1"/>
  <c r="H137" i="26"/>
  <c r="J137" i="26" s="1"/>
  <c r="H138" i="26"/>
  <c r="J138" i="26" s="1"/>
  <c r="H139" i="26"/>
  <c r="L139" i="26" s="1"/>
  <c r="H140" i="26"/>
  <c r="H141" i="26"/>
  <c r="J141" i="26" s="1"/>
  <c r="H142" i="26"/>
  <c r="H143" i="26"/>
  <c r="J143" i="26" s="1"/>
  <c r="H144" i="26"/>
  <c r="H145" i="26"/>
  <c r="J145" i="26" s="1"/>
  <c r="H146" i="26"/>
  <c r="J146" i="26" s="1"/>
  <c r="H147" i="26"/>
  <c r="L147" i="26" s="1"/>
  <c r="H148" i="26"/>
  <c r="L148" i="26" s="1"/>
  <c r="H149" i="26"/>
  <c r="J149" i="26" s="1"/>
  <c r="H150" i="26"/>
  <c r="J150" i="26" s="1"/>
  <c r="H151" i="26"/>
  <c r="H152" i="26"/>
  <c r="K152" i="26" s="1"/>
  <c r="H153" i="26"/>
  <c r="H54" i="26"/>
  <c r="B55" i="26"/>
  <c r="B56" i="26"/>
  <c r="B57" i="26"/>
  <c r="F57" i="26" s="1"/>
  <c r="B58" i="26"/>
  <c r="B59" i="26"/>
  <c r="B60" i="26"/>
  <c r="E60" i="26" s="1"/>
  <c r="B61" i="26"/>
  <c r="D61" i="26" s="1"/>
  <c r="B62" i="26"/>
  <c r="B63" i="26"/>
  <c r="D63" i="26" s="1"/>
  <c r="B64" i="26"/>
  <c r="B65" i="26"/>
  <c r="F65" i="26" s="1"/>
  <c r="B66" i="26"/>
  <c r="B67" i="26"/>
  <c r="D67" i="26" s="1"/>
  <c r="B68" i="26"/>
  <c r="E68" i="26" s="1"/>
  <c r="B69" i="26"/>
  <c r="D69" i="26" s="1"/>
  <c r="B70" i="26"/>
  <c r="D70" i="26" s="1"/>
  <c r="B71" i="26"/>
  <c r="D71" i="26" s="1"/>
  <c r="B72" i="26"/>
  <c r="B73" i="26"/>
  <c r="F73" i="26" s="1"/>
  <c r="B74" i="26"/>
  <c r="B75" i="26"/>
  <c r="D75" i="26" s="1"/>
  <c r="B76" i="26"/>
  <c r="F76" i="26" s="1"/>
  <c r="B77" i="26"/>
  <c r="D77" i="26" s="1"/>
  <c r="B78" i="26"/>
  <c r="D78" i="26" s="1"/>
  <c r="B79" i="26"/>
  <c r="D79" i="26" s="1"/>
  <c r="B80" i="26"/>
  <c r="B81" i="26"/>
  <c r="F81" i="26" s="1"/>
  <c r="B82" i="26"/>
  <c r="B83" i="26"/>
  <c r="D83" i="26" s="1"/>
  <c r="B84" i="26"/>
  <c r="F84" i="26" s="1"/>
  <c r="B85" i="26"/>
  <c r="D85" i="26" s="1"/>
  <c r="B86" i="26"/>
  <c r="D86" i="26" s="1"/>
  <c r="B87" i="26"/>
  <c r="E87" i="26" s="1"/>
  <c r="B88" i="26"/>
  <c r="F88" i="26" s="1"/>
  <c r="B89" i="26"/>
  <c r="F89" i="26" s="1"/>
  <c r="B90" i="26"/>
  <c r="B91" i="26"/>
  <c r="D91" i="26" s="1"/>
  <c r="B92" i="26"/>
  <c r="F92" i="26" s="1"/>
  <c r="B93" i="26"/>
  <c r="D93" i="26" s="1"/>
  <c r="B94" i="26"/>
  <c r="F94" i="26" s="1"/>
  <c r="B95" i="26"/>
  <c r="E95" i="26" s="1"/>
  <c r="B96" i="26"/>
  <c r="B97" i="26"/>
  <c r="F97" i="26" s="1"/>
  <c r="B98" i="26"/>
  <c r="B99" i="26"/>
  <c r="D99" i="26" s="1"/>
  <c r="B100" i="26"/>
  <c r="F100" i="26" s="1"/>
  <c r="B101" i="26"/>
  <c r="D101" i="26" s="1"/>
  <c r="B102" i="26"/>
  <c r="E102" i="26" s="1"/>
  <c r="B103" i="26"/>
  <c r="E103" i="26" s="1"/>
  <c r="B104" i="26"/>
  <c r="F104" i="26" s="1"/>
  <c r="B105" i="26"/>
  <c r="F105" i="26" s="1"/>
  <c r="B106" i="26"/>
  <c r="B107" i="26"/>
  <c r="D107" i="26" s="1"/>
  <c r="B108" i="26"/>
  <c r="F108" i="26" s="1"/>
  <c r="B109" i="26"/>
  <c r="D109" i="26" s="1"/>
  <c r="B110" i="26"/>
  <c r="D110" i="26" s="1"/>
  <c r="B111" i="26"/>
  <c r="E111" i="26" s="1"/>
  <c r="B112" i="26"/>
  <c r="B113" i="26"/>
  <c r="F113" i="26" s="1"/>
  <c r="B114" i="26"/>
  <c r="B115" i="26"/>
  <c r="D115" i="26" s="1"/>
  <c r="B116" i="26"/>
  <c r="F116" i="26" s="1"/>
  <c r="B117" i="26"/>
  <c r="D117" i="26" s="1"/>
  <c r="B118" i="26"/>
  <c r="D118" i="26" s="1"/>
  <c r="B119" i="26"/>
  <c r="E119" i="26" s="1"/>
  <c r="B120" i="26"/>
  <c r="B121" i="26"/>
  <c r="F121" i="26" s="1"/>
  <c r="B122" i="26"/>
  <c r="B123" i="26"/>
  <c r="D123" i="26" s="1"/>
  <c r="B124" i="26"/>
  <c r="F124" i="26" s="1"/>
  <c r="B125" i="26"/>
  <c r="D125" i="26" s="1"/>
  <c r="B126" i="26"/>
  <c r="D126" i="26" s="1"/>
  <c r="B127" i="26"/>
  <c r="E127" i="26" s="1"/>
  <c r="B128" i="26"/>
  <c r="B129" i="26"/>
  <c r="F129" i="26" s="1"/>
  <c r="B130" i="26"/>
  <c r="B131" i="26"/>
  <c r="D131" i="26" s="1"/>
  <c r="B132" i="26"/>
  <c r="F132" i="26" s="1"/>
  <c r="B133" i="26"/>
  <c r="D133" i="26" s="1"/>
  <c r="B134" i="26"/>
  <c r="D134" i="26" s="1"/>
  <c r="B135" i="26"/>
  <c r="E135" i="26" s="1"/>
  <c r="B136" i="26"/>
  <c r="B137" i="26"/>
  <c r="F137" i="26" s="1"/>
  <c r="B138" i="26"/>
  <c r="B139" i="26"/>
  <c r="D139" i="26" s="1"/>
  <c r="B140" i="26"/>
  <c r="F140" i="26" s="1"/>
  <c r="B141" i="26"/>
  <c r="D141" i="26" s="1"/>
  <c r="B142" i="26"/>
  <c r="E142" i="26" s="1"/>
  <c r="B143" i="26"/>
  <c r="E143" i="26" s="1"/>
  <c r="B144" i="26"/>
  <c r="B145" i="26"/>
  <c r="F145" i="26" s="1"/>
  <c r="B146" i="26"/>
  <c r="B147" i="26"/>
  <c r="D147" i="26" s="1"/>
  <c r="B148" i="26"/>
  <c r="F148" i="26" s="1"/>
  <c r="B149" i="26"/>
  <c r="D149" i="26" s="1"/>
  <c r="B150" i="26"/>
  <c r="D150" i="26" s="1"/>
  <c r="B151" i="26"/>
  <c r="E151" i="26" s="1"/>
  <c r="B152" i="26"/>
  <c r="B153" i="26"/>
  <c r="F153" i="26" s="1"/>
  <c r="B54" i="26"/>
  <c r="B20" i="26"/>
  <c r="B21" i="26"/>
  <c r="B22" i="26"/>
  <c r="D22" i="26"/>
  <c r="B23" i="26"/>
  <c r="B24" i="26"/>
  <c r="B25" i="26"/>
  <c r="B26" i="26"/>
  <c r="B27" i="26"/>
  <c r="D27" i="26"/>
  <c r="C19" i="26"/>
  <c r="D19" i="26"/>
  <c r="B19" i="26"/>
  <c r="D14" i="26"/>
  <c r="D15" i="26"/>
  <c r="D16" i="26"/>
  <c r="C15" i="26"/>
  <c r="H20" i="26" s="1"/>
  <c r="C16" i="26"/>
  <c r="H21" i="26" s="1"/>
  <c r="D26" i="26"/>
  <c r="E376" i="27"/>
  <c r="G52" i="18"/>
  <c r="H52" i="18"/>
  <c r="C21" i="20"/>
  <c r="J404" i="19"/>
  <c r="J405" i="19"/>
  <c r="J406" i="19"/>
  <c r="J407" i="19"/>
  <c r="J408" i="19"/>
  <c r="J409" i="19"/>
  <c r="J410" i="19"/>
  <c r="J411" i="19"/>
  <c r="J412" i="19"/>
  <c r="J413" i="19"/>
  <c r="J414" i="19"/>
  <c r="J415" i="19"/>
  <c r="J416" i="19"/>
  <c r="J417" i="19"/>
  <c r="J418" i="19"/>
  <c r="J419" i="19"/>
  <c r="J420" i="19"/>
  <c r="J421" i="19"/>
  <c r="J422" i="19"/>
  <c r="J423" i="19"/>
  <c r="J424" i="19"/>
  <c r="J425" i="19"/>
  <c r="J426" i="19"/>
  <c r="J427" i="19"/>
  <c r="J428" i="19"/>
  <c r="J429" i="19"/>
  <c r="J430" i="19"/>
  <c r="J431" i="19"/>
  <c r="J432" i="19"/>
  <c r="J433" i="19"/>
  <c r="J434" i="19"/>
  <c r="J435" i="19"/>
  <c r="J436" i="19"/>
  <c r="J437" i="19"/>
  <c r="J438" i="19"/>
  <c r="J439" i="19"/>
  <c r="J440" i="19"/>
  <c r="J441" i="19"/>
  <c r="J442" i="19"/>
  <c r="J443" i="19"/>
  <c r="J444" i="19"/>
  <c r="J445" i="19"/>
  <c r="J446" i="19"/>
  <c r="J447" i="19"/>
  <c r="J448" i="19"/>
  <c r="J449" i="19"/>
  <c r="J450" i="19"/>
  <c r="J451" i="19"/>
  <c r="J452" i="19"/>
  <c r="J453" i="19"/>
  <c r="J454" i="19"/>
  <c r="J455" i="19"/>
  <c r="J456" i="19"/>
  <c r="J457" i="19"/>
  <c r="J458" i="19"/>
  <c r="J459" i="19"/>
  <c r="J460" i="19"/>
  <c r="J461" i="19"/>
  <c r="J462" i="19"/>
  <c r="J463" i="19"/>
  <c r="J464" i="19"/>
  <c r="J465" i="19"/>
  <c r="J466" i="19"/>
  <c r="J467" i="19"/>
  <c r="J468" i="19"/>
  <c r="J469" i="19"/>
  <c r="J470" i="19"/>
  <c r="J471" i="19"/>
  <c r="J472" i="19"/>
  <c r="J473" i="19"/>
  <c r="J474" i="19"/>
  <c r="J475" i="19"/>
  <c r="J476" i="19"/>
  <c r="J477" i="19"/>
  <c r="J478" i="19"/>
  <c r="J479" i="19"/>
  <c r="J480" i="19"/>
  <c r="J481" i="19"/>
  <c r="J482" i="19"/>
  <c r="J483" i="19"/>
  <c r="J484" i="19"/>
  <c r="J485" i="19"/>
  <c r="J486" i="19"/>
  <c r="J487" i="19"/>
  <c r="J488" i="19"/>
  <c r="J489" i="19"/>
  <c r="J490" i="19"/>
  <c r="J491" i="19"/>
  <c r="J492" i="19"/>
  <c r="J493" i="19"/>
  <c r="J494" i="19"/>
  <c r="J495" i="19"/>
  <c r="J496" i="19"/>
  <c r="J497" i="19"/>
  <c r="J498" i="19"/>
  <c r="J499" i="19"/>
  <c r="J500" i="19"/>
  <c r="J501" i="19"/>
  <c r="J502" i="19"/>
  <c r="M403" i="19"/>
  <c r="L403" i="19"/>
  <c r="J403" i="19"/>
  <c r="F185" i="3" l="1"/>
  <c r="H185" i="3" s="1"/>
  <c r="E563" i="19"/>
  <c r="E572" i="19" s="1"/>
  <c r="J20" i="26"/>
  <c r="J21" i="26"/>
  <c r="J19" i="26"/>
  <c r="I21" i="26"/>
  <c r="K21" i="26" s="1"/>
  <c r="I19" i="26"/>
  <c r="I20" i="26"/>
  <c r="K20" i="26" s="1"/>
  <c r="K76" i="26"/>
  <c r="K57" i="26"/>
  <c r="J136" i="26"/>
  <c r="K112" i="26"/>
  <c r="J105" i="26"/>
  <c r="L121" i="26"/>
  <c r="J121" i="26"/>
  <c r="K92" i="26"/>
  <c r="L89" i="26"/>
  <c r="K126" i="26"/>
  <c r="L110" i="26"/>
  <c r="L76" i="26"/>
  <c r="K62" i="26"/>
  <c r="J62" i="26"/>
  <c r="F107" i="26"/>
  <c r="E100" i="26"/>
  <c r="D60" i="26"/>
  <c r="L132" i="26"/>
  <c r="J132" i="26"/>
  <c r="L127" i="26"/>
  <c r="J83" i="26"/>
  <c r="L68" i="26"/>
  <c r="K68" i="26"/>
  <c r="L150" i="26"/>
  <c r="K84" i="26"/>
  <c r="E123" i="26"/>
  <c r="L83" i="26"/>
  <c r="J73" i="26"/>
  <c r="L57" i="26"/>
  <c r="L143" i="26"/>
  <c r="L136" i="26"/>
  <c r="K110" i="26"/>
  <c r="J92" i="26"/>
  <c r="F149" i="26"/>
  <c r="J148" i="26"/>
  <c r="J96" i="26"/>
  <c r="K64" i="26"/>
  <c r="F134" i="26"/>
  <c r="L73" i="26"/>
  <c r="D127" i="26"/>
  <c r="J152" i="26"/>
  <c r="L134" i="26"/>
  <c r="J112" i="26"/>
  <c r="E78" i="26"/>
  <c r="E134" i="26"/>
  <c r="D102" i="26"/>
  <c r="F70" i="26"/>
  <c r="E70" i="26"/>
  <c r="F126" i="26"/>
  <c r="E94" i="26"/>
  <c r="D94" i="26"/>
  <c r="E148" i="26"/>
  <c r="D116" i="26"/>
  <c r="F86" i="26"/>
  <c r="D142" i="26"/>
  <c r="F115" i="26"/>
  <c r="E86" i="26"/>
  <c r="F141" i="26"/>
  <c r="D108" i="26"/>
  <c r="F78" i="26"/>
  <c r="D24" i="26"/>
  <c r="C20" i="26"/>
  <c r="D20" i="26"/>
  <c r="D25" i="26"/>
  <c r="D23" i="26"/>
  <c r="E121" i="26"/>
  <c r="L129" i="26"/>
  <c r="K118" i="26"/>
  <c r="L105" i="26"/>
  <c r="L100" i="26"/>
  <c r="K89" i="26"/>
  <c r="K80" i="26"/>
  <c r="D148" i="26"/>
  <c r="E140" i="26"/>
  <c r="E126" i="26"/>
  <c r="D119" i="26"/>
  <c r="E115" i="26"/>
  <c r="E107" i="26"/>
  <c r="D100" i="26"/>
  <c r="E92" i="26"/>
  <c r="F59" i="26"/>
  <c r="J129" i="26"/>
  <c r="L126" i="26"/>
  <c r="J100" i="26"/>
  <c r="K96" i="26"/>
  <c r="J80" i="26"/>
  <c r="E153" i="26"/>
  <c r="F147" i="26"/>
  <c r="D140" i="26"/>
  <c r="F133" i="26"/>
  <c r="F118" i="26"/>
  <c r="D111" i="26"/>
  <c r="E105" i="26"/>
  <c r="F99" i="26"/>
  <c r="D92" i="26"/>
  <c r="E84" i="26"/>
  <c r="E76" i="26"/>
  <c r="D68" i="26"/>
  <c r="E59" i="26"/>
  <c r="D151" i="26"/>
  <c r="E147" i="26"/>
  <c r="F139" i="26"/>
  <c r="E132" i="26"/>
  <c r="F125" i="26"/>
  <c r="E118" i="26"/>
  <c r="F110" i="26"/>
  <c r="D105" i="26"/>
  <c r="E99" i="26"/>
  <c r="F91" i="26"/>
  <c r="D84" i="26"/>
  <c r="D76" i="26"/>
  <c r="F67" i="26"/>
  <c r="K150" i="26"/>
  <c r="L145" i="26"/>
  <c r="L128" i="26"/>
  <c r="L116" i="26"/>
  <c r="L99" i="26"/>
  <c r="J64" i="26"/>
  <c r="L60" i="26"/>
  <c r="F150" i="26"/>
  <c r="D143" i="26"/>
  <c r="E139" i="26"/>
  <c r="D132" i="26"/>
  <c r="E124" i="26"/>
  <c r="E110" i="26"/>
  <c r="D103" i="26"/>
  <c r="E97" i="26"/>
  <c r="E91" i="26"/>
  <c r="F83" i="26"/>
  <c r="F75" i="26"/>
  <c r="E67" i="26"/>
  <c r="K145" i="26"/>
  <c r="K128" i="26"/>
  <c r="K116" i="26"/>
  <c r="L107" i="26"/>
  <c r="J99" i="26"/>
  <c r="J91" i="26"/>
  <c r="L78" i="26"/>
  <c r="L75" i="26"/>
  <c r="L67" i="26"/>
  <c r="K60" i="26"/>
  <c r="E150" i="26"/>
  <c r="F142" i="26"/>
  <c r="E137" i="26"/>
  <c r="F131" i="26"/>
  <c r="D124" i="26"/>
  <c r="F117" i="26"/>
  <c r="F102" i="26"/>
  <c r="D95" i="26"/>
  <c r="E83" i="26"/>
  <c r="E75" i="26"/>
  <c r="F62" i="26"/>
  <c r="L152" i="26"/>
  <c r="J139" i="26"/>
  <c r="L135" i="26"/>
  <c r="J107" i="26"/>
  <c r="L94" i="26"/>
  <c r="K78" i="26"/>
  <c r="J75" i="26"/>
  <c r="J67" i="26"/>
  <c r="D135" i="26"/>
  <c r="E131" i="26"/>
  <c r="F123" i="26"/>
  <c r="E116" i="26"/>
  <c r="E108" i="26"/>
  <c r="D87" i="26"/>
  <c r="E81" i="26"/>
  <c r="E73" i="26"/>
  <c r="K148" i="26"/>
  <c r="J123" i="26"/>
  <c r="L119" i="26"/>
  <c r="K94" i="26"/>
  <c r="J59" i="26"/>
  <c r="D146" i="26"/>
  <c r="E146" i="26"/>
  <c r="F146" i="26"/>
  <c r="D138" i="26"/>
  <c r="E138" i="26"/>
  <c r="F138" i="26"/>
  <c r="D130" i="26"/>
  <c r="E130" i="26"/>
  <c r="F130" i="26"/>
  <c r="D122" i="26"/>
  <c r="E122" i="26"/>
  <c r="F122" i="26"/>
  <c r="D114" i="26"/>
  <c r="E114" i="26"/>
  <c r="F114" i="26"/>
  <c r="D106" i="26"/>
  <c r="E106" i="26"/>
  <c r="F106" i="26"/>
  <c r="D98" i="26"/>
  <c r="E98" i="26"/>
  <c r="F98" i="26"/>
  <c r="D90" i="26"/>
  <c r="E90" i="26"/>
  <c r="F90" i="26"/>
  <c r="D82" i="26"/>
  <c r="E82" i="26"/>
  <c r="F82" i="26"/>
  <c r="D74" i="26"/>
  <c r="E74" i="26"/>
  <c r="F74" i="26"/>
  <c r="D66" i="26"/>
  <c r="E66" i="26"/>
  <c r="F66" i="26"/>
  <c r="E58" i="26"/>
  <c r="F58" i="26"/>
  <c r="K144" i="26"/>
  <c r="L144" i="26"/>
  <c r="J113" i="26"/>
  <c r="K113" i="26"/>
  <c r="L113" i="26"/>
  <c r="J86" i="26"/>
  <c r="K86" i="26"/>
  <c r="L86" i="26"/>
  <c r="J70" i="26"/>
  <c r="K70" i="26"/>
  <c r="L70" i="26"/>
  <c r="D153" i="26"/>
  <c r="D137" i="26"/>
  <c r="D121" i="26"/>
  <c r="D81" i="26"/>
  <c r="J102" i="26"/>
  <c r="K102" i="26"/>
  <c r="L102" i="26"/>
  <c r="L54" i="26"/>
  <c r="J140" i="26"/>
  <c r="K140" i="26"/>
  <c r="L140" i="26"/>
  <c r="K124" i="26"/>
  <c r="L124" i="26"/>
  <c r="K104" i="26"/>
  <c r="L104" i="26"/>
  <c r="D97" i="26"/>
  <c r="D73" i="26"/>
  <c r="E65" i="26"/>
  <c r="D152" i="26"/>
  <c r="E152" i="26"/>
  <c r="D144" i="26"/>
  <c r="E144" i="26"/>
  <c r="D136" i="26"/>
  <c r="E136" i="26"/>
  <c r="D128" i="26"/>
  <c r="E128" i="26"/>
  <c r="D120" i="26"/>
  <c r="E120" i="26"/>
  <c r="D112" i="26"/>
  <c r="E112" i="26"/>
  <c r="D104" i="26"/>
  <c r="E104" i="26"/>
  <c r="D96" i="26"/>
  <c r="E96" i="26"/>
  <c r="D88" i="26"/>
  <c r="E88" i="26"/>
  <c r="D80" i="26"/>
  <c r="E80" i="26"/>
  <c r="D72" i="26"/>
  <c r="E72" i="26"/>
  <c r="D64" i="26"/>
  <c r="E64" i="26"/>
  <c r="D56" i="26"/>
  <c r="E56" i="26"/>
  <c r="F152" i="26"/>
  <c r="F136" i="26"/>
  <c r="F120" i="26"/>
  <c r="F80" i="26"/>
  <c r="K153" i="26"/>
  <c r="J153" i="26"/>
  <c r="L153" i="26"/>
  <c r="K56" i="26"/>
  <c r="E145" i="26"/>
  <c r="E129" i="26"/>
  <c r="E113" i="26"/>
  <c r="F96" i="26"/>
  <c r="F72" i="26"/>
  <c r="D65" i="26"/>
  <c r="J142" i="26"/>
  <c r="K142" i="26"/>
  <c r="L142" i="26"/>
  <c r="L131" i="26"/>
  <c r="J131" i="26"/>
  <c r="K108" i="26"/>
  <c r="L108" i="26"/>
  <c r="K81" i="26"/>
  <c r="L81" i="26"/>
  <c r="J151" i="26"/>
  <c r="L151" i="26"/>
  <c r="L120" i="26"/>
  <c r="J120" i="26"/>
  <c r="K120" i="26"/>
  <c r="D145" i="26"/>
  <c r="D129" i="26"/>
  <c r="D113" i="26"/>
  <c r="E89" i="26"/>
  <c r="F64" i="26"/>
  <c r="D57" i="26"/>
  <c r="J124" i="26"/>
  <c r="K115" i="26"/>
  <c r="L115" i="26"/>
  <c r="J104" i="26"/>
  <c r="L88" i="26"/>
  <c r="K88" i="26"/>
  <c r="L72" i="26"/>
  <c r="K72" i="26"/>
  <c r="K65" i="26"/>
  <c r="L65" i="26"/>
  <c r="F144" i="26"/>
  <c r="F128" i="26"/>
  <c r="F112" i="26"/>
  <c r="D89" i="26"/>
  <c r="J144" i="26"/>
  <c r="K137" i="26"/>
  <c r="L137" i="26"/>
  <c r="K97" i="26"/>
  <c r="L97" i="26"/>
  <c r="F109" i="26"/>
  <c r="F101" i="26"/>
  <c r="F93" i="26"/>
  <c r="F85" i="26"/>
  <c r="F77" i="26"/>
  <c r="F69" i="26"/>
  <c r="F61" i="26"/>
  <c r="E149" i="26"/>
  <c r="E141" i="26"/>
  <c r="E133" i="26"/>
  <c r="E125" i="26"/>
  <c r="E117" i="26"/>
  <c r="E109" i="26"/>
  <c r="E101" i="26"/>
  <c r="E93" i="26"/>
  <c r="E85" i="26"/>
  <c r="E77" i="26"/>
  <c r="E69" i="26"/>
  <c r="E61" i="26"/>
  <c r="J147" i="26"/>
  <c r="K134" i="26"/>
  <c r="L118" i="26"/>
  <c r="L91" i="26"/>
  <c r="L84" i="26"/>
  <c r="F151" i="26"/>
  <c r="F143" i="26"/>
  <c r="F135" i="26"/>
  <c r="F127" i="26"/>
  <c r="F119" i="26"/>
  <c r="F111" i="26"/>
  <c r="F103" i="26"/>
  <c r="F95" i="26"/>
  <c r="F87" i="26"/>
  <c r="F79" i="26"/>
  <c r="F71" i="26"/>
  <c r="F63" i="26"/>
  <c r="F55" i="26"/>
  <c r="E79" i="26"/>
  <c r="E71" i="26"/>
  <c r="F68" i="26"/>
  <c r="E63" i="26"/>
  <c r="F60" i="26"/>
  <c r="K147" i="26"/>
  <c r="K139" i="26"/>
  <c r="K131" i="26"/>
  <c r="K123" i="26"/>
  <c r="K59" i="26"/>
  <c r="L111" i="26"/>
  <c r="L103" i="26"/>
  <c r="L95" i="26"/>
  <c r="L87" i="26"/>
  <c r="L79" i="26"/>
  <c r="L71" i="26"/>
  <c r="L63" i="26"/>
  <c r="K151" i="26"/>
  <c r="L146" i="26"/>
  <c r="K143" i="26"/>
  <c r="L138" i="26"/>
  <c r="K135" i="26"/>
  <c r="L130" i="26"/>
  <c r="K127" i="26"/>
  <c r="L122" i="26"/>
  <c r="K119" i="26"/>
  <c r="L114" i="26"/>
  <c r="K111" i="26"/>
  <c r="L106" i="26"/>
  <c r="K103" i="26"/>
  <c r="L98" i="26"/>
  <c r="K95" i="26"/>
  <c r="L90" i="26"/>
  <c r="K87" i="26"/>
  <c r="L82" i="26"/>
  <c r="K79" i="26"/>
  <c r="L74" i="26"/>
  <c r="K71" i="26"/>
  <c r="L66" i="26"/>
  <c r="K63" i="26"/>
  <c r="L58" i="26"/>
  <c r="L149" i="26"/>
  <c r="K146" i="26"/>
  <c r="L141" i="26"/>
  <c r="K138" i="26"/>
  <c r="L133" i="26"/>
  <c r="K130" i="26"/>
  <c r="L125" i="26"/>
  <c r="K122" i="26"/>
  <c r="L117" i="26"/>
  <c r="K114" i="26"/>
  <c r="L109" i="26"/>
  <c r="K106" i="26"/>
  <c r="L101" i="26"/>
  <c r="K98" i="26"/>
  <c r="L93" i="26"/>
  <c r="K90" i="26"/>
  <c r="L85" i="26"/>
  <c r="K82" i="26"/>
  <c r="L77" i="26"/>
  <c r="K74" i="26"/>
  <c r="L69" i="26"/>
  <c r="K66" i="26"/>
  <c r="L61" i="26"/>
  <c r="K58" i="26"/>
  <c r="K149" i="26"/>
  <c r="K141" i="26"/>
  <c r="K133" i="26"/>
  <c r="K125" i="26"/>
  <c r="K117" i="26"/>
  <c r="K109" i="26"/>
  <c r="K101" i="26"/>
  <c r="K93" i="26"/>
  <c r="K85" i="26"/>
  <c r="K77" i="26"/>
  <c r="K69" i="26"/>
  <c r="K61" i="26"/>
  <c r="F54" i="26"/>
  <c r="R73" i="32"/>
  <c r="R72" i="32"/>
  <c r="R71" i="32"/>
  <c r="R70" i="32"/>
  <c r="R69" i="32"/>
  <c r="R68" i="32"/>
  <c r="R67" i="32"/>
  <c r="R66" i="32"/>
  <c r="R65" i="32"/>
  <c r="R64" i="32"/>
  <c r="L114" i="32"/>
  <c r="L115" i="32"/>
  <c r="L116" i="32"/>
  <c r="L117" i="32"/>
  <c r="L118" i="32"/>
  <c r="L119" i="32"/>
  <c r="L120" i="32"/>
  <c r="L121" i="32"/>
  <c r="L122" i="32"/>
  <c r="L123" i="32"/>
  <c r="L113" i="32"/>
  <c r="B217" i="32"/>
  <c r="B218" i="32"/>
  <c r="B221" i="32"/>
  <c r="B220" i="32"/>
  <c r="B219" i="32"/>
  <c r="B179" i="32"/>
  <c r="B180" i="32"/>
  <c r="B181" i="32"/>
  <c r="B182" i="32"/>
  <c r="B178" i="32"/>
  <c r="E386" i="3"/>
  <c r="E385" i="3"/>
  <c r="E384" i="3"/>
  <c r="E383" i="3"/>
  <c r="E382" i="3"/>
  <c r="E381" i="3"/>
  <c r="E380" i="3"/>
  <c r="E379" i="3"/>
  <c r="E378" i="3"/>
  <c r="E377" i="3"/>
  <c r="E376" i="3"/>
  <c r="E375" i="3"/>
  <c r="E374" i="3"/>
  <c r="E373" i="3"/>
  <c r="E372" i="3"/>
  <c r="E371" i="3"/>
  <c r="E370" i="3"/>
  <c r="E369" i="3"/>
  <c r="E368" i="3"/>
  <c r="E367" i="3"/>
  <c r="E366" i="3"/>
  <c r="E365" i="3"/>
  <c r="E364" i="3"/>
  <c r="E363" i="3"/>
  <c r="E362" i="3"/>
  <c r="E361" i="3"/>
  <c r="E360" i="3"/>
  <c r="E359" i="3"/>
  <c r="E358" i="3"/>
  <c r="E357" i="3"/>
  <c r="E356" i="3"/>
  <c r="E355" i="3"/>
  <c r="E354" i="3"/>
  <c r="E353" i="3"/>
  <c r="E352" i="3"/>
  <c r="E351" i="3"/>
  <c r="E350" i="3"/>
  <c r="E349" i="3"/>
  <c r="E348" i="3"/>
  <c r="E347" i="3"/>
  <c r="E346" i="3"/>
  <c r="E345" i="3"/>
  <c r="E344" i="3"/>
  <c r="E343" i="3"/>
  <c r="E342" i="3"/>
  <c r="E341" i="3"/>
  <c r="E340" i="3"/>
  <c r="E339" i="3"/>
  <c r="E338" i="3"/>
  <c r="E337" i="3"/>
  <c r="E336" i="3"/>
  <c r="E335" i="3"/>
  <c r="E334" i="3"/>
  <c r="E333" i="3"/>
  <c r="E332" i="3"/>
  <c r="E331" i="3"/>
  <c r="E330" i="3"/>
  <c r="E329" i="3"/>
  <c r="E328" i="3"/>
  <c r="E327" i="3"/>
  <c r="E326" i="3"/>
  <c r="E325" i="3"/>
  <c r="E324" i="3"/>
  <c r="E323" i="3"/>
  <c r="E322" i="3"/>
  <c r="E321" i="3"/>
  <c r="E320" i="3"/>
  <c r="E319" i="3"/>
  <c r="E318" i="3"/>
  <c r="E317" i="3"/>
  <c r="E316" i="3"/>
  <c r="E315" i="3"/>
  <c r="E314" i="3"/>
  <c r="E313" i="3"/>
  <c r="E312" i="3"/>
  <c r="E311" i="3"/>
  <c r="E310" i="3"/>
  <c r="E309" i="3"/>
  <c r="E308" i="3"/>
  <c r="E307" i="3"/>
  <c r="E306" i="3"/>
  <c r="E305" i="3"/>
  <c r="E304" i="3"/>
  <c r="E303" i="3"/>
  <c r="E302" i="3"/>
  <c r="E301" i="3"/>
  <c r="E300" i="3"/>
  <c r="E299" i="3"/>
  <c r="E298" i="3"/>
  <c r="E297" i="3"/>
  <c r="E296" i="3"/>
  <c r="E295" i="3"/>
  <c r="E294" i="3"/>
  <c r="E293" i="3"/>
  <c r="E292" i="3"/>
  <c r="E291" i="3"/>
  <c r="E290" i="3"/>
  <c r="E289" i="3"/>
  <c r="E288" i="3"/>
  <c r="E269" i="3"/>
  <c r="E268" i="3"/>
  <c r="E267" i="3"/>
  <c r="E266" i="3"/>
  <c r="E265" i="3"/>
  <c r="E264" i="3"/>
  <c r="E263" i="3"/>
  <c r="E262" i="3"/>
  <c r="E261" i="3"/>
  <c r="E260" i="3"/>
  <c r="E259" i="3"/>
  <c r="E258" i="3"/>
  <c r="E257" i="3"/>
  <c r="E256" i="3"/>
  <c r="E255" i="3"/>
  <c r="E254" i="3"/>
  <c r="E253" i="3"/>
  <c r="E252" i="3"/>
  <c r="E251" i="3"/>
  <c r="E250" i="3"/>
  <c r="E249" i="3"/>
  <c r="E248" i="3"/>
  <c r="E247" i="3"/>
  <c r="E246" i="3"/>
  <c r="E245" i="3"/>
  <c r="E244" i="3"/>
  <c r="E243" i="3"/>
  <c r="E242"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81" i="3"/>
  <c r="E180" i="3"/>
  <c r="E179" i="3"/>
  <c r="E178" i="3"/>
  <c r="E177" i="3"/>
  <c r="E176" i="3"/>
  <c r="E175" i="3"/>
  <c r="E174" i="3"/>
  <c r="E173" i="3"/>
  <c r="E172" i="3"/>
  <c r="E171"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F412" i="56" l="1"/>
  <c r="G402" i="56"/>
  <c r="K19" i="26"/>
  <c r="L19" i="26" s="1"/>
  <c r="L21" i="26"/>
  <c r="L20" i="26"/>
  <c r="E33" i="25" s="1"/>
  <c r="F33" i="25" s="1"/>
  <c r="E287" i="3"/>
  <c r="E60" i="3"/>
  <c r="E170" i="3"/>
  <c r="E59" i="3"/>
  <c r="B172" i="32"/>
  <c r="C21" i="26"/>
  <c r="D21" i="26"/>
  <c r="B214" i="32"/>
  <c r="B171" i="32"/>
  <c r="B213" i="32"/>
  <c r="B170" i="32"/>
  <c r="B215" i="32"/>
  <c r="B209" i="32"/>
  <c r="B212" i="32"/>
  <c r="B173" i="32"/>
  <c r="B177" i="32"/>
  <c r="B211" i="32"/>
  <c r="B176" i="32"/>
  <c r="B210" i="32"/>
  <c r="B175" i="32"/>
  <c r="B174" i="32"/>
  <c r="B216" i="32"/>
  <c r="E286" i="3"/>
  <c r="E169" i="3"/>
  <c r="D402" i="3" l="1"/>
  <c r="D400" i="3"/>
  <c r="D405" i="3" s="1"/>
  <c r="E48" i="12" s="1"/>
  <c r="N267" i="56"/>
  <c r="F133" i="25"/>
  <c r="O267" i="56"/>
  <c r="E58" i="12"/>
  <c r="G58" i="12"/>
  <c r="F58" i="12"/>
  <c r="I58" i="12"/>
  <c r="H58" i="12"/>
  <c r="E377" i="27"/>
  <c r="E378" i="27"/>
  <c r="F187" i="3" l="1"/>
  <c r="H187" i="3" s="1"/>
  <c r="F186" i="3"/>
  <c r="H186" i="3" s="1"/>
  <c r="H269" i="25"/>
  <c r="J58" i="12"/>
  <c r="D407" i="3"/>
  <c r="C22" i="26"/>
  <c r="C23" i="26"/>
  <c r="E61" i="12" l="1"/>
  <c r="G407" i="3"/>
  <c r="G412" i="56"/>
  <c r="E401" i="3"/>
  <c r="E406" i="3" s="1"/>
  <c r="E379" i="27"/>
  <c r="C24" i="26"/>
  <c r="F188" i="3" l="1"/>
  <c r="H188" i="3" s="1"/>
  <c r="I412" i="56"/>
  <c r="F401" i="3"/>
  <c r="F406" i="3" s="1"/>
  <c r="E380" i="27"/>
  <c r="C25" i="26"/>
  <c r="F189" i="3" l="1"/>
  <c r="H189" i="3" s="1"/>
  <c r="D61" i="12"/>
  <c r="E381" i="27"/>
  <c r="C26" i="26"/>
  <c r="C55" i="26"/>
  <c r="C56" i="26"/>
  <c r="F56" i="26" s="1"/>
  <c r="F154" i="26" s="1"/>
  <c r="G165" i="26" s="1"/>
  <c r="C57" i="26"/>
  <c r="E57" i="26" s="1"/>
  <c r="C58" i="26"/>
  <c r="D58" i="26" s="1"/>
  <c r="C59" i="26"/>
  <c r="D59" i="26" s="1"/>
  <c r="C60" i="26"/>
  <c r="C61" i="26"/>
  <c r="C62" i="26"/>
  <c r="C63" i="26"/>
  <c r="C64" i="26"/>
  <c r="C65" i="26"/>
  <c r="C66" i="26"/>
  <c r="C67" i="26"/>
  <c r="C68" i="26"/>
  <c r="C69" i="26"/>
  <c r="C70" i="26"/>
  <c r="C71" i="26"/>
  <c r="C72" i="26"/>
  <c r="C73" i="26"/>
  <c r="C74" i="26"/>
  <c r="C75" i="26"/>
  <c r="C76" i="26"/>
  <c r="C77" i="26"/>
  <c r="C78" i="26"/>
  <c r="C79" i="26"/>
  <c r="C80" i="26"/>
  <c r="C81" i="26"/>
  <c r="C82" i="26"/>
  <c r="C83" i="26"/>
  <c r="C84" i="26"/>
  <c r="C85" i="26"/>
  <c r="C86" i="26"/>
  <c r="C87" i="26"/>
  <c r="C88" i="26"/>
  <c r="C89" i="26"/>
  <c r="C90" i="26"/>
  <c r="C91" i="26"/>
  <c r="C92" i="26"/>
  <c r="C93" i="26"/>
  <c r="C94" i="26"/>
  <c r="C95" i="26"/>
  <c r="C96" i="26"/>
  <c r="C97" i="26"/>
  <c r="C98" i="26"/>
  <c r="C99" i="26"/>
  <c r="C100" i="26"/>
  <c r="C101" i="26"/>
  <c r="C102" i="26"/>
  <c r="C103" i="26"/>
  <c r="C104" i="26"/>
  <c r="C105" i="26"/>
  <c r="C106" i="26"/>
  <c r="C107" i="26"/>
  <c r="C108" i="26"/>
  <c r="C109" i="26"/>
  <c r="C110" i="26"/>
  <c r="C111" i="26"/>
  <c r="C112" i="26"/>
  <c r="C113" i="26"/>
  <c r="C114" i="26"/>
  <c r="C115" i="26"/>
  <c r="C116" i="26"/>
  <c r="C117" i="26"/>
  <c r="C118" i="26"/>
  <c r="C119" i="26"/>
  <c r="C120" i="26"/>
  <c r="C121" i="26"/>
  <c r="C122" i="26"/>
  <c r="C123" i="26"/>
  <c r="C124" i="26"/>
  <c r="C125" i="26"/>
  <c r="C126" i="26"/>
  <c r="C127" i="26"/>
  <c r="C128" i="26"/>
  <c r="C129" i="26"/>
  <c r="C130" i="26"/>
  <c r="C131" i="26"/>
  <c r="C132" i="26"/>
  <c r="C133" i="26"/>
  <c r="C134" i="26"/>
  <c r="C135" i="26"/>
  <c r="C136" i="26"/>
  <c r="C137" i="26"/>
  <c r="C138" i="26"/>
  <c r="C139" i="26"/>
  <c r="C140" i="26"/>
  <c r="C141" i="26"/>
  <c r="C142" i="26"/>
  <c r="C143" i="26"/>
  <c r="C144" i="26"/>
  <c r="C145" i="26"/>
  <c r="C146" i="26"/>
  <c r="C147" i="26"/>
  <c r="C148" i="26"/>
  <c r="C149" i="26"/>
  <c r="C150" i="26"/>
  <c r="C151" i="26"/>
  <c r="C152" i="26"/>
  <c r="C153" i="26"/>
  <c r="C54" i="26"/>
  <c r="F190" i="3" l="1"/>
  <c r="H190" i="3" s="1"/>
  <c r="E62" i="26"/>
  <c r="D62" i="26"/>
  <c r="E55" i="26"/>
  <c r="D55" i="26"/>
  <c r="D54" i="26"/>
  <c r="E54" i="26"/>
  <c r="E382" i="27"/>
  <c r="F192" i="3" s="1"/>
  <c r="H192" i="3" s="1"/>
  <c r="J286" i="19"/>
  <c r="J287" i="19"/>
  <c r="F191" i="3" l="1"/>
  <c r="H191" i="3" s="1"/>
  <c r="E154" i="26"/>
  <c r="F165" i="26" s="1"/>
  <c r="D154" i="26"/>
  <c r="E165" i="26" s="1"/>
  <c r="C27" i="26"/>
  <c r="F166" i="26" l="1"/>
  <c r="F130" i="41"/>
  <c r="E275" i="3" l="1"/>
  <c r="E400" i="3" s="1"/>
  <c r="C91" i="42"/>
  <c r="E91" i="42" s="1"/>
  <c r="C27" i="42"/>
  <c r="E27" i="42" s="1"/>
  <c r="C36" i="42"/>
  <c r="E36" i="42" s="1"/>
  <c r="C92" i="42"/>
  <c r="E92" i="42" s="1"/>
  <c r="C28" i="42"/>
  <c r="E28" i="42" s="1"/>
  <c r="C95" i="42"/>
  <c r="E95" i="42" s="1"/>
  <c r="C44" i="42"/>
  <c r="E44" i="42" s="1"/>
  <c r="C26" i="42"/>
  <c r="E26" i="42" s="1"/>
  <c r="C106" i="42"/>
  <c r="E106" i="42" s="1"/>
  <c r="C42" i="42"/>
  <c r="E42" i="42" s="1"/>
  <c r="C85" i="42"/>
  <c r="E85" i="42" s="1"/>
  <c r="C20" i="42"/>
  <c r="E20" i="42" s="1"/>
  <c r="C43" i="42"/>
  <c r="E43" i="42" s="1"/>
  <c r="C74" i="42"/>
  <c r="E74" i="42" s="1"/>
  <c r="C105" i="42"/>
  <c r="E105" i="42" s="1"/>
  <c r="C90" i="42"/>
  <c r="E90" i="42" s="1"/>
  <c r="C96" i="42"/>
  <c r="E96" i="42" s="1"/>
  <c r="C75" i="42"/>
  <c r="E75" i="42" s="1"/>
  <c r="C57" i="42"/>
  <c r="E57" i="42" s="1"/>
  <c r="C88" i="42"/>
  <c r="E88" i="42" s="1"/>
  <c r="C48" i="42"/>
  <c r="E48" i="42" s="1"/>
  <c r="C58" i="42"/>
  <c r="E58" i="42" s="1"/>
  <c r="C89" i="42"/>
  <c r="E89" i="42" s="1"/>
  <c r="C37" i="42"/>
  <c r="E37" i="42" s="1"/>
  <c r="C56" i="42"/>
  <c r="E56" i="42" s="1"/>
  <c r="C41" i="42"/>
  <c r="E41" i="42" s="1"/>
  <c r="C59" i="42"/>
  <c r="E59" i="42" s="1"/>
  <c r="C77" i="42"/>
  <c r="E77" i="42" s="1"/>
  <c r="C103" i="42"/>
  <c r="E103" i="42" s="1"/>
  <c r="C39" i="42"/>
  <c r="E39" i="42" s="1"/>
  <c r="C11" i="42"/>
  <c r="D11" i="42" s="1"/>
  <c r="C104" i="42"/>
  <c r="E104" i="42" s="1"/>
  <c r="C40" i="42"/>
  <c r="E40" i="42" s="1"/>
  <c r="C107" i="42"/>
  <c r="E107" i="42" s="1"/>
  <c r="C102" i="42"/>
  <c r="E102" i="42" s="1"/>
  <c r="C87" i="42"/>
  <c r="E87" i="42" s="1"/>
  <c r="C17" i="42"/>
  <c r="E17" i="42" s="1"/>
  <c r="C73" i="42"/>
  <c r="E73" i="42" s="1"/>
  <c r="C54" i="42"/>
  <c r="E54" i="42" s="1"/>
  <c r="C97" i="42"/>
  <c r="E97" i="42" s="1"/>
  <c r="C66" i="42"/>
  <c r="E66" i="42" s="1"/>
  <c r="C55" i="42"/>
  <c r="E55" i="42" s="1"/>
  <c r="C86" i="42"/>
  <c r="E86" i="42" s="1"/>
  <c r="C14" i="42"/>
  <c r="E14" i="42" s="1"/>
  <c r="C53" i="42"/>
  <c r="E53" i="42" s="1"/>
  <c r="C38" i="42"/>
  <c r="E38" i="42" s="1"/>
  <c r="C46" i="42"/>
  <c r="E46" i="42" s="1"/>
  <c r="C100" i="42"/>
  <c r="E100" i="42" s="1"/>
  <c r="C60" i="42"/>
  <c r="E60" i="42" s="1"/>
  <c r="C70" i="42"/>
  <c r="E70" i="42" s="1"/>
  <c r="C101" i="42"/>
  <c r="E101" i="42" s="1"/>
  <c r="C49" i="42"/>
  <c r="E49" i="42" s="1"/>
  <c r="C22" i="42"/>
  <c r="E22" i="42" s="1"/>
  <c r="C99" i="42"/>
  <c r="E99" i="42" s="1"/>
  <c r="C108" i="42"/>
  <c r="E108" i="42" s="1"/>
  <c r="C51" i="42"/>
  <c r="E51" i="42" s="1"/>
  <c r="C23" i="42"/>
  <c r="E23" i="42" s="1"/>
  <c r="C21" i="42"/>
  <c r="E21" i="42" s="1"/>
  <c r="C52" i="42"/>
  <c r="E52" i="42" s="1"/>
  <c r="C12" i="42"/>
  <c r="E12" i="42" s="1"/>
  <c r="C68" i="42"/>
  <c r="E68" i="42" s="1"/>
  <c r="C50" i="42"/>
  <c r="E50" i="42" s="1"/>
  <c r="C71" i="42"/>
  <c r="E71" i="42" s="1"/>
  <c r="C93" i="42"/>
  <c r="E93" i="42" s="1"/>
  <c r="C109" i="42"/>
  <c r="E109" i="42" s="1"/>
  <c r="C82" i="42"/>
  <c r="E82" i="42" s="1"/>
  <c r="C67" i="42"/>
  <c r="E67" i="42" s="1"/>
  <c r="C98" i="42"/>
  <c r="E98" i="42" s="1"/>
  <c r="C84" i="42"/>
  <c r="E84" i="42" s="1"/>
  <c r="C19" i="42"/>
  <c r="E19" i="42" s="1"/>
  <c r="C13" i="42"/>
  <c r="E13" i="42" s="1"/>
  <c r="C81" i="42"/>
  <c r="E81" i="42" s="1"/>
  <c r="C76" i="42"/>
  <c r="E76" i="42" s="1"/>
  <c r="C72" i="42"/>
  <c r="E72" i="42" s="1"/>
  <c r="C33" i="42"/>
  <c r="E33" i="42" s="1"/>
  <c r="C18" i="42"/>
  <c r="E18" i="42" s="1"/>
  <c r="C61" i="42"/>
  <c r="E61" i="42" s="1"/>
  <c r="C34" i="42"/>
  <c r="E34" i="42" s="1"/>
  <c r="C65" i="42"/>
  <c r="E65" i="42" s="1"/>
  <c r="C83" i="42"/>
  <c r="E83" i="42" s="1"/>
  <c r="C32" i="42"/>
  <c r="E32" i="42" s="1"/>
  <c r="C45" i="42"/>
  <c r="E45" i="42" s="1"/>
  <c r="C35" i="42"/>
  <c r="E35" i="42" s="1"/>
  <c r="C79" i="42"/>
  <c r="E79" i="42" s="1"/>
  <c r="C64" i="42"/>
  <c r="E64" i="42" s="1"/>
  <c r="C24" i="42"/>
  <c r="E24" i="42" s="1"/>
  <c r="C80" i="42"/>
  <c r="E80" i="42" s="1"/>
  <c r="C16" i="42"/>
  <c r="E16" i="42" s="1"/>
  <c r="C69" i="42"/>
  <c r="E69" i="42" s="1"/>
  <c r="C78" i="42"/>
  <c r="E78" i="42" s="1"/>
  <c r="C94" i="42"/>
  <c r="E94" i="42" s="1"/>
  <c r="C30" i="42"/>
  <c r="E30" i="42" s="1"/>
  <c r="C15" i="42"/>
  <c r="E15" i="42" s="1"/>
  <c r="C63" i="42"/>
  <c r="E63" i="42" s="1"/>
  <c r="C31" i="42"/>
  <c r="E31" i="42" s="1"/>
  <c r="C62" i="42"/>
  <c r="E62" i="42" s="1"/>
  <c r="C47" i="42"/>
  <c r="E47" i="42" s="1"/>
  <c r="C29" i="42"/>
  <c r="E29" i="42" s="1"/>
  <c r="C25" i="42"/>
  <c r="E25" i="42" s="1"/>
  <c r="E405" i="3" l="1"/>
  <c r="G48" i="12" s="1"/>
  <c r="F48" i="12"/>
  <c r="F12" i="42"/>
  <c r="D12" i="42"/>
  <c r="E11" i="42"/>
  <c r="F11" i="42"/>
  <c r="D48" i="12"/>
  <c r="F400" i="3"/>
  <c r="R45" i="32"/>
  <c r="D72" i="32" s="1"/>
  <c r="R46" i="32"/>
  <c r="D73" i="32" s="1"/>
  <c r="R47" i="32"/>
  <c r="D74" i="32" s="1"/>
  <c r="R48" i="32"/>
  <c r="D75" i="32" s="1"/>
  <c r="R49" i="32"/>
  <c r="D76" i="32" s="1"/>
  <c r="R50" i="32"/>
  <c r="D77" i="32" s="1"/>
  <c r="R51" i="32"/>
  <c r="D78" i="32" s="1"/>
  <c r="R54" i="32"/>
  <c r="D82" i="32" s="1"/>
  <c r="I82" i="32" s="1"/>
  <c r="J82" i="32" s="1"/>
  <c r="R52" i="32"/>
  <c r="D79" i="32" s="1"/>
  <c r="R53" i="32"/>
  <c r="D80" i="32" s="1"/>
  <c r="C117" i="32"/>
  <c r="D117" i="32"/>
  <c r="C118" i="32"/>
  <c r="D118" i="32"/>
  <c r="C119" i="32"/>
  <c r="D119" i="32"/>
  <c r="C120" i="32"/>
  <c r="D120" i="32"/>
  <c r="C121" i="32"/>
  <c r="D121" i="32"/>
  <c r="C122" i="32"/>
  <c r="D122" i="32"/>
  <c r="C123" i="32"/>
  <c r="D123" i="32"/>
  <c r="D125" i="32"/>
  <c r="C126" i="32"/>
  <c r="D126" i="32"/>
  <c r="C127" i="32"/>
  <c r="D127" i="32"/>
  <c r="C128" i="32"/>
  <c r="D128" i="32"/>
  <c r="C129" i="32"/>
  <c r="D129" i="32"/>
  <c r="C130" i="32"/>
  <c r="C131" i="32"/>
  <c r="D131" i="32"/>
  <c r="C134" i="32"/>
  <c r="D134" i="32"/>
  <c r="C132" i="32"/>
  <c r="D132" i="32"/>
  <c r="C133" i="32"/>
  <c r="D133" i="32"/>
  <c r="D116" i="32"/>
  <c r="E116" i="32" s="1"/>
  <c r="F116" i="32" s="1"/>
  <c r="H64" i="32"/>
  <c r="H65" i="32"/>
  <c r="H66" i="32"/>
  <c r="H67" i="32"/>
  <c r="H68" i="32"/>
  <c r="H69" i="32"/>
  <c r="H70" i="32"/>
  <c r="H71" i="32"/>
  <c r="H72" i="32"/>
  <c r="H73" i="32"/>
  <c r="H74" i="32"/>
  <c r="H75" i="32"/>
  <c r="H76" i="32"/>
  <c r="H77" i="32"/>
  <c r="H78" i="32"/>
  <c r="H79" i="32"/>
  <c r="H80" i="32"/>
  <c r="F64" i="32"/>
  <c r="G64" i="32" s="1"/>
  <c r="F65" i="32"/>
  <c r="G65" i="32" s="1"/>
  <c r="F66" i="32"/>
  <c r="G66" i="32" s="1"/>
  <c r="F67" i="32"/>
  <c r="G67" i="32" s="1"/>
  <c r="F68" i="32"/>
  <c r="G68" i="32" s="1"/>
  <c r="F69" i="32"/>
  <c r="G69" i="32" s="1"/>
  <c r="F70" i="32"/>
  <c r="G70" i="32" s="1"/>
  <c r="F71" i="32"/>
  <c r="G71" i="32" s="1"/>
  <c r="F72" i="32"/>
  <c r="G72" i="32" s="1"/>
  <c r="F74" i="32"/>
  <c r="G74" i="32" s="1"/>
  <c r="F75" i="32"/>
  <c r="G75" i="32" s="1"/>
  <c r="F76" i="32"/>
  <c r="G76" i="32" s="1"/>
  <c r="F77" i="32"/>
  <c r="G77" i="32" s="1"/>
  <c r="F78" i="32"/>
  <c r="G78" i="32" s="1"/>
  <c r="F79" i="32"/>
  <c r="G79" i="32" s="1"/>
  <c r="F80" i="32"/>
  <c r="G80" i="32" s="1"/>
  <c r="E64" i="32"/>
  <c r="E65" i="32"/>
  <c r="E66" i="32"/>
  <c r="E67" i="32"/>
  <c r="E68" i="32"/>
  <c r="E69" i="32"/>
  <c r="E70" i="32"/>
  <c r="C64" i="32"/>
  <c r="C65" i="32"/>
  <c r="C66" i="32"/>
  <c r="C67" i="32"/>
  <c r="C68" i="32"/>
  <c r="C69" i="32"/>
  <c r="C70" i="32"/>
  <c r="D10" i="42" l="1"/>
  <c r="F405" i="3"/>
  <c r="G61" i="12"/>
  <c r="F61" i="12"/>
  <c r="H48" i="12"/>
  <c r="E134" i="32"/>
  <c r="F134" i="32" s="1"/>
  <c r="E128" i="32"/>
  <c r="F128" i="32" s="1"/>
  <c r="L124" i="32"/>
  <c r="E120" i="32"/>
  <c r="F120" i="32" s="1"/>
  <c r="E131" i="32"/>
  <c r="F131" i="32" s="1"/>
  <c r="E127" i="32"/>
  <c r="F127" i="32" s="1"/>
  <c r="E123" i="32"/>
  <c r="F123" i="32" s="1"/>
  <c r="B198" i="32" s="1"/>
  <c r="E119" i="32"/>
  <c r="F119" i="32" s="1"/>
  <c r="B194" i="32" s="1"/>
  <c r="E133" i="32"/>
  <c r="F133" i="32" s="1"/>
  <c r="E130" i="32"/>
  <c r="E126" i="32"/>
  <c r="F126" i="32" s="1"/>
  <c r="E122" i="32"/>
  <c r="F122" i="32" s="1"/>
  <c r="B197" i="32" s="1"/>
  <c r="E118" i="32"/>
  <c r="F118" i="32" s="1"/>
  <c r="B193" i="32" s="1"/>
  <c r="E132" i="32"/>
  <c r="F132" i="32" s="1"/>
  <c r="E129" i="32"/>
  <c r="F129" i="32" s="1"/>
  <c r="E125" i="32"/>
  <c r="F125" i="32" s="1"/>
  <c r="E121" i="32"/>
  <c r="F121" i="32" s="1"/>
  <c r="B196" i="32" s="1"/>
  <c r="E117" i="32"/>
  <c r="F117" i="32" s="1"/>
  <c r="B191" i="32"/>
  <c r="D191" i="32" s="1"/>
  <c r="D222" i="32" s="1"/>
  <c r="B195" i="32"/>
  <c r="B160" i="32"/>
  <c r="I74" i="32"/>
  <c r="J74" i="32" s="1"/>
  <c r="B163" i="32" s="1"/>
  <c r="I76" i="32"/>
  <c r="J76" i="32" s="1"/>
  <c r="B165" i="32" s="1"/>
  <c r="I79" i="32"/>
  <c r="J79" i="32" s="1"/>
  <c r="B168" i="32" s="1"/>
  <c r="I72" i="32"/>
  <c r="J72" i="32" s="1"/>
  <c r="B161" i="32" s="1"/>
  <c r="I78" i="32"/>
  <c r="J78" i="32" s="1"/>
  <c r="B167" i="32" s="1"/>
  <c r="I77" i="32"/>
  <c r="J77" i="32" s="1"/>
  <c r="B166" i="32" s="1"/>
  <c r="I75" i="32"/>
  <c r="J75" i="32" s="1"/>
  <c r="I80" i="32"/>
  <c r="J80" i="32" s="1"/>
  <c r="I73" i="32"/>
  <c r="J73" i="32" s="1"/>
  <c r="I69" i="32"/>
  <c r="J69" i="32" s="1"/>
  <c r="B158" i="32" s="1"/>
  <c r="C158" i="32" s="1"/>
  <c r="C183" i="32" s="1"/>
  <c r="I68" i="32"/>
  <c r="J68" i="32" s="1"/>
  <c r="B157" i="32" s="1"/>
  <c r="I67" i="32"/>
  <c r="J67" i="32" s="1"/>
  <c r="B156" i="32" s="1"/>
  <c r="I66" i="32"/>
  <c r="J66" i="32" s="1"/>
  <c r="B155" i="32" s="1"/>
  <c r="I70" i="32"/>
  <c r="J70" i="32" s="1"/>
  <c r="B159" i="32" s="1"/>
  <c r="I65" i="32"/>
  <c r="J65" i="32" s="1"/>
  <c r="I64" i="32"/>
  <c r="J64" i="32" s="1"/>
  <c r="I48" i="12" l="1"/>
  <c r="J48" i="12" s="1"/>
  <c r="G405" i="3"/>
  <c r="L48" i="12" s="1"/>
  <c r="B200" i="32"/>
  <c r="B162" i="32"/>
  <c r="G401" i="56"/>
  <c r="G411" i="56" s="1"/>
  <c r="L133" i="32"/>
  <c r="B206" i="32"/>
  <c r="L131" i="32"/>
  <c r="B207" i="32"/>
  <c r="L134" i="32"/>
  <c r="B208" i="32"/>
  <c r="L132" i="32"/>
  <c r="B205" i="32"/>
  <c r="L127" i="32"/>
  <c r="B203" i="32"/>
  <c r="L128" i="32"/>
  <c r="B199" i="32"/>
  <c r="B154" i="32"/>
  <c r="B153" i="32"/>
  <c r="B169" i="32"/>
  <c r="B204" i="32"/>
  <c r="L129" i="32"/>
  <c r="B201" i="32"/>
  <c r="L126" i="32"/>
  <c r="B202" i="32"/>
  <c r="H61" i="12"/>
  <c r="T267" i="56" l="1"/>
  <c r="F401" i="56"/>
  <c r="F400" i="56" s="1"/>
  <c r="G400" i="56"/>
  <c r="G398" i="56" s="1"/>
  <c r="B192" i="32"/>
  <c r="S267" i="56"/>
  <c r="R267" i="56"/>
  <c r="I61" i="12"/>
  <c r="B164" i="32"/>
  <c r="F411" i="56" l="1"/>
  <c r="G410" i="56"/>
  <c r="F54" i="12"/>
  <c r="E21" i="12" s="1"/>
  <c r="B152" i="32"/>
  <c r="D152" i="32" s="1"/>
  <c r="D183" i="32" s="1"/>
  <c r="J61" i="12"/>
  <c r="F410" i="56" l="1"/>
  <c r="I410" i="56" s="1"/>
  <c r="I411" i="56"/>
  <c r="D54" i="12"/>
  <c r="D21" i="12" s="1"/>
  <c r="F398" i="56"/>
  <c r="G408" i="56"/>
  <c r="G54" i="12"/>
  <c r="A78" i="54"/>
  <c r="I55" i="26"/>
  <c r="I56" i="26"/>
  <c r="I57" i="26"/>
  <c r="I58" i="26"/>
  <c r="I59" i="26"/>
  <c r="I60" i="26"/>
  <c r="I61" i="26"/>
  <c r="I62" i="26"/>
  <c r="I63" i="26"/>
  <c r="I64" i="26"/>
  <c r="I65" i="26"/>
  <c r="I66" i="26"/>
  <c r="I67" i="26"/>
  <c r="I68" i="26"/>
  <c r="I69" i="26"/>
  <c r="I70" i="26"/>
  <c r="I71" i="26"/>
  <c r="I72" i="26"/>
  <c r="I73" i="26"/>
  <c r="I74" i="26"/>
  <c r="I75" i="26"/>
  <c r="I76" i="26"/>
  <c r="I77" i="26"/>
  <c r="I78" i="26"/>
  <c r="I79" i="26"/>
  <c r="I80" i="26"/>
  <c r="I81" i="26"/>
  <c r="I82" i="26"/>
  <c r="I83" i="26"/>
  <c r="I84" i="26"/>
  <c r="I85" i="26"/>
  <c r="I86" i="26"/>
  <c r="I87" i="26"/>
  <c r="I88" i="26"/>
  <c r="I89" i="26"/>
  <c r="I90" i="26"/>
  <c r="I91" i="26"/>
  <c r="I92" i="26"/>
  <c r="I93" i="26"/>
  <c r="I94" i="26"/>
  <c r="I95" i="26"/>
  <c r="I96" i="26"/>
  <c r="I97" i="26"/>
  <c r="I98" i="26"/>
  <c r="I99" i="26"/>
  <c r="I100" i="26"/>
  <c r="I101" i="26"/>
  <c r="I102" i="26"/>
  <c r="I103" i="26"/>
  <c r="I104" i="26"/>
  <c r="I105" i="26"/>
  <c r="I106" i="26"/>
  <c r="I107" i="26"/>
  <c r="I108" i="26"/>
  <c r="I109" i="26"/>
  <c r="I110" i="26"/>
  <c r="I111" i="26"/>
  <c r="I112" i="26"/>
  <c r="I113" i="26"/>
  <c r="I114" i="26"/>
  <c r="I115" i="26"/>
  <c r="I116" i="26"/>
  <c r="I117" i="26"/>
  <c r="I118" i="26"/>
  <c r="I119" i="26"/>
  <c r="I120" i="26"/>
  <c r="I121" i="26"/>
  <c r="I122" i="26"/>
  <c r="I123" i="26"/>
  <c r="I124" i="26"/>
  <c r="I125" i="26"/>
  <c r="I126" i="26"/>
  <c r="I127" i="26"/>
  <c r="I128" i="26"/>
  <c r="I129" i="26"/>
  <c r="I130" i="26"/>
  <c r="I131" i="26"/>
  <c r="I132" i="26"/>
  <c r="I133" i="26"/>
  <c r="I134" i="26"/>
  <c r="I135" i="26"/>
  <c r="I136" i="26"/>
  <c r="I137" i="26"/>
  <c r="I138" i="26"/>
  <c r="I139" i="26"/>
  <c r="I140" i="26"/>
  <c r="I141" i="26"/>
  <c r="I142" i="26"/>
  <c r="I143" i="26"/>
  <c r="I144" i="26"/>
  <c r="I145" i="26"/>
  <c r="I146" i="26"/>
  <c r="I147" i="26"/>
  <c r="I148" i="26"/>
  <c r="I149" i="26"/>
  <c r="I150" i="26"/>
  <c r="I151" i="26"/>
  <c r="I152" i="26"/>
  <c r="I153" i="26"/>
  <c r="I54" i="26"/>
  <c r="L56" i="26" l="1"/>
  <c r="J56" i="26"/>
  <c r="K55" i="26"/>
  <c r="L55" i="26"/>
  <c r="E54" i="12"/>
  <c r="G21" i="12" s="1"/>
  <c r="F408" i="56"/>
  <c r="H21" i="12"/>
  <c r="J54" i="26"/>
  <c r="J154" i="26" s="1"/>
  <c r="K54" i="26"/>
  <c r="K154" i="26" s="1"/>
  <c r="A70" i="54"/>
  <c r="L154" i="26" l="1"/>
  <c r="J21" i="12"/>
  <c r="J54" i="12"/>
  <c r="I52" i="18"/>
  <c r="D52" i="18"/>
  <c r="J52" i="18" l="1"/>
  <c r="K52" i="18"/>
  <c r="J402" i="19"/>
  <c r="J288" i="19"/>
  <c r="J289" i="19"/>
  <c r="J290" i="19"/>
  <c r="J291" i="19"/>
  <c r="J292" i="19"/>
  <c r="J293" i="19"/>
  <c r="J294" i="19"/>
  <c r="J295" i="19"/>
  <c r="J296" i="19"/>
  <c r="J297" i="19"/>
  <c r="J298" i="19"/>
  <c r="J299" i="19"/>
  <c r="J300" i="19"/>
  <c r="J301" i="19"/>
  <c r="J302" i="19"/>
  <c r="J303" i="19"/>
  <c r="J304" i="19"/>
  <c r="J305" i="19"/>
  <c r="J306" i="19"/>
  <c r="J307" i="19"/>
  <c r="J308" i="19"/>
  <c r="J309" i="19"/>
  <c r="J310" i="19"/>
  <c r="J311" i="19"/>
  <c r="J312" i="19"/>
  <c r="J313" i="19"/>
  <c r="J314" i="19"/>
  <c r="J315" i="19"/>
  <c r="J316" i="19"/>
  <c r="J317" i="19"/>
  <c r="J318" i="19"/>
  <c r="J319" i="19"/>
  <c r="J320" i="19"/>
  <c r="J321" i="19"/>
  <c r="J322" i="19"/>
  <c r="J323" i="19"/>
  <c r="J324" i="19"/>
  <c r="J325" i="19"/>
  <c r="J326" i="19"/>
  <c r="J327" i="19"/>
  <c r="J328" i="19"/>
  <c r="J329" i="19"/>
  <c r="J330" i="19"/>
  <c r="J331" i="19"/>
  <c r="J332" i="19"/>
  <c r="J333" i="19"/>
  <c r="J334" i="19"/>
  <c r="J335" i="19"/>
  <c r="J336" i="19"/>
  <c r="J337" i="19"/>
  <c r="J338" i="19"/>
  <c r="J339" i="19"/>
  <c r="J340" i="19"/>
  <c r="J341" i="19"/>
  <c r="J342" i="19"/>
  <c r="J343" i="19"/>
  <c r="J344" i="19"/>
  <c r="J345" i="19"/>
  <c r="J346" i="19"/>
  <c r="J347" i="19"/>
  <c r="J348" i="19"/>
  <c r="J349" i="19"/>
  <c r="J350" i="19"/>
  <c r="J351" i="19"/>
  <c r="J352" i="19"/>
  <c r="J353" i="19"/>
  <c r="J354" i="19"/>
  <c r="J355" i="19"/>
  <c r="J356" i="19"/>
  <c r="J357" i="19"/>
  <c r="J358" i="19"/>
  <c r="J359" i="19"/>
  <c r="J360" i="19"/>
  <c r="J361" i="19"/>
  <c r="J362" i="19"/>
  <c r="J363" i="19"/>
  <c r="J364" i="19"/>
  <c r="J365" i="19"/>
  <c r="J366" i="19"/>
  <c r="J367" i="19"/>
  <c r="J368" i="19"/>
  <c r="J369" i="19"/>
  <c r="J370" i="19"/>
  <c r="J371" i="19"/>
  <c r="J372" i="19"/>
  <c r="J373" i="19"/>
  <c r="J374" i="19"/>
  <c r="J375" i="19"/>
  <c r="J376" i="19"/>
  <c r="J377" i="19"/>
  <c r="J378" i="19"/>
  <c r="J379" i="19"/>
  <c r="J380" i="19"/>
  <c r="J381" i="19"/>
  <c r="J382" i="19"/>
  <c r="J383" i="19"/>
  <c r="J384" i="19"/>
  <c r="J385" i="19"/>
  <c r="L286" i="19"/>
  <c r="M286" i="19"/>
  <c r="J285" i="19"/>
  <c r="J170" i="19"/>
  <c r="J171" i="19"/>
  <c r="J172" i="19"/>
  <c r="P172" i="19" s="1"/>
  <c r="K172" i="19"/>
  <c r="J173" i="19"/>
  <c r="K173" i="19"/>
  <c r="J174" i="19"/>
  <c r="P174" i="19" s="1"/>
  <c r="K174" i="19"/>
  <c r="J175" i="19"/>
  <c r="K175" i="19"/>
  <c r="J176" i="19"/>
  <c r="P176" i="19" s="1"/>
  <c r="K176" i="19"/>
  <c r="J177" i="19"/>
  <c r="K177" i="19"/>
  <c r="J178" i="19"/>
  <c r="P178" i="19" s="1"/>
  <c r="K178" i="19"/>
  <c r="J179" i="19"/>
  <c r="K179" i="19"/>
  <c r="J180" i="19"/>
  <c r="K180" i="19"/>
  <c r="J181" i="19"/>
  <c r="K181" i="19"/>
  <c r="J182" i="19"/>
  <c r="K182" i="19"/>
  <c r="J183" i="19"/>
  <c r="K183" i="19"/>
  <c r="J184" i="19"/>
  <c r="K184" i="19"/>
  <c r="J185" i="19"/>
  <c r="K185" i="19"/>
  <c r="J186" i="19"/>
  <c r="K186" i="19"/>
  <c r="J187" i="19"/>
  <c r="K187" i="19"/>
  <c r="J188" i="19"/>
  <c r="K188" i="19"/>
  <c r="J189" i="19"/>
  <c r="K189" i="19"/>
  <c r="J190" i="19"/>
  <c r="K190" i="19"/>
  <c r="J191" i="19"/>
  <c r="K191" i="19"/>
  <c r="J192" i="19"/>
  <c r="K192" i="19"/>
  <c r="J193" i="19"/>
  <c r="K193" i="19"/>
  <c r="J194" i="19"/>
  <c r="K194" i="19"/>
  <c r="J195" i="19"/>
  <c r="K195" i="19"/>
  <c r="J196" i="19"/>
  <c r="K196" i="19"/>
  <c r="J197" i="19"/>
  <c r="K197" i="19"/>
  <c r="J198" i="19"/>
  <c r="K198" i="19"/>
  <c r="J199" i="19"/>
  <c r="K199" i="19"/>
  <c r="J200" i="19"/>
  <c r="K200" i="19"/>
  <c r="J201" i="19"/>
  <c r="K201" i="19"/>
  <c r="J202" i="19"/>
  <c r="K202" i="19"/>
  <c r="J203" i="19"/>
  <c r="K203" i="19"/>
  <c r="J204" i="19"/>
  <c r="K204" i="19"/>
  <c r="J205" i="19"/>
  <c r="K205" i="19"/>
  <c r="J206" i="19"/>
  <c r="K206" i="19"/>
  <c r="J207" i="19"/>
  <c r="K207" i="19"/>
  <c r="J208" i="19"/>
  <c r="K208" i="19"/>
  <c r="J209" i="19"/>
  <c r="K209" i="19"/>
  <c r="J210" i="19"/>
  <c r="K210" i="19"/>
  <c r="J211" i="19"/>
  <c r="K211" i="19"/>
  <c r="J212" i="19"/>
  <c r="K212" i="19"/>
  <c r="J213" i="19"/>
  <c r="K213" i="19"/>
  <c r="J214" i="19"/>
  <c r="K214" i="19"/>
  <c r="J215" i="19"/>
  <c r="K215" i="19"/>
  <c r="J216" i="19"/>
  <c r="K216" i="19"/>
  <c r="J217" i="19"/>
  <c r="K217" i="19"/>
  <c r="J218" i="19"/>
  <c r="K218" i="19"/>
  <c r="J219" i="19"/>
  <c r="K219" i="19"/>
  <c r="J220" i="19"/>
  <c r="K220" i="19"/>
  <c r="J221" i="19"/>
  <c r="K221" i="19"/>
  <c r="J222" i="19"/>
  <c r="K222" i="19"/>
  <c r="J223" i="19"/>
  <c r="K223" i="19"/>
  <c r="J224" i="19"/>
  <c r="K224" i="19"/>
  <c r="J225" i="19"/>
  <c r="K225" i="19"/>
  <c r="J226" i="19"/>
  <c r="K226" i="19"/>
  <c r="J227" i="19"/>
  <c r="K227" i="19"/>
  <c r="J228" i="19"/>
  <c r="K228" i="19"/>
  <c r="J229" i="19"/>
  <c r="K229" i="19"/>
  <c r="J230" i="19"/>
  <c r="K230" i="19"/>
  <c r="J231" i="19"/>
  <c r="K231" i="19"/>
  <c r="J232" i="19"/>
  <c r="K232" i="19"/>
  <c r="J233" i="19"/>
  <c r="K233" i="19"/>
  <c r="J234" i="19"/>
  <c r="K234" i="19"/>
  <c r="J235" i="19"/>
  <c r="K235" i="19"/>
  <c r="J236" i="19"/>
  <c r="K236" i="19"/>
  <c r="J237" i="19"/>
  <c r="K237" i="19"/>
  <c r="J238" i="19"/>
  <c r="K238" i="19"/>
  <c r="J239" i="19"/>
  <c r="K239" i="19"/>
  <c r="J240" i="19"/>
  <c r="K240" i="19"/>
  <c r="J241" i="19"/>
  <c r="K241" i="19"/>
  <c r="J242" i="19"/>
  <c r="K242" i="19"/>
  <c r="J243" i="19"/>
  <c r="K243" i="19"/>
  <c r="J244" i="19"/>
  <c r="K244" i="19"/>
  <c r="J245" i="19"/>
  <c r="K245" i="19"/>
  <c r="J246" i="19"/>
  <c r="K246" i="19"/>
  <c r="J247" i="19"/>
  <c r="K247" i="19"/>
  <c r="J248" i="19"/>
  <c r="K248" i="19"/>
  <c r="J249" i="19"/>
  <c r="K249" i="19"/>
  <c r="J250" i="19"/>
  <c r="K250" i="19"/>
  <c r="J251" i="19"/>
  <c r="K251" i="19"/>
  <c r="J252" i="19"/>
  <c r="K252" i="19"/>
  <c r="J253" i="19"/>
  <c r="K253" i="19"/>
  <c r="J254" i="19"/>
  <c r="K254" i="19"/>
  <c r="J255" i="19"/>
  <c r="K255" i="19"/>
  <c r="J256" i="19"/>
  <c r="K256" i="19"/>
  <c r="J257" i="19"/>
  <c r="K257" i="19"/>
  <c r="J258" i="19"/>
  <c r="K258" i="19"/>
  <c r="J259" i="19"/>
  <c r="K259" i="19"/>
  <c r="J260" i="19"/>
  <c r="K260" i="19"/>
  <c r="J261" i="19"/>
  <c r="K261" i="19"/>
  <c r="J262" i="19"/>
  <c r="K262" i="19"/>
  <c r="J263" i="19"/>
  <c r="K263" i="19"/>
  <c r="J264" i="19"/>
  <c r="K264" i="19"/>
  <c r="J265" i="19"/>
  <c r="K265" i="19"/>
  <c r="J266" i="19"/>
  <c r="K266" i="19"/>
  <c r="J267" i="19"/>
  <c r="K267" i="19"/>
  <c r="J268" i="19"/>
  <c r="K268" i="19"/>
  <c r="J169" i="19"/>
  <c r="L169" i="19"/>
  <c r="M169" i="19"/>
  <c r="J168" i="19"/>
  <c r="H52" i="19"/>
  <c r="I52" i="19"/>
  <c r="J52" i="19"/>
  <c r="K52" i="19"/>
  <c r="H53" i="19"/>
  <c r="I53" i="19"/>
  <c r="J53" i="19"/>
  <c r="K53" i="19"/>
  <c r="H54" i="19"/>
  <c r="I54" i="19"/>
  <c r="J54" i="19"/>
  <c r="K54" i="19"/>
  <c r="H55" i="19"/>
  <c r="I55" i="19"/>
  <c r="J55" i="19"/>
  <c r="K55" i="19"/>
  <c r="H56" i="19"/>
  <c r="I56" i="19"/>
  <c r="J56" i="19"/>
  <c r="K56" i="19"/>
  <c r="H57" i="19"/>
  <c r="I57" i="19"/>
  <c r="J57" i="19"/>
  <c r="K57" i="19"/>
  <c r="H58" i="19"/>
  <c r="I58" i="19"/>
  <c r="J58" i="19"/>
  <c r="K58" i="19"/>
  <c r="H59" i="19"/>
  <c r="I59" i="19"/>
  <c r="J59" i="19"/>
  <c r="K59" i="19"/>
  <c r="H60" i="19"/>
  <c r="I60" i="19"/>
  <c r="J60" i="19"/>
  <c r="K60" i="19"/>
  <c r="H61" i="19"/>
  <c r="I61" i="19"/>
  <c r="J61" i="19"/>
  <c r="K61" i="19"/>
  <c r="K51" i="19"/>
  <c r="P171" i="19" l="1"/>
  <c r="P169" i="19"/>
  <c r="P179" i="19"/>
  <c r="P177" i="19"/>
  <c r="P175" i="19"/>
  <c r="P173" i="19"/>
  <c r="P170" i="19"/>
  <c r="D115" i="20"/>
  <c r="T115" i="20" s="1"/>
  <c r="D101" i="20"/>
  <c r="T101" i="20" s="1"/>
  <c r="D83" i="20"/>
  <c r="T83" i="20" s="1"/>
  <c r="D55" i="20"/>
  <c r="T55" i="20" s="1"/>
  <c r="N59" i="19"/>
  <c r="L59" i="19"/>
  <c r="M59" i="19"/>
  <c r="D67" i="20"/>
  <c r="T67" i="20" s="1"/>
  <c r="D53" i="20"/>
  <c r="T53" i="20" s="1"/>
  <c r="D41" i="20"/>
  <c r="T41" i="20" s="1"/>
  <c r="D35" i="20"/>
  <c r="T35" i="20" s="1"/>
  <c r="L61" i="19"/>
  <c r="M61" i="19"/>
  <c r="N61" i="19"/>
  <c r="D120" i="20"/>
  <c r="T120" i="20" s="1"/>
  <c r="D104" i="20"/>
  <c r="T104" i="20" s="1"/>
  <c r="D100" i="20"/>
  <c r="T100" i="20" s="1"/>
  <c r="D88" i="20"/>
  <c r="T88" i="20" s="1"/>
  <c r="D84" i="20"/>
  <c r="T84" i="20" s="1"/>
  <c r="D72" i="20"/>
  <c r="T72" i="20" s="1"/>
  <c r="D70" i="20"/>
  <c r="T70" i="20" s="1"/>
  <c r="D56" i="20"/>
  <c r="T56" i="20" s="1"/>
  <c r="D52" i="20"/>
  <c r="T52" i="20" s="1"/>
  <c r="D40" i="20"/>
  <c r="T40" i="20" s="1"/>
  <c r="N60" i="19"/>
  <c r="L60" i="19"/>
  <c r="M60" i="19"/>
  <c r="N58" i="19"/>
  <c r="L58" i="19"/>
  <c r="M58" i="19"/>
  <c r="M56" i="19"/>
  <c r="L56" i="19"/>
  <c r="N56" i="19"/>
  <c r="D63" i="20"/>
  <c r="T63" i="20" s="1"/>
  <c r="L57" i="19"/>
  <c r="M57" i="19"/>
  <c r="N57" i="19"/>
  <c r="M55" i="19"/>
  <c r="L55" i="19"/>
  <c r="N55" i="19"/>
  <c r="N51" i="19"/>
  <c r="N54" i="19"/>
  <c r="L54" i="19"/>
  <c r="M54" i="19"/>
  <c r="M53" i="19"/>
  <c r="N53" i="19"/>
  <c r="L53" i="19"/>
  <c r="M52" i="19"/>
  <c r="L52" i="19"/>
  <c r="N52" i="19"/>
  <c r="E135" i="27"/>
  <c r="E134" i="27"/>
  <c r="E133" i="27"/>
  <c r="E132" i="27"/>
  <c r="E131" i="27"/>
  <c r="E130" i="27"/>
  <c r="E121" i="27"/>
  <c r="E120" i="27"/>
  <c r="E119" i="27"/>
  <c r="E118" i="27"/>
  <c r="E117" i="27"/>
  <c r="E108" i="27"/>
  <c r="E107" i="27"/>
  <c r="K171" i="19" s="1"/>
  <c r="E106" i="27"/>
  <c r="E105" i="27"/>
  <c r="I51" i="19"/>
  <c r="L51" i="19" s="1"/>
  <c r="K170" i="19" l="1"/>
  <c r="D239" i="27"/>
  <c r="D44" i="20"/>
  <c r="T44" i="20" s="1"/>
  <c r="D82" i="20"/>
  <c r="T82" i="20" s="1"/>
  <c r="D98" i="20"/>
  <c r="T98" i="20" s="1"/>
  <c r="D77" i="20"/>
  <c r="T77" i="20" s="1"/>
  <c r="D50" i="20"/>
  <c r="T50" i="20" s="1"/>
  <c r="D92" i="20"/>
  <c r="T92" i="20" s="1"/>
  <c r="D32" i="20"/>
  <c r="T32" i="20" s="1"/>
  <c r="D48" i="20"/>
  <c r="T48" i="20" s="1"/>
  <c r="D64" i="20"/>
  <c r="T64" i="20" s="1"/>
  <c r="D80" i="20"/>
  <c r="T80" i="20" s="1"/>
  <c r="D96" i="20"/>
  <c r="T96" i="20" s="1"/>
  <c r="D112" i="20"/>
  <c r="T112" i="20" s="1"/>
  <c r="D76" i="20"/>
  <c r="T76" i="20" s="1"/>
  <c r="D60" i="20"/>
  <c r="T60" i="20" s="1"/>
  <c r="D69" i="20"/>
  <c r="T69" i="20" s="1"/>
  <c r="D117" i="20"/>
  <c r="T117" i="20" s="1"/>
  <c r="D66" i="20"/>
  <c r="T66" i="20" s="1"/>
  <c r="D73" i="20"/>
  <c r="T73" i="20" s="1"/>
  <c r="O60" i="19"/>
  <c r="D30" i="20" s="1"/>
  <c r="T30" i="20" s="1"/>
  <c r="D119" i="20"/>
  <c r="T119" i="20" s="1"/>
  <c r="D89" i="20"/>
  <c r="T89" i="20" s="1"/>
  <c r="D105" i="20"/>
  <c r="T105" i="20" s="1"/>
  <c r="D78" i="20"/>
  <c r="T78" i="20" s="1"/>
  <c r="D61" i="20"/>
  <c r="T61" i="20" s="1"/>
  <c r="D68" i="20"/>
  <c r="T68" i="20" s="1"/>
  <c r="D58" i="20"/>
  <c r="T58" i="20" s="1"/>
  <c r="O61" i="19"/>
  <c r="D31" i="20" s="1"/>
  <c r="T31" i="20" s="1"/>
  <c r="D79" i="20"/>
  <c r="T79" i="20" s="1"/>
  <c r="D49" i="20"/>
  <c r="T49" i="20" s="1"/>
  <c r="D97" i="20"/>
  <c r="T97" i="20" s="1"/>
  <c r="D51" i="20"/>
  <c r="T51" i="20" s="1"/>
  <c r="D99" i="20"/>
  <c r="T99" i="20" s="1"/>
  <c r="D114" i="20"/>
  <c r="T114" i="20" s="1"/>
  <c r="D103" i="20"/>
  <c r="T103" i="20" s="1"/>
  <c r="D87" i="20"/>
  <c r="T87" i="20" s="1"/>
  <c r="D36" i="20"/>
  <c r="T36" i="20" s="1"/>
  <c r="D62" i="20"/>
  <c r="T62" i="20" s="1"/>
  <c r="D57" i="20"/>
  <c r="T57" i="20" s="1"/>
  <c r="D90" i="20"/>
  <c r="T90" i="20" s="1"/>
  <c r="D106" i="20"/>
  <c r="T106" i="20" s="1"/>
  <c r="D107" i="20"/>
  <c r="T107" i="20" s="1"/>
  <c r="O59" i="19"/>
  <c r="D29" i="20" s="1"/>
  <c r="T29" i="20" s="1"/>
  <c r="O57" i="19"/>
  <c r="D27" i="20" s="1"/>
  <c r="T27" i="20" s="1"/>
  <c r="D45" i="20"/>
  <c r="T45" i="20" s="1"/>
  <c r="D75" i="20"/>
  <c r="T75" i="20" s="1"/>
  <c r="D93" i="20"/>
  <c r="T93" i="20" s="1"/>
  <c r="D42" i="20"/>
  <c r="T42" i="20" s="1"/>
  <c r="D33" i="20"/>
  <c r="T33" i="20" s="1"/>
  <c r="D38" i="20"/>
  <c r="T38" i="20" s="1"/>
  <c r="D54" i="20"/>
  <c r="T54" i="20" s="1"/>
  <c r="D86" i="20"/>
  <c r="T86" i="20" s="1"/>
  <c r="D102" i="20"/>
  <c r="T102" i="20" s="1"/>
  <c r="D108" i="20"/>
  <c r="T108" i="20" s="1"/>
  <c r="D118" i="20"/>
  <c r="T118" i="20" s="1"/>
  <c r="D47" i="20"/>
  <c r="T47" i="20" s="1"/>
  <c r="D95" i="20"/>
  <c r="T95" i="20" s="1"/>
  <c r="D113" i="20"/>
  <c r="T113" i="20" s="1"/>
  <c r="D65" i="20"/>
  <c r="T65" i="20" s="1"/>
  <c r="D34" i="20"/>
  <c r="T34" i="20" s="1"/>
  <c r="D39" i="20"/>
  <c r="T39" i="20" s="1"/>
  <c r="D110" i="20"/>
  <c r="T110" i="20" s="1"/>
  <c r="D71" i="20"/>
  <c r="T71" i="20" s="1"/>
  <c r="D46" i="20"/>
  <c r="T46" i="20" s="1"/>
  <c r="D94" i="20"/>
  <c r="T94" i="20" s="1"/>
  <c r="D116" i="20"/>
  <c r="T116" i="20" s="1"/>
  <c r="D91" i="20"/>
  <c r="T91" i="20" s="1"/>
  <c r="D43" i="20"/>
  <c r="T43" i="20" s="1"/>
  <c r="D109" i="20"/>
  <c r="T109" i="20" s="1"/>
  <c r="O56" i="19"/>
  <c r="D26" i="20" s="1"/>
  <c r="T26" i="20" s="1"/>
  <c r="D74" i="20"/>
  <c r="T74" i="20" s="1"/>
  <c r="D59" i="20"/>
  <c r="T59" i="20" s="1"/>
  <c r="O55" i="19"/>
  <c r="D25" i="20" s="1"/>
  <c r="T25" i="20" s="1"/>
  <c r="D81" i="20"/>
  <c r="T81" i="20" s="1"/>
  <c r="D111" i="20"/>
  <c r="T111" i="20" s="1"/>
  <c r="O58" i="19"/>
  <c r="D28" i="20" s="1"/>
  <c r="T28" i="20" s="1"/>
  <c r="D85" i="20"/>
  <c r="T85" i="20" s="1"/>
  <c r="D37" i="20"/>
  <c r="T37" i="20" s="1"/>
  <c r="K286" i="19"/>
  <c r="O51" i="19"/>
  <c r="K403" i="19"/>
  <c r="L151" i="19"/>
  <c r="K169" i="19"/>
  <c r="N151" i="19"/>
  <c r="M151" i="19"/>
  <c r="Q168" i="19"/>
  <c r="C9" i="53"/>
  <c r="C25" i="53" l="1"/>
  <c r="C24" i="53"/>
  <c r="C23" i="53"/>
  <c r="C11" i="53"/>
  <c r="C10" i="53"/>
  <c r="J322" i="20"/>
  <c r="E322" i="20"/>
  <c r="G323" i="20"/>
  <c r="E323" i="20"/>
  <c r="E324" i="20"/>
  <c r="I324" i="20" s="1"/>
  <c r="E325" i="20"/>
  <c r="G326" i="20"/>
  <c r="E326" i="20"/>
  <c r="E327" i="20"/>
  <c r="E328" i="20"/>
  <c r="E329" i="20"/>
  <c r="E330" i="20"/>
  <c r="E331" i="20"/>
  <c r="E332" i="20"/>
  <c r="H333" i="20"/>
  <c r="E333" i="20"/>
  <c r="G334" i="20"/>
  <c r="E334" i="20"/>
  <c r="E335" i="20"/>
  <c r="E336" i="20"/>
  <c r="E337" i="20"/>
  <c r="H338" i="20"/>
  <c r="E338" i="20"/>
  <c r="H339" i="20"/>
  <c r="E339" i="20"/>
  <c r="E340" i="20"/>
  <c r="H341" i="20"/>
  <c r="E341" i="20"/>
  <c r="E342" i="20"/>
  <c r="E343" i="20"/>
  <c r="E344" i="20"/>
  <c r="E345" i="20"/>
  <c r="H346" i="20"/>
  <c r="E346" i="20"/>
  <c r="K347" i="20"/>
  <c r="E347" i="20"/>
  <c r="E348" i="20"/>
  <c r="E349" i="20"/>
  <c r="G350" i="20"/>
  <c r="E350" i="20"/>
  <c r="E351" i="20"/>
  <c r="E352" i="20"/>
  <c r="E353" i="20"/>
  <c r="J354" i="20"/>
  <c r="E354" i="20"/>
  <c r="G355" i="20"/>
  <c r="E355" i="20"/>
  <c r="I356" i="20"/>
  <c r="E356" i="20"/>
  <c r="H357" i="20"/>
  <c r="E357" i="20"/>
  <c r="E358" i="20"/>
  <c r="E359" i="20"/>
  <c r="E360" i="20"/>
  <c r="E361" i="20"/>
  <c r="E362" i="20"/>
  <c r="E363" i="20"/>
  <c r="I363" i="20" s="1"/>
  <c r="I364" i="20"/>
  <c r="E364" i="20"/>
  <c r="H365" i="20"/>
  <c r="E365" i="20"/>
  <c r="G366" i="20"/>
  <c r="E366" i="20"/>
  <c r="E367" i="20"/>
  <c r="E368" i="20"/>
  <c r="E369" i="20"/>
  <c r="I370" i="20"/>
  <c r="E370" i="20"/>
  <c r="E371" i="20"/>
  <c r="G372" i="20"/>
  <c r="E372" i="20"/>
  <c r="E373" i="20"/>
  <c r="G374" i="20"/>
  <c r="E374" i="20"/>
  <c r="E375" i="20"/>
  <c r="E376" i="20"/>
  <c r="E377" i="20"/>
  <c r="J378" i="20"/>
  <c r="E378" i="20"/>
  <c r="G379" i="20"/>
  <c r="E379" i="20"/>
  <c r="E380" i="20"/>
  <c r="H381" i="20"/>
  <c r="E381" i="20"/>
  <c r="G382" i="20"/>
  <c r="E382" i="20"/>
  <c r="E383" i="20"/>
  <c r="E384" i="20"/>
  <c r="E385" i="20"/>
  <c r="E386" i="20"/>
  <c r="I387" i="20"/>
  <c r="E387" i="20"/>
  <c r="J388" i="20"/>
  <c r="E388" i="20"/>
  <c r="H389" i="20"/>
  <c r="E389" i="20"/>
  <c r="G390" i="20"/>
  <c r="E390" i="20"/>
  <c r="E391" i="20"/>
  <c r="E392" i="20"/>
  <c r="E393" i="20"/>
  <c r="G394" i="20"/>
  <c r="E394" i="20"/>
  <c r="E395" i="20"/>
  <c r="J396" i="20"/>
  <c r="E396" i="20"/>
  <c r="H397" i="20"/>
  <c r="E397" i="20"/>
  <c r="E398" i="20"/>
  <c r="E399" i="20"/>
  <c r="E400" i="20"/>
  <c r="E401" i="20"/>
  <c r="G402" i="20"/>
  <c r="E402" i="20"/>
  <c r="E403" i="20"/>
  <c r="J404" i="20"/>
  <c r="E404" i="20"/>
  <c r="H405" i="20"/>
  <c r="E405" i="20"/>
  <c r="G406" i="20"/>
  <c r="E406" i="20"/>
  <c r="E407" i="20"/>
  <c r="E408" i="20"/>
  <c r="E409" i="20"/>
  <c r="J410" i="20"/>
  <c r="E410" i="20"/>
  <c r="E411" i="20"/>
  <c r="H412" i="20"/>
  <c r="E412" i="20"/>
  <c r="H413" i="20"/>
  <c r="E413" i="20"/>
  <c r="E414" i="20"/>
  <c r="E415" i="20"/>
  <c r="E416" i="20"/>
  <c r="E417" i="20"/>
  <c r="E418" i="20"/>
  <c r="J419" i="20"/>
  <c r="E419" i="20"/>
  <c r="G420" i="20"/>
  <c r="E420" i="20"/>
  <c r="E321" i="20"/>
  <c r="K321" i="20"/>
  <c r="F222" i="20"/>
  <c r="V222" i="20" s="1"/>
  <c r="E222" i="20"/>
  <c r="E223" i="20"/>
  <c r="J224" i="20"/>
  <c r="E224" i="20"/>
  <c r="F225" i="20"/>
  <c r="E225" i="20"/>
  <c r="E226" i="20"/>
  <c r="K226" i="20" s="1"/>
  <c r="E227" i="20"/>
  <c r="E228" i="20"/>
  <c r="K229" i="20"/>
  <c r="E229" i="20"/>
  <c r="E230" i="20"/>
  <c r="E231" i="20"/>
  <c r="J232" i="20"/>
  <c r="E232" i="20"/>
  <c r="F233" i="20"/>
  <c r="E233" i="20"/>
  <c r="F234" i="20"/>
  <c r="E234" i="20"/>
  <c r="E235" i="20"/>
  <c r="I236" i="20"/>
  <c r="E236" i="20"/>
  <c r="E237" i="20"/>
  <c r="F238" i="20"/>
  <c r="E238" i="20"/>
  <c r="E239" i="20"/>
  <c r="E240" i="20"/>
  <c r="G241" i="20"/>
  <c r="E241" i="20"/>
  <c r="F242" i="20"/>
  <c r="E242" i="20"/>
  <c r="E243" i="20"/>
  <c r="F244" i="20"/>
  <c r="E244" i="20"/>
  <c r="J245" i="20"/>
  <c r="E245" i="20"/>
  <c r="F246" i="20"/>
  <c r="E246" i="20"/>
  <c r="F247" i="20"/>
  <c r="E247" i="20"/>
  <c r="J248" i="20"/>
  <c r="E248" i="20"/>
  <c r="F249" i="20"/>
  <c r="E249" i="20"/>
  <c r="E250" i="20"/>
  <c r="F251" i="20"/>
  <c r="E251" i="20"/>
  <c r="E252" i="20"/>
  <c r="E253" i="20"/>
  <c r="F254" i="20"/>
  <c r="E254" i="20"/>
  <c r="E255" i="20"/>
  <c r="E256" i="20"/>
  <c r="K256" i="20" s="1"/>
  <c r="G257" i="20"/>
  <c r="E257" i="20"/>
  <c r="F258" i="20"/>
  <c r="E258" i="20"/>
  <c r="G259" i="20"/>
  <c r="E259" i="20"/>
  <c r="F260" i="20"/>
  <c r="E260" i="20"/>
  <c r="G261" i="20"/>
  <c r="E261" i="20"/>
  <c r="F262" i="20"/>
  <c r="E262" i="20"/>
  <c r="E263" i="20"/>
  <c r="J264" i="20"/>
  <c r="E264" i="20"/>
  <c r="J265" i="20"/>
  <c r="E265" i="20"/>
  <c r="K266" i="20"/>
  <c r="E266" i="20"/>
  <c r="F267" i="20"/>
  <c r="E267" i="20"/>
  <c r="E268" i="20"/>
  <c r="I269" i="20"/>
  <c r="E269" i="20"/>
  <c r="F270" i="20"/>
  <c r="E270" i="20"/>
  <c r="F271" i="20"/>
  <c r="E271" i="20"/>
  <c r="J272" i="20"/>
  <c r="E272" i="20"/>
  <c r="F273" i="20"/>
  <c r="E273" i="20"/>
  <c r="E274" i="20"/>
  <c r="E275" i="20"/>
  <c r="E276" i="20"/>
  <c r="E277" i="20"/>
  <c r="F278" i="20"/>
  <c r="E278" i="20"/>
  <c r="F279" i="20"/>
  <c r="E279" i="20"/>
  <c r="G280" i="20"/>
  <c r="E280" i="20"/>
  <c r="G281" i="20"/>
  <c r="E281" i="20"/>
  <c r="F282" i="20"/>
  <c r="E282" i="20"/>
  <c r="I283" i="20"/>
  <c r="E283" i="20"/>
  <c r="F284" i="20"/>
  <c r="E284" i="20"/>
  <c r="G285" i="20"/>
  <c r="E285" i="20"/>
  <c r="F286" i="20"/>
  <c r="E286" i="20"/>
  <c r="F287" i="20"/>
  <c r="E287" i="20"/>
  <c r="J288" i="20"/>
  <c r="E288" i="20"/>
  <c r="I289" i="20"/>
  <c r="E289" i="20"/>
  <c r="F290" i="20"/>
  <c r="E290" i="20"/>
  <c r="J291" i="20"/>
  <c r="E291" i="20"/>
  <c r="F292" i="20"/>
  <c r="E292" i="20"/>
  <c r="F293" i="20"/>
  <c r="E293" i="20"/>
  <c r="E294" i="20"/>
  <c r="F295" i="20"/>
  <c r="E295" i="20"/>
  <c r="J296" i="20"/>
  <c r="E296" i="20"/>
  <c r="E297" i="20"/>
  <c r="G298" i="20"/>
  <c r="E298" i="20"/>
  <c r="F299" i="20"/>
  <c r="E299" i="20"/>
  <c r="E300" i="20"/>
  <c r="E301" i="20"/>
  <c r="F302" i="20"/>
  <c r="E302" i="20"/>
  <c r="E303" i="20"/>
  <c r="J304" i="20"/>
  <c r="E304" i="20"/>
  <c r="I305" i="20"/>
  <c r="E305" i="20"/>
  <c r="F306" i="20"/>
  <c r="E306" i="20"/>
  <c r="J307" i="20"/>
  <c r="E307" i="20"/>
  <c r="F308" i="20"/>
  <c r="E308" i="20"/>
  <c r="E309" i="20"/>
  <c r="F310" i="20"/>
  <c r="E310" i="20"/>
  <c r="F311" i="20"/>
  <c r="E311" i="20"/>
  <c r="J312" i="20"/>
  <c r="E312" i="20"/>
  <c r="I313" i="20"/>
  <c r="E313" i="20"/>
  <c r="F314" i="20"/>
  <c r="E314" i="20"/>
  <c r="J315" i="20"/>
  <c r="E315" i="20"/>
  <c r="F316" i="20"/>
  <c r="E316" i="20"/>
  <c r="E317" i="20"/>
  <c r="F318" i="20"/>
  <c r="E318" i="20"/>
  <c r="E319" i="20"/>
  <c r="K319" i="20" s="1"/>
  <c r="J320" i="20"/>
  <c r="E320" i="20"/>
  <c r="E221" i="20"/>
  <c r="I221" i="20" s="1"/>
  <c r="F122" i="20"/>
  <c r="V122" i="20" s="1"/>
  <c r="E122" i="20"/>
  <c r="E123" i="20"/>
  <c r="I124" i="20"/>
  <c r="E124" i="20"/>
  <c r="E125" i="20"/>
  <c r="E126" i="20"/>
  <c r="F127" i="20"/>
  <c r="V127" i="20" s="1"/>
  <c r="E127" i="20"/>
  <c r="F128" i="20"/>
  <c r="V128" i="20" s="1"/>
  <c r="E128" i="20"/>
  <c r="F129" i="20"/>
  <c r="V129" i="20" s="1"/>
  <c r="E129" i="20"/>
  <c r="E130" i="20"/>
  <c r="J131" i="20"/>
  <c r="E131" i="20"/>
  <c r="E132" i="20"/>
  <c r="E133" i="20"/>
  <c r="F134" i="20"/>
  <c r="V134" i="20" s="1"/>
  <c r="E134" i="20"/>
  <c r="F135" i="20"/>
  <c r="V135" i="20" s="1"/>
  <c r="E135" i="20"/>
  <c r="F136" i="20"/>
  <c r="V136" i="20" s="1"/>
  <c r="E136" i="20"/>
  <c r="F137" i="20"/>
  <c r="V137" i="20" s="1"/>
  <c r="E137" i="20"/>
  <c r="E138" i="20"/>
  <c r="J139" i="20"/>
  <c r="E139" i="20"/>
  <c r="E140" i="20"/>
  <c r="E141" i="20"/>
  <c r="K141" i="20" s="1"/>
  <c r="F142" i="20"/>
  <c r="V142" i="20" s="1"/>
  <c r="E142" i="20"/>
  <c r="F143" i="20"/>
  <c r="V143" i="20" s="1"/>
  <c r="E143" i="20"/>
  <c r="F144" i="20"/>
  <c r="V144" i="20" s="1"/>
  <c r="E144" i="20"/>
  <c r="F145" i="20"/>
  <c r="V145" i="20" s="1"/>
  <c r="E145" i="20"/>
  <c r="I146" i="20"/>
  <c r="E146" i="20"/>
  <c r="J147" i="20"/>
  <c r="E147" i="20"/>
  <c r="E148" i="20"/>
  <c r="E149" i="20"/>
  <c r="F150" i="20"/>
  <c r="V150" i="20" s="1"/>
  <c r="E150" i="20"/>
  <c r="F151" i="20"/>
  <c r="V151" i="20" s="1"/>
  <c r="E151" i="20"/>
  <c r="E152" i="20"/>
  <c r="K152" i="20" s="1"/>
  <c r="E153" i="20"/>
  <c r="G154" i="20"/>
  <c r="W154" i="20" s="1"/>
  <c r="E154" i="20"/>
  <c r="E155" i="20"/>
  <c r="E156" i="20"/>
  <c r="E157" i="20"/>
  <c r="F158" i="20"/>
  <c r="V158" i="20" s="1"/>
  <c r="E158" i="20"/>
  <c r="F159" i="20"/>
  <c r="V159" i="20" s="1"/>
  <c r="E159" i="20"/>
  <c r="F160" i="20"/>
  <c r="V160" i="20" s="1"/>
  <c r="E160" i="20"/>
  <c r="E161" i="20"/>
  <c r="F162" i="20"/>
  <c r="V162" i="20" s="1"/>
  <c r="E162" i="20"/>
  <c r="E163" i="20"/>
  <c r="K163" i="20" s="1"/>
  <c r="I164" i="20"/>
  <c r="E164" i="20"/>
  <c r="E165" i="20"/>
  <c r="E166" i="20"/>
  <c r="E167" i="20"/>
  <c r="F168" i="20"/>
  <c r="V168" i="20" s="1"/>
  <c r="E168" i="20"/>
  <c r="F169" i="20"/>
  <c r="V169" i="20" s="1"/>
  <c r="E169" i="20"/>
  <c r="G170" i="20"/>
  <c r="W170" i="20" s="1"/>
  <c r="E170" i="20"/>
  <c r="E171" i="20"/>
  <c r="I172" i="20"/>
  <c r="E172" i="20"/>
  <c r="E173" i="20"/>
  <c r="G174" i="20"/>
  <c r="W174" i="20" s="1"/>
  <c r="E174" i="20"/>
  <c r="G175" i="20"/>
  <c r="W175" i="20" s="1"/>
  <c r="E175" i="20"/>
  <c r="F176" i="20"/>
  <c r="V176" i="20" s="1"/>
  <c r="E176" i="20"/>
  <c r="F177" i="20"/>
  <c r="V177" i="20" s="1"/>
  <c r="E177" i="20"/>
  <c r="E178" i="20"/>
  <c r="J179" i="20"/>
  <c r="E179" i="20"/>
  <c r="J180" i="20"/>
  <c r="E180" i="20"/>
  <c r="E181" i="20"/>
  <c r="F182" i="20"/>
  <c r="V182" i="20" s="1"/>
  <c r="E182" i="20"/>
  <c r="I183" i="20"/>
  <c r="E183" i="20"/>
  <c r="K184" i="20"/>
  <c r="E184" i="20"/>
  <c r="E185" i="20"/>
  <c r="G186" i="20"/>
  <c r="W186" i="20" s="1"/>
  <c r="E186" i="20"/>
  <c r="J187" i="20"/>
  <c r="E187" i="20"/>
  <c r="I188" i="20"/>
  <c r="E188" i="20"/>
  <c r="F189" i="20"/>
  <c r="V189" i="20" s="1"/>
  <c r="E189" i="20"/>
  <c r="G190" i="20"/>
  <c r="W190" i="20" s="1"/>
  <c r="E190" i="20"/>
  <c r="F191" i="20"/>
  <c r="V191" i="20" s="1"/>
  <c r="E191" i="20"/>
  <c r="E192" i="20"/>
  <c r="K192" i="20" s="1"/>
  <c r="E193" i="20"/>
  <c r="E194" i="20"/>
  <c r="E195" i="20"/>
  <c r="K195" i="20" s="1"/>
  <c r="E196" i="20"/>
  <c r="E197" i="20"/>
  <c r="K197" i="20" s="1"/>
  <c r="E198" i="20"/>
  <c r="G199" i="20"/>
  <c r="W199" i="20" s="1"/>
  <c r="E199" i="20"/>
  <c r="K200" i="20"/>
  <c r="E200" i="20"/>
  <c r="J201" i="20"/>
  <c r="E201" i="20"/>
  <c r="E202" i="20"/>
  <c r="E203" i="20"/>
  <c r="E204" i="20"/>
  <c r="E205" i="20"/>
  <c r="E206" i="20"/>
  <c r="E207" i="20"/>
  <c r="E208" i="20"/>
  <c r="J209" i="20"/>
  <c r="E209" i="20"/>
  <c r="E210" i="20"/>
  <c r="J211" i="20"/>
  <c r="E211" i="20"/>
  <c r="I212" i="20"/>
  <c r="E212" i="20"/>
  <c r="E213" i="20"/>
  <c r="G214" i="20"/>
  <c r="W214" i="20" s="1"/>
  <c r="E214" i="20"/>
  <c r="F215" i="20"/>
  <c r="V215" i="20" s="1"/>
  <c r="E215" i="20"/>
  <c r="F216" i="20"/>
  <c r="V216" i="20" s="1"/>
  <c r="E216" i="20"/>
  <c r="E217" i="20"/>
  <c r="G218" i="20"/>
  <c r="W218" i="20" s="1"/>
  <c r="E218" i="20"/>
  <c r="J219" i="20"/>
  <c r="E219" i="20"/>
  <c r="E220" i="20"/>
  <c r="E121" i="20"/>
  <c r="K121" i="20" s="1"/>
  <c r="I23" i="20"/>
  <c r="I25" i="20"/>
  <c r="H26" i="20"/>
  <c r="F27" i="20"/>
  <c r="F28" i="20"/>
  <c r="F29" i="20"/>
  <c r="H30" i="20"/>
  <c r="G31" i="20"/>
  <c r="H32" i="20"/>
  <c r="H33" i="20"/>
  <c r="H34" i="20"/>
  <c r="F35" i="20"/>
  <c r="F36" i="20"/>
  <c r="K37" i="20"/>
  <c r="H39" i="20"/>
  <c r="G40" i="20"/>
  <c r="H42" i="20"/>
  <c r="F43" i="20"/>
  <c r="F44" i="20"/>
  <c r="F45" i="20"/>
  <c r="H46" i="20"/>
  <c r="H47" i="20"/>
  <c r="F48" i="20"/>
  <c r="J49" i="20"/>
  <c r="H50" i="20"/>
  <c r="H51" i="20"/>
  <c r="F52" i="20"/>
  <c r="F53" i="20"/>
  <c r="F54" i="20"/>
  <c r="H55" i="20"/>
  <c r="G56" i="20"/>
  <c r="J57" i="20"/>
  <c r="H58" i="20"/>
  <c r="H59" i="20"/>
  <c r="F60" i="20"/>
  <c r="K61" i="20"/>
  <c r="F62" i="20"/>
  <c r="H63" i="20"/>
  <c r="G64" i="20"/>
  <c r="J65" i="20"/>
  <c r="H66" i="20"/>
  <c r="I67" i="20"/>
  <c r="F68" i="20"/>
  <c r="F69" i="20"/>
  <c r="F70" i="20"/>
  <c r="H71" i="20"/>
  <c r="G72" i="20"/>
  <c r="J73" i="20"/>
  <c r="H74" i="20"/>
  <c r="F75" i="20"/>
  <c r="F76" i="20"/>
  <c r="F77" i="20"/>
  <c r="F78" i="20"/>
  <c r="H79" i="20"/>
  <c r="G80" i="20"/>
  <c r="J81" i="20"/>
  <c r="I82" i="20"/>
  <c r="F83" i="20"/>
  <c r="F84" i="20"/>
  <c r="K85" i="20"/>
  <c r="F86" i="20"/>
  <c r="H87" i="20"/>
  <c r="G88" i="20"/>
  <c r="J89" i="20"/>
  <c r="I90" i="20"/>
  <c r="I91" i="20"/>
  <c r="F92" i="20"/>
  <c r="F93" i="20"/>
  <c r="F94" i="20"/>
  <c r="H95" i="20"/>
  <c r="G96" i="20"/>
  <c r="J97" i="20"/>
  <c r="I98" i="20"/>
  <c r="I99" i="20"/>
  <c r="F100" i="20"/>
  <c r="F101" i="20"/>
  <c r="F102" i="20"/>
  <c r="H103" i="20"/>
  <c r="G104" i="20"/>
  <c r="J105" i="20"/>
  <c r="I106" i="20"/>
  <c r="J107" i="20"/>
  <c r="F108" i="20"/>
  <c r="F109" i="20"/>
  <c r="F110" i="20"/>
  <c r="H111" i="20"/>
  <c r="G112" i="20"/>
  <c r="J113" i="20"/>
  <c r="I114" i="20"/>
  <c r="J115" i="20"/>
  <c r="F116" i="20"/>
  <c r="F117" i="20"/>
  <c r="F118" i="20"/>
  <c r="H119" i="20"/>
  <c r="G120" i="20"/>
  <c r="J21" i="20"/>
  <c r="Q408" i="19"/>
  <c r="D326" i="20" s="1"/>
  <c r="T326" i="20" s="1"/>
  <c r="Q409" i="19"/>
  <c r="D327" i="20" s="1"/>
  <c r="Q416" i="19"/>
  <c r="D334" i="20" s="1"/>
  <c r="T334" i="20" s="1"/>
  <c r="Q417" i="19"/>
  <c r="D335" i="20" s="1"/>
  <c r="Q424" i="19"/>
  <c r="D342" i="20" s="1"/>
  <c r="T342" i="20" s="1"/>
  <c r="Q425" i="19"/>
  <c r="D343" i="20" s="1"/>
  <c r="T343" i="20" s="1"/>
  <c r="Q432" i="19"/>
  <c r="D350" i="20" s="1"/>
  <c r="T350" i="20" s="1"/>
  <c r="Q433" i="19"/>
  <c r="D351" i="20" s="1"/>
  <c r="Q440" i="19"/>
  <c r="D358" i="20" s="1"/>
  <c r="T358" i="20" s="1"/>
  <c r="Q441" i="19"/>
  <c r="D359" i="20" s="1"/>
  <c r="Q448" i="19"/>
  <c r="D366" i="20" s="1"/>
  <c r="T366" i="20" s="1"/>
  <c r="Q449" i="19"/>
  <c r="D367" i="20" s="1"/>
  <c r="Q456" i="19"/>
  <c r="D374" i="20" s="1"/>
  <c r="T374" i="20" s="1"/>
  <c r="Q457" i="19"/>
  <c r="D375" i="20" s="1"/>
  <c r="Q464" i="19"/>
  <c r="D382" i="20" s="1"/>
  <c r="T382" i="20" s="1"/>
  <c r="Q465" i="19"/>
  <c r="D383" i="20" s="1"/>
  <c r="Q472" i="19"/>
  <c r="D390" i="20" s="1"/>
  <c r="T390" i="20" s="1"/>
  <c r="Q473" i="19"/>
  <c r="D391" i="20" s="1"/>
  <c r="Q480" i="19"/>
  <c r="D398" i="20" s="1"/>
  <c r="T398" i="20" s="1"/>
  <c r="Q481" i="19"/>
  <c r="D399" i="20" s="1"/>
  <c r="Q488" i="19"/>
  <c r="D406" i="20" s="1"/>
  <c r="T406" i="20" s="1"/>
  <c r="Q489" i="19"/>
  <c r="D407" i="20" s="1"/>
  <c r="Q496" i="19"/>
  <c r="D414" i="20" s="1"/>
  <c r="T414" i="20" s="1"/>
  <c r="Q497" i="19"/>
  <c r="D415" i="20" s="1"/>
  <c r="O403" i="19"/>
  <c r="N287" i="19"/>
  <c r="N288" i="19"/>
  <c r="N289" i="19"/>
  <c r="N290" i="19"/>
  <c r="N291" i="19"/>
  <c r="N292" i="19"/>
  <c r="N293" i="19"/>
  <c r="N294" i="19"/>
  <c r="N295" i="19"/>
  <c r="N296" i="19"/>
  <c r="N297" i="19"/>
  <c r="N298" i="19"/>
  <c r="N299" i="19"/>
  <c r="N300" i="19"/>
  <c r="N301" i="19"/>
  <c r="Q301" i="19" s="1"/>
  <c r="D236" i="20" s="1"/>
  <c r="T236" i="20" s="1"/>
  <c r="N302" i="19"/>
  <c r="N303" i="19"/>
  <c r="N304" i="19"/>
  <c r="N305" i="19"/>
  <c r="N306" i="19"/>
  <c r="N307" i="19"/>
  <c r="N308" i="19"/>
  <c r="N309" i="19"/>
  <c r="Q309" i="19" s="1"/>
  <c r="D244" i="20" s="1"/>
  <c r="T244" i="20" s="1"/>
  <c r="N310" i="19"/>
  <c r="N311" i="19"/>
  <c r="N312" i="19"/>
  <c r="N313" i="19"/>
  <c r="N314" i="19"/>
  <c r="N315" i="19"/>
  <c r="N316" i="19"/>
  <c r="N317" i="19"/>
  <c r="Q317" i="19" s="1"/>
  <c r="D252" i="20" s="1"/>
  <c r="T252" i="20" s="1"/>
  <c r="N318" i="19"/>
  <c r="N319" i="19"/>
  <c r="N320" i="19"/>
  <c r="N321" i="19"/>
  <c r="N322" i="19"/>
  <c r="N323" i="19"/>
  <c r="N324" i="19"/>
  <c r="N325" i="19"/>
  <c r="Q325" i="19" s="1"/>
  <c r="D260" i="20" s="1"/>
  <c r="T260" i="20" s="1"/>
  <c r="N326" i="19"/>
  <c r="N327" i="19"/>
  <c r="N328" i="19"/>
  <c r="N329" i="19"/>
  <c r="N330" i="19"/>
  <c r="N331" i="19"/>
  <c r="N332" i="19"/>
  <c r="N333" i="19"/>
  <c r="Q333" i="19" s="1"/>
  <c r="D268" i="20" s="1"/>
  <c r="T268" i="20" s="1"/>
  <c r="N334" i="19"/>
  <c r="N335" i="19"/>
  <c r="N336" i="19"/>
  <c r="N337" i="19"/>
  <c r="N338" i="19"/>
  <c r="N339" i="19"/>
  <c r="N340" i="19"/>
  <c r="N341" i="19"/>
  <c r="Q341" i="19" s="1"/>
  <c r="D276" i="20" s="1"/>
  <c r="T276" i="20" s="1"/>
  <c r="N342" i="19"/>
  <c r="N343" i="19"/>
  <c r="N344" i="19"/>
  <c r="N345" i="19"/>
  <c r="N346" i="19"/>
  <c r="N347" i="19"/>
  <c r="N348" i="19"/>
  <c r="N349" i="19"/>
  <c r="Q349" i="19" s="1"/>
  <c r="D284" i="20" s="1"/>
  <c r="T284" i="20" s="1"/>
  <c r="N350" i="19"/>
  <c r="N351" i="19"/>
  <c r="N352" i="19"/>
  <c r="N353" i="19"/>
  <c r="N354" i="19"/>
  <c r="N355" i="19"/>
  <c r="N356" i="19"/>
  <c r="N357" i="19"/>
  <c r="Q357" i="19" s="1"/>
  <c r="D292" i="20" s="1"/>
  <c r="T292" i="20" s="1"/>
  <c r="N358" i="19"/>
  <c r="N359" i="19"/>
  <c r="N360" i="19"/>
  <c r="N361" i="19"/>
  <c r="N362" i="19"/>
  <c r="N363" i="19"/>
  <c r="N364" i="19"/>
  <c r="N365" i="19"/>
  <c r="Q365" i="19" s="1"/>
  <c r="D300" i="20" s="1"/>
  <c r="T300" i="20" s="1"/>
  <c r="N366" i="19"/>
  <c r="N367" i="19"/>
  <c r="N368" i="19"/>
  <c r="N369" i="19"/>
  <c r="N370" i="19"/>
  <c r="N371" i="19"/>
  <c r="N372" i="19"/>
  <c r="N373" i="19"/>
  <c r="Q373" i="19" s="1"/>
  <c r="D308" i="20" s="1"/>
  <c r="T308" i="20" s="1"/>
  <c r="N374" i="19"/>
  <c r="N375" i="19"/>
  <c r="N376" i="19"/>
  <c r="N377" i="19"/>
  <c r="N378" i="19"/>
  <c r="N379" i="19"/>
  <c r="N380" i="19"/>
  <c r="N381" i="19"/>
  <c r="Q381" i="19" s="1"/>
  <c r="D316" i="20" s="1"/>
  <c r="T316" i="20" s="1"/>
  <c r="N382" i="19"/>
  <c r="N383" i="19"/>
  <c r="N384" i="19"/>
  <c r="N385" i="19"/>
  <c r="F407" i="20" l="1"/>
  <c r="T407" i="20"/>
  <c r="F375" i="20"/>
  <c r="T375" i="20"/>
  <c r="F351" i="20"/>
  <c r="T351" i="20"/>
  <c r="F383" i="20"/>
  <c r="T383" i="20"/>
  <c r="F399" i="20"/>
  <c r="T399" i="20"/>
  <c r="F367" i="20"/>
  <c r="T367" i="20"/>
  <c r="F335" i="20"/>
  <c r="T335" i="20"/>
  <c r="F415" i="20"/>
  <c r="T415" i="20"/>
  <c r="F391" i="20"/>
  <c r="T391" i="20"/>
  <c r="F359" i="20"/>
  <c r="T359" i="20"/>
  <c r="F327" i="20"/>
  <c r="T327" i="20"/>
  <c r="Q494" i="19"/>
  <c r="D412" i="20" s="1"/>
  <c r="T412" i="20" s="1"/>
  <c r="Q486" i="19"/>
  <c r="D404" i="20" s="1"/>
  <c r="T404" i="20" s="1"/>
  <c r="Q478" i="19"/>
  <c r="D396" i="20" s="1"/>
  <c r="T396" i="20" s="1"/>
  <c r="Q470" i="19"/>
  <c r="D388" i="20" s="1"/>
  <c r="T388" i="20" s="1"/>
  <c r="Q462" i="19"/>
  <c r="D380" i="20" s="1"/>
  <c r="Q454" i="19"/>
  <c r="D372" i="20" s="1"/>
  <c r="Q446" i="19"/>
  <c r="D364" i="20" s="1"/>
  <c r="Q438" i="19"/>
  <c r="D356" i="20" s="1"/>
  <c r="Q430" i="19"/>
  <c r="D348" i="20" s="1"/>
  <c r="T348" i="20" s="1"/>
  <c r="Q422" i="19"/>
  <c r="D340" i="20" s="1"/>
  <c r="T340" i="20" s="1"/>
  <c r="Q414" i="19"/>
  <c r="D332" i="20" s="1"/>
  <c r="T332" i="20" s="1"/>
  <c r="Q406" i="19"/>
  <c r="D324" i="20" s="1"/>
  <c r="T324" i="20" s="1"/>
  <c r="Q499" i="19"/>
  <c r="D417" i="20" s="1"/>
  <c r="Q491" i="19"/>
  <c r="D409" i="20" s="1"/>
  <c r="Q483" i="19"/>
  <c r="D401" i="20" s="1"/>
  <c r="Q475" i="19"/>
  <c r="D393" i="20" s="1"/>
  <c r="Q467" i="19"/>
  <c r="D385" i="20" s="1"/>
  <c r="Q459" i="19"/>
  <c r="D377" i="20" s="1"/>
  <c r="Q451" i="19"/>
  <c r="D369" i="20" s="1"/>
  <c r="T369" i="20" s="1"/>
  <c r="Q443" i="19"/>
  <c r="D361" i="20" s="1"/>
  <c r="Q435" i="19"/>
  <c r="D353" i="20" s="1"/>
  <c r="Q427" i="19"/>
  <c r="D345" i="20" s="1"/>
  <c r="Q419" i="19"/>
  <c r="D337" i="20" s="1"/>
  <c r="Q411" i="19"/>
  <c r="D329" i="20" s="1"/>
  <c r="Q501" i="19"/>
  <c r="D419" i="20" s="1"/>
  <c r="T419" i="20" s="1"/>
  <c r="Q493" i="19"/>
  <c r="D411" i="20" s="1"/>
  <c r="T411" i="20" s="1"/>
  <c r="Q485" i="19"/>
  <c r="D403" i="20" s="1"/>
  <c r="T403" i="20" s="1"/>
  <c r="Q429" i="19"/>
  <c r="D347" i="20" s="1"/>
  <c r="Q421" i="19"/>
  <c r="D339" i="20" s="1"/>
  <c r="Q413" i="19"/>
  <c r="D331" i="20" s="1"/>
  <c r="Q498" i="19"/>
  <c r="D416" i="20" s="1"/>
  <c r="Q490" i="19"/>
  <c r="D408" i="20" s="1"/>
  <c r="Q482" i="19"/>
  <c r="D400" i="20" s="1"/>
  <c r="Q474" i="19"/>
  <c r="D392" i="20" s="1"/>
  <c r="Q442" i="19"/>
  <c r="D360" i="20" s="1"/>
  <c r="Q434" i="19"/>
  <c r="D352" i="20" s="1"/>
  <c r="T352" i="20" s="1"/>
  <c r="Q418" i="19"/>
  <c r="D336" i="20" s="1"/>
  <c r="Q495" i="19"/>
  <c r="D413" i="20" s="1"/>
  <c r="Q487" i="19"/>
  <c r="D405" i="20" s="1"/>
  <c r="Q479" i="19"/>
  <c r="D397" i="20" s="1"/>
  <c r="T397" i="20" s="1"/>
  <c r="Q471" i="19"/>
  <c r="D389" i="20" s="1"/>
  <c r="T389" i="20" s="1"/>
  <c r="Q463" i="19"/>
  <c r="D381" i="20" s="1"/>
  <c r="T381" i="20" s="1"/>
  <c r="Q455" i="19"/>
  <c r="D373" i="20" s="1"/>
  <c r="T373" i="20" s="1"/>
  <c r="Q447" i="19"/>
  <c r="D365" i="20" s="1"/>
  <c r="T365" i="20" s="1"/>
  <c r="Q439" i="19"/>
  <c r="D357" i="20" s="1"/>
  <c r="T357" i="20" s="1"/>
  <c r="Q431" i="19"/>
  <c r="D349" i="20" s="1"/>
  <c r="Q423" i="19"/>
  <c r="D341" i="20" s="1"/>
  <c r="Q415" i="19"/>
  <c r="D333" i="20" s="1"/>
  <c r="T333" i="20" s="1"/>
  <c r="Q407" i="19"/>
  <c r="D325" i="20" s="1"/>
  <c r="T325" i="20" s="1"/>
  <c r="Q477" i="19"/>
  <c r="D395" i="20" s="1"/>
  <c r="T395" i="20" s="1"/>
  <c r="Q469" i="19"/>
  <c r="D387" i="20" s="1"/>
  <c r="T387" i="20" s="1"/>
  <c r="Q461" i="19"/>
  <c r="D379" i="20" s="1"/>
  <c r="Q453" i="19"/>
  <c r="D371" i="20" s="1"/>
  <c r="T371" i="20" s="1"/>
  <c r="Q445" i="19"/>
  <c r="D363" i="20" s="1"/>
  <c r="Q437" i="19"/>
  <c r="D355" i="20" s="1"/>
  <c r="Q405" i="19"/>
  <c r="D323" i="20" s="1"/>
  <c r="T323" i="20" s="1"/>
  <c r="Q466" i="19"/>
  <c r="D384" i="20" s="1"/>
  <c r="Q458" i="19"/>
  <c r="D376" i="20" s="1"/>
  <c r="T376" i="20" s="1"/>
  <c r="Q450" i="19"/>
  <c r="D368" i="20" s="1"/>
  <c r="Q426" i="19"/>
  <c r="D344" i="20" s="1"/>
  <c r="Q410" i="19"/>
  <c r="D328" i="20" s="1"/>
  <c r="Q500" i="19"/>
  <c r="D418" i="20" s="1"/>
  <c r="T418" i="20" s="1"/>
  <c r="Q492" i="19"/>
  <c r="D410" i="20" s="1"/>
  <c r="Q484" i="19"/>
  <c r="D402" i="20" s="1"/>
  <c r="T402" i="20" s="1"/>
  <c r="Q476" i="19"/>
  <c r="D394" i="20" s="1"/>
  <c r="T394" i="20" s="1"/>
  <c r="Q468" i="19"/>
  <c r="D386" i="20" s="1"/>
  <c r="T386" i="20" s="1"/>
  <c r="Q460" i="19"/>
  <c r="D378" i="20" s="1"/>
  <c r="T378" i="20" s="1"/>
  <c r="Q452" i="19"/>
  <c r="D370" i="20" s="1"/>
  <c r="Q444" i="19"/>
  <c r="D362" i="20" s="1"/>
  <c r="Q436" i="19"/>
  <c r="D354" i="20" s="1"/>
  <c r="Q428" i="19"/>
  <c r="D346" i="20" s="1"/>
  <c r="Q420" i="19"/>
  <c r="D338" i="20" s="1"/>
  <c r="T338" i="20" s="1"/>
  <c r="Q412" i="19"/>
  <c r="D330" i="20" s="1"/>
  <c r="Q378" i="19"/>
  <c r="D313" i="20" s="1"/>
  <c r="T313" i="20" s="1"/>
  <c r="Q370" i="19"/>
  <c r="D305" i="20" s="1"/>
  <c r="T305" i="20" s="1"/>
  <c r="Q362" i="19"/>
  <c r="D297" i="20" s="1"/>
  <c r="T297" i="20" s="1"/>
  <c r="Q354" i="19"/>
  <c r="D289" i="20" s="1"/>
  <c r="T289" i="20" s="1"/>
  <c r="Q322" i="19"/>
  <c r="D257" i="20" s="1"/>
  <c r="T257" i="20" s="1"/>
  <c r="Q314" i="19"/>
  <c r="D249" i="20" s="1"/>
  <c r="T249" i="20" s="1"/>
  <c r="Q298" i="19"/>
  <c r="D233" i="20" s="1"/>
  <c r="T233" i="20" s="1"/>
  <c r="Q369" i="19"/>
  <c r="D304" i="20" s="1"/>
  <c r="T304" i="20" s="1"/>
  <c r="Q361" i="19"/>
  <c r="D296" i="20" s="1"/>
  <c r="T296" i="20" s="1"/>
  <c r="Q345" i="19"/>
  <c r="D280" i="20" s="1"/>
  <c r="T280" i="20" s="1"/>
  <c r="Q337" i="19"/>
  <c r="D272" i="20" s="1"/>
  <c r="T272" i="20" s="1"/>
  <c r="Q329" i="19"/>
  <c r="D264" i="20" s="1"/>
  <c r="T264" i="20" s="1"/>
  <c r="Q321" i="19"/>
  <c r="D256" i="20" s="1"/>
  <c r="T256" i="20" s="1"/>
  <c r="Q313" i="19"/>
  <c r="D248" i="20" s="1"/>
  <c r="T248" i="20" s="1"/>
  <c r="Q305" i="19"/>
  <c r="D240" i="20" s="1"/>
  <c r="T240" i="20" s="1"/>
  <c r="Q297" i="19"/>
  <c r="D232" i="20" s="1"/>
  <c r="T232" i="20" s="1"/>
  <c r="Q289" i="19"/>
  <c r="D224" i="20" s="1"/>
  <c r="T224" i="20" s="1"/>
  <c r="Q346" i="19"/>
  <c r="D281" i="20" s="1"/>
  <c r="T281" i="20" s="1"/>
  <c r="Q338" i="19"/>
  <c r="D273" i="20" s="1"/>
  <c r="T273" i="20" s="1"/>
  <c r="Q330" i="19"/>
  <c r="D265" i="20" s="1"/>
  <c r="T265" i="20" s="1"/>
  <c r="Q306" i="19"/>
  <c r="D241" i="20" s="1"/>
  <c r="T241" i="20" s="1"/>
  <c r="Q290" i="19"/>
  <c r="D225" i="20" s="1"/>
  <c r="T225" i="20" s="1"/>
  <c r="Q385" i="19"/>
  <c r="D320" i="20" s="1"/>
  <c r="T320" i="20" s="1"/>
  <c r="Q377" i="19"/>
  <c r="D312" i="20" s="1"/>
  <c r="T312" i="20" s="1"/>
  <c r="Q353" i="19"/>
  <c r="D288" i="20" s="1"/>
  <c r="T288" i="20" s="1"/>
  <c r="Q384" i="19"/>
  <c r="D319" i="20" s="1"/>
  <c r="T319" i="20" s="1"/>
  <c r="Q376" i="19"/>
  <c r="D311" i="20" s="1"/>
  <c r="T311" i="20" s="1"/>
  <c r="Q368" i="19"/>
  <c r="D303" i="20" s="1"/>
  <c r="Q360" i="19"/>
  <c r="D295" i="20" s="1"/>
  <c r="T295" i="20" s="1"/>
  <c r="Q352" i="19"/>
  <c r="D287" i="20" s="1"/>
  <c r="T287" i="20" s="1"/>
  <c r="Q344" i="19"/>
  <c r="D279" i="20" s="1"/>
  <c r="T279" i="20" s="1"/>
  <c r="Q336" i="19"/>
  <c r="D271" i="20" s="1"/>
  <c r="T271" i="20" s="1"/>
  <c r="Q328" i="19"/>
  <c r="D263" i="20" s="1"/>
  <c r="Q320" i="19"/>
  <c r="D255" i="20" s="1"/>
  <c r="Q312" i="19"/>
  <c r="D247" i="20" s="1"/>
  <c r="T247" i="20" s="1"/>
  <c r="Q293" i="19"/>
  <c r="D228" i="20" s="1"/>
  <c r="T228" i="20" s="1"/>
  <c r="Q383" i="19"/>
  <c r="D318" i="20" s="1"/>
  <c r="T318" i="20" s="1"/>
  <c r="Q375" i="19"/>
  <c r="D310" i="20" s="1"/>
  <c r="T310" i="20" s="1"/>
  <c r="Q367" i="19"/>
  <c r="D302" i="20" s="1"/>
  <c r="T302" i="20" s="1"/>
  <c r="Q359" i="19"/>
  <c r="D294" i="20" s="1"/>
  <c r="T294" i="20" s="1"/>
  <c r="Q351" i="19"/>
  <c r="D286" i="20" s="1"/>
  <c r="T286" i="20" s="1"/>
  <c r="Q343" i="19"/>
  <c r="D278" i="20" s="1"/>
  <c r="Q335" i="19"/>
  <c r="D270" i="20" s="1"/>
  <c r="T270" i="20" s="1"/>
  <c r="Q327" i="19"/>
  <c r="D262" i="20" s="1"/>
  <c r="T262" i="20" s="1"/>
  <c r="Q319" i="19"/>
  <c r="D254" i="20" s="1"/>
  <c r="T254" i="20" s="1"/>
  <c r="Q311" i="19"/>
  <c r="D246" i="20" s="1"/>
  <c r="T246" i="20" s="1"/>
  <c r="Q303" i="19"/>
  <c r="D238" i="20" s="1"/>
  <c r="T238" i="20" s="1"/>
  <c r="Q295" i="19"/>
  <c r="D230" i="20" s="1"/>
  <c r="T230" i="20" s="1"/>
  <c r="Q380" i="19"/>
  <c r="D315" i="20" s="1"/>
  <c r="T315" i="20" s="1"/>
  <c r="Q372" i="19"/>
  <c r="D307" i="20" s="1"/>
  <c r="Q364" i="19"/>
  <c r="D299" i="20" s="1"/>
  <c r="T299" i="20" s="1"/>
  <c r="Q356" i="19"/>
  <c r="D291" i="20" s="1"/>
  <c r="T291" i="20" s="1"/>
  <c r="Q348" i="19"/>
  <c r="D283" i="20" s="1"/>
  <c r="T283" i="20" s="1"/>
  <c r="Q340" i="19"/>
  <c r="D275" i="20" s="1"/>
  <c r="T275" i="20" s="1"/>
  <c r="Q332" i="19"/>
  <c r="D267" i="20" s="1"/>
  <c r="T267" i="20" s="1"/>
  <c r="Q324" i="19"/>
  <c r="D259" i="20" s="1"/>
  <c r="T259" i="20" s="1"/>
  <c r="Q316" i="19"/>
  <c r="D251" i="20" s="1"/>
  <c r="T251" i="20" s="1"/>
  <c r="Q308" i="19"/>
  <c r="D243" i="20" s="1"/>
  <c r="T243" i="20" s="1"/>
  <c r="Q300" i="19"/>
  <c r="D235" i="20" s="1"/>
  <c r="T235" i="20" s="1"/>
  <c r="Q292" i="19"/>
  <c r="D227" i="20" s="1"/>
  <c r="T227" i="20" s="1"/>
  <c r="Q382" i="19"/>
  <c r="D317" i="20" s="1"/>
  <c r="Q374" i="19"/>
  <c r="D309" i="20" s="1"/>
  <c r="Q366" i="19"/>
  <c r="D301" i="20" s="1"/>
  <c r="Q358" i="19"/>
  <c r="D293" i="20" s="1"/>
  <c r="T293" i="20" s="1"/>
  <c r="Q350" i="19"/>
  <c r="D285" i="20" s="1"/>
  <c r="T285" i="20" s="1"/>
  <c r="Q342" i="19"/>
  <c r="D277" i="20" s="1"/>
  <c r="Q334" i="19"/>
  <c r="D269" i="20" s="1"/>
  <c r="T269" i="20" s="1"/>
  <c r="Q326" i="19"/>
  <c r="D261" i="20" s="1"/>
  <c r="T261" i="20" s="1"/>
  <c r="Q318" i="19"/>
  <c r="D253" i="20" s="1"/>
  <c r="T253" i="20" s="1"/>
  <c r="Q310" i="19"/>
  <c r="D245" i="20" s="1"/>
  <c r="T245" i="20" s="1"/>
  <c r="Q302" i="19"/>
  <c r="D237" i="20" s="1"/>
  <c r="Q294" i="19"/>
  <c r="D229" i="20" s="1"/>
  <c r="T229" i="20" s="1"/>
  <c r="Q379" i="19"/>
  <c r="D314" i="20" s="1"/>
  <c r="T314" i="20" s="1"/>
  <c r="Q371" i="19"/>
  <c r="D306" i="20" s="1"/>
  <c r="Q363" i="19"/>
  <c r="D298" i="20" s="1"/>
  <c r="T298" i="20" s="1"/>
  <c r="Q355" i="19"/>
  <c r="D290" i="20" s="1"/>
  <c r="T290" i="20" s="1"/>
  <c r="Q347" i="19"/>
  <c r="D282" i="20" s="1"/>
  <c r="T282" i="20" s="1"/>
  <c r="Q339" i="19"/>
  <c r="D274" i="20" s="1"/>
  <c r="Q331" i="19"/>
  <c r="D266" i="20" s="1"/>
  <c r="T266" i="20" s="1"/>
  <c r="Q323" i="19"/>
  <c r="D258" i="20" s="1"/>
  <c r="T258" i="20" s="1"/>
  <c r="Q315" i="19"/>
  <c r="D250" i="20" s="1"/>
  <c r="T250" i="20" s="1"/>
  <c r="Q307" i="19"/>
  <c r="D242" i="20" s="1"/>
  <c r="Q299" i="19"/>
  <c r="D234" i="20" s="1"/>
  <c r="T234" i="20" s="1"/>
  <c r="Q291" i="19"/>
  <c r="D226" i="20" s="1"/>
  <c r="T226" i="20" s="1"/>
  <c r="Q304" i="19"/>
  <c r="D239" i="20" s="1"/>
  <c r="T239" i="20" s="1"/>
  <c r="Q296" i="19"/>
  <c r="D231" i="20" s="1"/>
  <c r="T231" i="20" s="1"/>
  <c r="D25" i="53"/>
  <c r="D24" i="53"/>
  <c r="D23" i="53"/>
  <c r="E24" i="53"/>
  <c r="E23" i="53"/>
  <c r="E25" i="53"/>
  <c r="Q288" i="19"/>
  <c r="Q287" i="19"/>
  <c r="D222" i="20" s="1"/>
  <c r="G236" i="20"/>
  <c r="K236" i="20"/>
  <c r="K419" i="20"/>
  <c r="K400" i="20"/>
  <c r="K326" i="20"/>
  <c r="G296" i="20"/>
  <c r="J202" i="20"/>
  <c r="G237" i="20"/>
  <c r="K333" i="20"/>
  <c r="F333" i="20"/>
  <c r="J379" i="20"/>
  <c r="K308" i="20"/>
  <c r="H269" i="20"/>
  <c r="G370" i="20"/>
  <c r="K158" i="20"/>
  <c r="F323" i="20"/>
  <c r="F387" i="20"/>
  <c r="G105" i="20"/>
  <c r="G58" i="20"/>
  <c r="K188" i="20"/>
  <c r="G258" i="20"/>
  <c r="K174" i="20"/>
  <c r="I272" i="20"/>
  <c r="H388" i="20"/>
  <c r="K62" i="20"/>
  <c r="I40" i="20"/>
  <c r="H25" i="20"/>
  <c r="G317" i="20"/>
  <c r="K237" i="20"/>
  <c r="I420" i="20"/>
  <c r="H99" i="20"/>
  <c r="J158" i="20"/>
  <c r="K278" i="20"/>
  <c r="F237" i="20"/>
  <c r="H420" i="20"/>
  <c r="G158" i="20"/>
  <c r="W158" i="20" s="1"/>
  <c r="K135" i="20"/>
  <c r="J234" i="20"/>
  <c r="G164" i="20"/>
  <c r="W164" i="20" s="1"/>
  <c r="K142" i="20"/>
  <c r="G404" i="20"/>
  <c r="H363" i="20"/>
  <c r="J134" i="20"/>
  <c r="I312" i="20"/>
  <c r="K272" i="20"/>
  <c r="J269" i="20"/>
  <c r="K258" i="20"/>
  <c r="K238" i="20"/>
  <c r="K222" i="20"/>
  <c r="F390" i="20"/>
  <c r="K377" i="20"/>
  <c r="K367" i="20"/>
  <c r="I346" i="20"/>
  <c r="J86" i="20"/>
  <c r="J220" i="20"/>
  <c r="K201" i="20"/>
  <c r="K285" i="20"/>
  <c r="K251" i="20"/>
  <c r="I400" i="20"/>
  <c r="I379" i="20"/>
  <c r="K366" i="20"/>
  <c r="G363" i="20"/>
  <c r="I288" i="20"/>
  <c r="J285" i="20"/>
  <c r="K257" i="20"/>
  <c r="K254" i="20"/>
  <c r="K185" i="20"/>
  <c r="I142" i="20"/>
  <c r="G135" i="20"/>
  <c r="W135" i="20" s="1"/>
  <c r="H313" i="20"/>
  <c r="K104" i="20"/>
  <c r="H67" i="20"/>
  <c r="K39" i="20"/>
  <c r="J185" i="20"/>
  <c r="G388" i="20"/>
  <c r="K354" i="20"/>
  <c r="F185" i="20"/>
  <c r="V185" i="20" s="1"/>
  <c r="G127" i="20"/>
  <c r="W127" i="20" s="1"/>
  <c r="K370" i="20"/>
  <c r="I339" i="20"/>
  <c r="K115" i="20"/>
  <c r="H31" i="20"/>
  <c r="I207" i="20"/>
  <c r="G242" i="20"/>
  <c r="F374" i="20"/>
  <c r="K356" i="20"/>
  <c r="J142" i="20"/>
  <c r="I315" i="20"/>
  <c r="K290" i="20"/>
  <c r="H113" i="20"/>
  <c r="K212" i="20"/>
  <c r="K143" i="20"/>
  <c r="J290" i="20"/>
  <c r="H281" i="20"/>
  <c r="K364" i="20"/>
  <c r="J212" i="20"/>
  <c r="K159" i="20"/>
  <c r="I143" i="20"/>
  <c r="G142" i="20"/>
  <c r="W142" i="20" s="1"/>
  <c r="I290" i="20"/>
  <c r="F281" i="20"/>
  <c r="G364" i="20"/>
  <c r="G212" i="20"/>
  <c r="W212" i="20" s="1"/>
  <c r="F190" i="20"/>
  <c r="V190" i="20" s="1"/>
  <c r="K169" i="20"/>
  <c r="I159" i="20"/>
  <c r="K149" i="20"/>
  <c r="G143" i="20"/>
  <c r="W143" i="20" s="1"/>
  <c r="K320" i="20"/>
  <c r="H292" i="20"/>
  <c r="G290" i="20"/>
  <c r="I111" i="20"/>
  <c r="F366" i="20"/>
  <c r="J79" i="20"/>
  <c r="G67" i="20"/>
  <c r="H62" i="20"/>
  <c r="I178" i="20"/>
  <c r="I134" i="20"/>
  <c r="G320" i="20"/>
  <c r="H308" i="20"/>
  <c r="J263" i="20"/>
  <c r="K260" i="20"/>
  <c r="F388" i="20"/>
  <c r="G346" i="20"/>
  <c r="I336" i="20"/>
  <c r="G333" i="20"/>
  <c r="J323" i="20"/>
  <c r="F67" i="20"/>
  <c r="H24" i="20"/>
  <c r="K186" i="20"/>
  <c r="F181" i="20"/>
  <c r="V181" i="20" s="1"/>
  <c r="G172" i="20"/>
  <c r="W172" i="20" s="1"/>
  <c r="K157" i="20"/>
  <c r="I323" i="20"/>
  <c r="F186" i="20"/>
  <c r="V186" i="20" s="1"/>
  <c r="F157" i="20"/>
  <c r="V157" i="20" s="1"/>
  <c r="K139" i="20"/>
  <c r="I304" i="20"/>
  <c r="K301" i="20"/>
  <c r="K284" i="20"/>
  <c r="F241" i="20"/>
  <c r="K384" i="20"/>
  <c r="F338" i="20"/>
  <c r="J96" i="20"/>
  <c r="J153" i="20"/>
  <c r="I133" i="20"/>
  <c r="G309" i="20"/>
  <c r="G304" i="20"/>
  <c r="F301" i="20"/>
  <c r="I384" i="20"/>
  <c r="K59" i="20"/>
  <c r="I215" i="20"/>
  <c r="I177" i="20"/>
  <c r="F309" i="20"/>
  <c r="K415" i="20"/>
  <c r="K408" i="20"/>
  <c r="G405" i="20"/>
  <c r="I328" i="20"/>
  <c r="I95" i="20"/>
  <c r="K67" i="20"/>
  <c r="I59" i="20"/>
  <c r="K54" i="20"/>
  <c r="G47" i="20"/>
  <c r="K160" i="20"/>
  <c r="I306" i="20"/>
  <c r="G283" i="20"/>
  <c r="I264" i="20"/>
  <c r="K261" i="20"/>
  <c r="I224" i="20"/>
  <c r="J415" i="20"/>
  <c r="I408" i="20"/>
  <c r="K380" i="20"/>
  <c r="K337" i="20"/>
  <c r="F95" i="20"/>
  <c r="J67" i="20"/>
  <c r="G59" i="20"/>
  <c r="K187" i="20"/>
  <c r="K296" i="20"/>
  <c r="I293" i="20"/>
  <c r="K391" i="20"/>
  <c r="I360" i="20"/>
  <c r="O503" i="19"/>
  <c r="G87" i="20"/>
  <c r="I105" i="20"/>
  <c r="H96" i="20"/>
  <c r="J91" i="20"/>
  <c r="K86" i="20"/>
  <c r="H81" i="20"/>
  <c r="J62" i="20"/>
  <c r="H54" i="20"/>
  <c r="I47" i="20"/>
  <c r="G215" i="20"/>
  <c r="W215" i="20" s="1"/>
  <c r="J210" i="20"/>
  <c r="J190" i="20"/>
  <c r="J169" i="20"/>
  <c r="J164" i="20"/>
  <c r="I153" i="20"/>
  <c r="H315" i="20"/>
  <c r="G301" i="20"/>
  <c r="F285" i="20"/>
  <c r="J247" i="20"/>
  <c r="K244" i="20"/>
  <c r="K224" i="20"/>
  <c r="K417" i="20"/>
  <c r="K394" i="20"/>
  <c r="J391" i="20"/>
  <c r="I388" i="20"/>
  <c r="H379" i="20"/>
  <c r="K368" i="20"/>
  <c r="G339" i="20"/>
  <c r="H323" i="20"/>
  <c r="I169" i="20"/>
  <c r="I113" i="20"/>
  <c r="F99" i="20"/>
  <c r="F74" i="20"/>
  <c r="G65" i="20"/>
  <c r="F58" i="20"/>
  <c r="G34" i="20"/>
  <c r="J156" i="20"/>
  <c r="K154" i="20"/>
  <c r="K307" i="20"/>
  <c r="K265" i="20"/>
  <c r="K410" i="20"/>
  <c r="K330" i="20"/>
  <c r="K214" i="20"/>
  <c r="G169" i="20"/>
  <c r="W169" i="20" s="1"/>
  <c r="I156" i="20"/>
  <c r="I154" i="20"/>
  <c r="J314" i="20"/>
  <c r="I307" i="20"/>
  <c r="K281" i="20"/>
  <c r="K267" i="20"/>
  <c r="H265" i="20"/>
  <c r="J321" i="20"/>
  <c r="H410" i="20"/>
  <c r="K382" i="20"/>
  <c r="I330" i="20"/>
  <c r="G113" i="20"/>
  <c r="K107" i="20"/>
  <c r="K64" i="20"/>
  <c r="G39" i="20"/>
  <c r="I218" i="20"/>
  <c r="K215" i="20"/>
  <c r="J214" i="20"/>
  <c r="K205" i="20"/>
  <c r="J191" i="20"/>
  <c r="K170" i="20"/>
  <c r="G156" i="20"/>
  <c r="W156" i="20" s="1"/>
  <c r="F154" i="20"/>
  <c r="V154" i="20" s="1"/>
  <c r="I129" i="20"/>
  <c r="I314" i="20"/>
  <c r="F307" i="20"/>
  <c r="K302" i="20"/>
  <c r="J281" i="20"/>
  <c r="G267" i="20"/>
  <c r="F265" i="20"/>
  <c r="I232" i="20"/>
  <c r="K225" i="20"/>
  <c r="K420" i="20"/>
  <c r="G410" i="20"/>
  <c r="J402" i="20"/>
  <c r="F382" i="20"/>
  <c r="K378" i="20"/>
  <c r="K375" i="20"/>
  <c r="K372" i="20"/>
  <c r="J359" i="20"/>
  <c r="F350" i="20"/>
  <c r="K344" i="20"/>
  <c r="J335" i="20"/>
  <c r="H330" i="20"/>
  <c r="H107" i="20"/>
  <c r="G97" i="20"/>
  <c r="J87" i="20"/>
  <c r="K83" i="20"/>
  <c r="J78" i="20"/>
  <c r="J72" i="20"/>
  <c r="I32" i="20"/>
  <c r="J215" i="20"/>
  <c r="F194" i="20"/>
  <c r="V194" i="20" s="1"/>
  <c r="G191" i="20"/>
  <c r="W191" i="20" s="1"/>
  <c r="F156" i="20"/>
  <c r="V156" i="20" s="1"/>
  <c r="G151" i="20"/>
  <c r="W151" i="20" s="1"/>
  <c r="G148" i="20"/>
  <c r="W148" i="20" s="1"/>
  <c r="G132" i="20"/>
  <c r="W132" i="20" s="1"/>
  <c r="H311" i="20"/>
  <c r="K304" i="20"/>
  <c r="K293" i="20"/>
  <c r="I281" i="20"/>
  <c r="F259" i="20"/>
  <c r="G245" i="20"/>
  <c r="K242" i="20"/>
  <c r="J420" i="20"/>
  <c r="J399" i="20"/>
  <c r="K379" i="20"/>
  <c r="K353" i="20"/>
  <c r="K346" i="20"/>
  <c r="K323" i="20"/>
  <c r="J119" i="20"/>
  <c r="I115" i="20"/>
  <c r="G111" i="20"/>
  <c r="G107" i="20"/>
  <c r="J104" i="20"/>
  <c r="I97" i="20"/>
  <c r="G95" i="20"/>
  <c r="H91" i="20"/>
  <c r="I88" i="20"/>
  <c r="F87" i="20"/>
  <c r="J83" i="20"/>
  <c r="I81" i="20"/>
  <c r="I79" i="20"/>
  <c r="G74" i="20"/>
  <c r="I72" i="20"/>
  <c r="J64" i="20"/>
  <c r="F59" i="20"/>
  <c r="K56" i="20"/>
  <c r="J54" i="20"/>
  <c r="G32" i="20"/>
  <c r="J27" i="20"/>
  <c r="J218" i="20"/>
  <c r="K218" i="20"/>
  <c r="F218" i="20"/>
  <c r="V218" i="20" s="1"/>
  <c r="F275" i="20"/>
  <c r="G275" i="20"/>
  <c r="I332" i="20"/>
  <c r="F332" i="20"/>
  <c r="G332" i="20"/>
  <c r="H362" i="20"/>
  <c r="I362" i="20"/>
  <c r="K362" i="20"/>
  <c r="I119" i="20"/>
  <c r="H115" i="20"/>
  <c r="K112" i="20"/>
  <c r="I104" i="20"/>
  <c r="G91" i="20"/>
  <c r="H88" i="20"/>
  <c r="I83" i="20"/>
  <c r="G79" i="20"/>
  <c r="K75" i="20"/>
  <c r="H72" i="20"/>
  <c r="G66" i="20"/>
  <c r="H64" i="20"/>
  <c r="J56" i="20"/>
  <c r="G27" i="20"/>
  <c r="F231" i="20"/>
  <c r="J231" i="20"/>
  <c r="K231" i="20"/>
  <c r="G371" i="20"/>
  <c r="F371" i="20"/>
  <c r="H371" i="20"/>
  <c r="I371" i="20"/>
  <c r="J371" i="20"/>
  <c r="K371" i="20"/>
  <c r="G119" i="20"/>
  <c r="G115" i="20"/>
  <c r="J112" i="20"/>
  <c r="F104" i="20"/>
  <c r="F91" i="20"/>
  <c r="F88" i="20"/>
  <c r="H83" i="20"/>
  <c r="F79" i="20"/>
  <c r="J75" i="20"/>
  <c r="F72" i="20"/>
  <c r="F66" i="20"/>
  <c r="F64" i="20"/>
  <c r="I56" i="20"/>
  <c r="J43" i="20"/>
  <c r="J155" i="20"/>
  <c r="K155" i="20"/>
  <c r="I411" i="20"/>
  <c r="G411" i="20"/>
  <c r="J411" i="20"/>
  <c r="K411" i="20"/>
  <c r="G331" i="20"/>
  <c r="H331" i="20"/>
  <c r="I331" i="20"/>
  <c r="J331" i="20"/>
  <c r="K331" i="20"/>
  <c r="F126" i="20"/>
  <c r="V126" i="20" s="1"/>
  <c r="G126" i="20"/>
  <c r="W126" i="20" s="1"/>
  <c r="I126" i="20"/>
  <c r="J126" i="20"/>
  <c r="K126" i="20"/>
  <c r="K120" i="20"/>
  <c r="I112" i="20"/>
  <c r="G83" i="20"/>
  <c r="H80" i="20"/>
  <c r="I75" i="20"/>
  <c r="H73" i="20"/>
  <c r="H56" i="20"/>
  <c r="G43" i="20"/>
  <c r="I121" i="20"/>
  <c r="J203" i="20"/>
  <c r="I196" i="20"/>
  <c r="G196" i="20"/>
  <c r="W196" i="20" s="1"/>
  <c r="K196" i="20"/>
  <c r="F268" i="20"/>
  <c r="K268" i="20"/>
  <c r="G414" i="20"/>
  <c r="F414" i="20"/>
  <c r="K414" i="20"/>
  <c r="I386" i="20"/>
  <c r="G386" i="20"/>
  <c r="H386" i="20"/>
  <c r="J386" i="20"/>
  <c r="K386" i="20"/>
  <c r="G342" i="20"/>
  <c r="F342" i="20"/>
  <c r="I235" i="20"/>
  <c r="F235" i="20"/>
  <c r="H235" i="20"/>
  <c r="K235" i="20"/>
  <c r="J120" i="20"/>
  <c r="F112" i="20"/>
  <c r="H105" i="20"/>
  <c r="J103" i="20"/>
  <c r="G99" i="20"/>
  <c r="I96" i="20"/>
  <c r="K87" i="20"/>
  <c r="F80" i="20"/>
  <c r="K78" i="20"/>
  <c r="H75" i="20"/>
  <c r="G73" i="20"/>
  <c r="H65" i="20"/>
  <c r="J59" i="20"/>
  <c r="F56" i="20"/>
  <c r="I39" i="20"/>
  <c r="K22" i="20"/>
  <c r="G250" i="20"/>
  <c r="J250" i="20"/>
  <c r="K250" i="20"/>
  <c r="F403" i="20"/>
  <c r="G403" i="20"/>
  <c r="H403" i="20"/>
  <c r="I403" i="20"/>
  <c r="K403" i="20"/>
  <c r="I120" i="20"/>
  <c r="I103" i="20"/>
  <c r="I89" i="20"/>
  <c r="G75" i="20"/>
  <c r="J70" i="20"/>
  <c r="H57" i="20"/>
  <c r="K46" i="20"/>
  <c r="J123" i="20"/>
  <c r="K123" i="20"/>
  <c r="I243" i="20"/>
  <c r="F243" i="20"/>
  <c r="G243" i="20"/>
  <c r="F120" i="20"/>
  <c r="J111" i="20"/>
  <c r="I107" i="20"/>
  <c r="G103" i="20"/>
  <c r="K91" i="20"/>
  <c r="H89" i="20"/>
  <c r="I87" i="20"/>
  <c r="H82" i="20"/>
  <c r="K79" i="20"/>
  <c r="K72" i="20"/>
  <c r="H70" i="20"/>
  <c r="G57" i="20"/>
  <c r="G50" i="20"/>
  <c r="G42" i="20"/>
  <c r="K32" i="20"/>
  <c r="J121" i="20"/>
  <c r="G138" i="20"/>
  <c r="W138" i="20" s="1"/>
  <c r="G194" i="20"/>
  <c r="W194" i="20" s="1"/>
  <c r="G412" i="20"/>
  <c r="K390" i="20"/>
  <c r="H355" i="20"/>
  <c r="G338" i="20"/>
  <c r="F210" i="20"/>
  <c r="V210" i="20" s="1"/>
  <c r="F205" i="20"/>
  <c r="V205" i="20" s="1"/>
  <c r="K202" i="20"/>
  <c r="F153" i="20"/>
  <c r="V153" i="20" s="1"/>
  <c r="K137" i="20"/>
  <c r="G134" i="20"/>
  <c r="W134" i="20" s="1"/>
  <c r="I320" i="20"/>
  <c r="G307" i="20"/>
  <c r="G306" i="20"/>
  <c r="G288" i="20"/>
  <c r="K279" i="20"/>
  <c r="G272" i="20"/>
  <c r="J261" i="20"/>
  <c r="F257" i="20"/>
  <c r="K249" i="20"/>
  <c r="H247" i="20"/>
  <c r="F236" i="20"/>
  <c r="K234" i="20"/>
  <c r="K402" i="20"/>
  <c r="I368" i="20"/>
  <c r="H356" i="20"/>
  <c r="I344" i="20"/>
  <c r="G341" i="20"/>
  <c r="K150" i="20"/>
  <c r="J137" i="20"/>
  <c r="K291" i="20"/>
  <c r="K282" i="20"/>
  <c r="I202" i="20"/>
  <c r="K194" i="20"/>
  <c r="J188" i="20"/>
  <c r="J150" i="20"/>
  <c r="K145" i="20"/>
  <c r="I137" i="20"/>
  <c r="I291" i="20"/>
  <c r="J282" i="20"/>
  <c r="I234" i="20"/>
  <c r="K412" i="20"/>
  <c r="I402" i="20"/>
  <c r="I380" i="20"/>
  <c r="K365" i="20"/>
  <c r="K338" i="20"/>
  <c r="K327" i="20"/>
  <c r="K213" i="20"/>
  <c r="I206" i="20"/>
  <c r="G202" i="20"/>
  <c r="W202" i="20" s="1"/>
  <c r="J194" i="20"/>
  <c r="I145" i="20"/>
  <c r="K309" i="20"/>
  <c r="K305" i="20"/>
  <c r="K287" i="20"/>
  <c r="I285" i="20"/>
  <c r="I282" i="20"/>
  <c r="J271" i="20"/>
  <c r="K248" i="20"/>
  <c r="H234" i="20"/>
  <c r="J412" i="20"/>
  <c r="H402" i="20"/>
  <c r="K397" i="20"/>
  <c r="H380" i="20"/>
  <c r="G365" i="20"/>
  <c r="K357" i="20"/>
  <c r="K355" i="20"/>
  <c r="J338" i="20"/>
  <c r="J327" i="20"/>
  <c r="F213" i="20"/>
  <c r="V213" i="20" s="1"/>
  <c r="F202" i="20"/>
  <c r="V202" i="20" s="1"/>
  <c r="I194" i="20"/>
  <c r="G188" i="20"/>
  <c r="W188" i="20" s="1"/>
  <c r="J186" i="20"/>
  <c r="K182" i="20"/>
  <c r="I158" i="20"/>
  <c r="G150" i="20"/>
  <c r="W150" i="20" s="1"/>
  <c r="G137" i="20"/>
  <c r="W137" i="20" s="1"/>
  <c r="K127" i="20"/>
  <c r="K311" i="20"/>
  <c r="J309" i="20"/>
  <c r="K306" i="20"/>
  <c r="H305" i="20"/>
  <c r="J295" i="20"/>
  <c r="F291" i="20"/>
  <c r="J287" i="20"/>
  <c r="H285" i="20"/>
  <c r="K283" i="20"/>
  <c r="K262" i="20"/>
  <c r="I248" i="20"/>
  <c r="G234" i="20"/>
  <c r="J225" i="20"/>
  <c r="I412" i="20"/>
  <c r="K404" i="20"/>
  <c r="F402" i="20"/>
  <c r="F397" i="20"/>
  <c r="K388" i="20"/>
  <c r="K387" i="20"/>
  <c r="K381" i="20"/>
  <c r="G380" i="20"/>
  <c r="F365" i="20"/>
  <c r="K363" i="20"/>
  <c r="F357" i="20"/>
  <c r="J355" i="20"/>
  <c r="I338" i="20"/>
  <c r="F334" i="20"/>
  <c r="I327" i="20"/>
  <c r="K324" i="20"/>
  <c r="I182" i="20"/>
  <c r="K177" i="20"/>
  <c r="K172" i="20"/>
  <c r="K156" i="20"/>
  <c r="K153" i="20"/>
  <c r="I151" i="20"/>
  <c r="K134" i="20"/>
  <c r="K129" i="20"/>
  <c r="I127" i="20"/>
  <c r="J221" i="20"/>
  <c r="J311" i="20"/>
  <c r="I309" i="20"/>
  <c r="J306" i="20"/>
  <c r="K264" i="20"/>
  <c r="K245" i="20"/>
  <c r="K241" i="20"/>
  <c r="I225" i="20"/>
  <c r="H404" i="20"/>
  <c r="K399" i="20"/>
  <c r="G387" i="20"/>
  <c r="G381" i="20"/>
  <c r="J363" i="20"/>
  <c r="K359" i="20"/>
  <c r="I355" i="20"/>
  <c r="K350" i="20"/>
  <c r="K339" i="20"/>
  <c r="K336" i="20"/>
  <c r="J41" i="20"/>
  <c r="G41" i="20"/>
  <c r="F193" i="20"/>
  <c r="V193" i="20" s="1"/>
  <c r="J193" i="20"/>
  <c r="K193" i="20"/>
  <c r="G193" i="20"/>
  <c r="W193" i="20" s="1"/>
  <c r="H120" i="20"/>
  <c r="F119" i="20"/>
  <c r="F115" i="20"/>
  <c r="H112" i="20"/>
  <c r="F111" i="20"/>
  <c r="F107" i="20"/>
  <c r="H104" i="20"/>
  <c r="F103" i="20"/>
  <c r="H97" i="20"/>
  <c r="F96" i="20"/>
  <c r="G89" i="20"/>
  <c r="G81" i="20"/>
  <c r="K70" i="20"/>
  <c r="F50" i="20"/>
  <c r="K48" i="20"/>
  <c r="K47" i="20"/>
  <c r="H43" i="20"/>
  <c r="K43" i="20"/>
  <c r="K40" i="20"/>
  <c r="F34" i="20"/>
  <c r="K24" i="20"/>
  <c r="I24" i="20"/>
  <c r="J22" i="20"/>
  <c r="I204" i="20"/>
  <c r="G204" i="20"/>
  <c r="W204" i="20" s="1"/>
  <c r="J204" i="20"/>
  <c r="K204" i="20"/>
  <c r="F38" i="20"/>
  <c r="J38" i="20"/>
  <c r="H90" i="20"/>
  <c r="K71" i="20"/>
  <c r="K63" i="20"/>
  <c r="K55" i="20"/>
  <c r="K51" i="20"/>
  <c r="J48" i="20"/>
  <c r="F46" i="20"/>
  <c r="J46" i="20"/>
  <c r="F31" i="20"/>
  <c r="J31" i="20"/>
  <c r="K23" i="20"/>
  <c r="F173" i="20"/>
  <c r="V173" i="20" s="1"/>
  <c r="K173" i="20"/>
  <c r="G161" i="20"/>
  <c r="W161" i="20" s="1"/>
  <c r="I161" i="20"/>
  <c r="J161" i="20"/>
  <c r="F161" i="20"/>
  <c r="V161" i="20" s="1"/>
  <c r="K161" i="20"/>
  <c r="K21" i="20"/>
  <c r="H98" i="20"/>
  <c r="K94" i="20"/>
  <c r="G90" i="20"/>
  <c r="G82" i="20"/>
  <c r="J71" i="20"/>
  <c r="J63" i="20"/>
  <c r="J55" i="20"/>
  <c r="J51" i="20"/>
  <c r="I48" i="20"/>
  <c r="F42" i="20"/>
  <c r="H40" i="20"/>
  <c r="I33" i="20"/>
  <c r="K30" i="20"/>
  <c r="J23" i="20"/>
  <c r="K140" i="20"/>
  <c r="F140" i="20"/>
  <c r="V140" i="20" s="1"/>
  <c r="G140" i="20"/>
  <c r="W140" i="20" s="1"/>
  <c r="J140" i="20"/>
  <c r="I140" i="20"/>
  <c r="F217" i="20"/>
  <c r="V217" i="20" s="1"/>
  <c r="G217" i="20"/>
  <c r="W217" i="20" s="1"/>
  <c r="J217" i="20"/>
  <c r="K217" i="20"/>
  <c r="K118" i="20"/>
  <c r="H114" i="20"/>
  <c r="K110" i="20"/>
  <c r="H106" i="20"/>
  <c r="K102" i="20"/>
  <c r="K99" i="20"/>
  <c r="G98" i="20"/>
  <c r="K95" i="20"/>
  <c r="J94" i="20"/>
  <c r="F90" i="20"/>
  <c r="K88" i="20"/>
  <c r="F82" i="20"/>
  <c r="K80" i="20"/>
  <c r="I71" i="20"/>
  <c r="I63" i="20"/>
  <c r="I55" i="20"/>
  <c r="G51" i="20"/>
  <c r="I49" i="20"/>
  <c r="H48" i="20"/>
  <c r="F39" i="20"/>
  <c r="J39" i="20"/>
  <c r="J35" i="20"/>
  <c r="F32" i="20"/>
  <c r="J32" i="20"/>
  <c r="J25" i="20"/>
  <c r="G25" i="20"/>
  <c r="F125" i="20"/>
  <c r="V125" i="20" s="1"/>
  <c r="I125" i="20"/>
  <c r="K125" i="20"/>
  <c r="J253" i="20"/>
  <c r="I253" i="20"/>
  <c r="F253" i="20"/>
  <c r="G253" i="20"/>
  <c r="K253" i="20"/>
  <c r="J171" i="20"/>
  <c r="K171" i="20"/>
  <c r="K119" i="20"/>
  <c r="J118" i="20"/>
  <c r="G114" i="20"/>
  <c r="K111" i="20"/>
  <c r="J110" i="20"/>
  <c r="G106" i="20"/>
  <c r="K103" i="20"/>
  <c r="J102" i="20"/>
  <c r="J99" i="20"/>
  <c r="F98" i="20"/>
  <c r="K96" i="20"/>
  <c r="J95" i="20"/>
  <c r="J88" i="20"/>
  <c r="J80" i="20"/>
  <c r="G71" i="20"/>
  <c r="I64" i="20"/>
  <c r="G63" i="20"/>
  <c r="G55" i="20"/>
  <c r="F51" i="20"/>
  <c r="H49" i="20"/>
  <c r="G48" i="20"/>
  <c r="I41" i="20"/>
  <c r="K38" i="20"/>
  <c r="G35" i="20"/>
  <c r="K31" i="20"/>
  <c r="H27" i="20"/>
  <c r="K27" i="20"/>
  <c r="J24" i="20"/>
  <c r="G198" i="20"/>
  <c r="W198" i="20" s="1"/>
  <c r="I198" i="20"/>
  <c r="J198" i="20"/>
  <c r="F198" i="20"/>
  <c r="V198" i="20" s="1"/>
  <c r="K198" i="20"/>
  <c r="F300" i="20"/>
  <c r="H300" i="20"/>
  <c r="I297" i="20"/>
  <c r="H297" i="20"/>
  <c r="K297" i="20"/>
  <c r="F114" i="20"/>
  <c r="F106" i="20"/>
  <c r="I80" i="20"/>
  <c r="I73" i="20"/>
  <c r="F71" i="20"/>
  <c r="I65" i="20"/>
  <c r="F63" i="20"/>
  <c r="I57" i="20"/>
  <c r="F55" i="20"/>
  <c r="G49" i="20"/>
  <c r="F47" i="20"/>
  <c r="J47" i="20"/>
  <c r="H41" i="20"/>
  <c r="F40" i="20"/>
  <c r="J40" i="20"/>
  <c r="H38" i="20"/>
  <c r="J33" i="20"/>
  <c r="G33" i="20"/>
  <c r="I31" i="20"/>
  <c r="F30" i="20"/>
  <c r="J30" i="20"/>
  <c r="G26" i="20"/>
  <c r="F23" i="20"/>
  <c r="V23" i="20" s="1"/>
  <c r="G130" i="20"/>
  <c r="W130" i="20" s="1"/>
  <c r="F130" i="20"/>
  <c r="V130" i="20" s="1"/>
  <c r="K130" i="20"/>
  <c r="I130" i="20"/>
  <c r="H35" i="20"/>
  <c r="K35" i="20"/>
  <c r="F26" i="20"/>
  <c r="I220" i="20"/>
  <c r="G220" i="20"/>
  <c r="W220" i="20" s="1"/>
  <c r="K220" i="20"/>
  <c r="K199" i="20"/>
  <c r="F183" i="20"/>
  <c r="V183" i="20" s="1"/>
  <c r="G183" i="20"/>
  <c r="W183" i="20" s="1"/>
  <c r="K183" i="20"/>
  <c r="F175" i="20"/>
  <c r="V175" i="20" s="1"/>
  <c r="I175" i="20"/>
  <c r="K175" i="20"/>
  <c r="J163" i="20"/>
  <c r="F294" i="20"/>
  <c r="K294" i="20"/>
  <c r="F266" i="20"/>
  <c r="I266" i="20"/>
  <c r="G266" i="20"/>
  <c r="J266" i="20"/>
  <c r="I348" i="20"/>
  <c r="G348" i="20"/>
  <c r="H348" i="20"/>
  <c r="K348" i="20"/>
  <c r="F207" i="20"/>
  <c r="V207" i="20" s="1"/>
  <c r="K207" i="20"/>
  <c r="G207" i="20"/>
  <c r="W207" i="20" s="1"/>
  <c r="J207" i="20"/>
  <c r="F167" i="20"/>
  <c r="V167" i="20" s="1"/>
  <c r="G167" i="20"/>
  <c r="W167" i="20" s="1"/>
  <c r="I167" i="20"/>
  <c r="K167" i="20"/>
  <c r="I122" i="20"/>
  <c r="K122" i="20"/>
  <c r="J299" i="20"/>
  <c r="G299" i="20"/>
  <c r="H299" i="20"/>
  <c r="I299" i="20"/>
  <c r="K299" i="20"/>
  <c r="F197" i="20"/>
  <c r="V197" i="20" s="1"/>
  <c r="K124" i="20"/>
  <c r="F124" i="20"/>
  <c r="V124" i="20" s="1"/>
  <c r="G124" i="20"/>
  <c r="W124" i="20" s="1"/>
  <c r="J124" i="20"/>
  <c r="F230" i="20"/>
  <c r="K230" i="20"/>
  <c r="F209" i="20"/>
  <c r="V209" i="20" s="1"/>
  <c r="G209" i="20"/>
  <c r="W209" i="20" s="1"/>
  <c r="K209" i="20"/>
  <c r="F199" i="20"/>
  <c r="V199" i="20" s="1"/>
  <c r="I199" i="20"/>
  <c r="J199" i="20"/>
  <c r="J195" i="20"/>
  <c r="G162" i="20"/>
  <c r="W162" i="20" s="1"/>
  <c r="I162" i="20"/>
  <c r="K162" i="20"/>
  <c r="F303" i="20"/>
  <c r="J303" i="20"/>
  <c r="K303" i="20"/>
  <c r="J280" i="20"/>
  <c r="I280" i="20"/>
  <c r="K280" i="20"/>
  <c r="K189" i="20"/>
  <c r="G178" i="20"/>
  <c r="W178" i="20" s="1"/>
  <c r="F178" i="20"/>
  <c r="V178" i="20" s="1"/>
  <c r="K178" i="20"/>
  <c r="F174" i="20"/>
  <c r="V174" i="20" s="1"/>
  <c r="I174" i="20"/>
  <c r="J174" i="20"/>
  <c r="G146" i="20"/>
  <c r="W146" i="20" s="1"/>
  <c r="F146" i="20"/>
  <c r="V146" i="20" s="1"/>
  <c r="K146" i="20"/>
  <c r="F141" i="20"/>
  <c r="V141" i="20" s="1"/>
  <c r="I141" i="20"/>
  <c r="F298" i="20"/>
  <c r="H298" i="20"/>
  <c r="I298" i="20"/>
  <c r="J298" i="20"/>
  <c r="K298" i="20"/>
  <c r="G273" i="20"/>
  <c r="J273" i="20"/>
  <c r="H273" i="20"/>
  <c r="I273" i="20"/>
  <c r="K273" i="20"/>
  <c r="F418" i="20"/>
  <c r="G418" i="20"/>
  <c r="H418" i="20"/>
  <c r="I418" i="20"/>
  <c r="J418" i="20"/>
  <c r="K418" i="20"/>
  <c r="F208" i="20"/>
  <c r="V208" i="20" s="1"/>
  <c r="K208" i="20"/>
  <c r="G206" i="20"/>
  <c r="W206" i="20" s="1"/>
  <c r="K206" i="20"/>
  <c r="F206" i="20"/>
  <c r="V206" i="20" s="1"/>
  <c r="J206" i="20"/>
  <c r="F201" i="20"/>
  <c r="V201" i="20" s="1"/>
  <c r="G201" i="20"/>
  <c r="W201" i="20" s="1"/>
  <c r="I180" i="20"/>
  <c r="G180" i="20"/>
  <c r="W180" i="20" s="1"/>
  <c r="K180" i="20"/>
  <c r="F166" i="20"/>
  <c r="V166" i="20" s="1"/>
  <c r="G166" i="20"/>
  <c r="W166" i="20" s="1"/>
  <c r="I166" i="20"/>
  <c r="J166" i="20"/>
  <c r="K166" i="20"/>
  <c r="F319" i="20"/>
  <c r="H319" i="20"/>
  <c r="J319" i="20"/>
  <c r="K211" i="20"/>
  <c r="G210" i="20"/>
  <c r="W210" i="20" s="1"/>
  <c r="J196" i="20"/>
  <c r="I186" i="20"/>
  <c r="G185" i="20"/>
  <c r="W185" i="20" s="1"/>
  <c r="J182" i="20"/>
  <c r="K181" i="20"/>
  <c r="J177" i="20"/>
  <c r="J172" i="20"/>
  <c r="K164" i="20"/>
  <c r="G159" i="20"/>
  <c r="W159" i="20" s="1"/>
  <c r="G153" i="20"/>
  <c r="W153" i="20" s="1"/>
  <c r="K151" i="20"/>
  <c r="I150" i="20"/>
  <c r="J145" i="20"/>
  <c r="I135" i="20"/>
  <c r="J129" i="20"/>
  <c r="K315" i="20"/>
  <c r="K314" i="20"/>
  <c r="K313" i="20"/>
  <c r="I301" i="20"/>
  <c r="I296" i="20"/>
  <c r="J293" i="20"/>
  <c r="K292" i="20"/>
  <c r="G291" i="20"/>
  <c r="K288" i="20"/>
  <c r="F283" i="20"/>
  <c r="G282" i="20"/>
  <c r="K271" i="20"/>
  <c r="K269" i="20"/>
  <c r="I267" i="20"/>
  <c r="F255" i="20"/>
  <c r="J255" i="20"/>
  <c r="K255" i="20"/>
  <c r="I251" i="20"/>
  <c r="G251" i="20"/>
  <c r="J240" i="20"/>
  <c r="I240" i="20"/>
  <c r="K240" i="20"/>
  <c r="G240" i="20"/>
  <c r="I228" i="20"/>
  <c r="F228" i="20"/>
  <c r="G228" i="20"/>
  <c r="J228" i="20"/>
  <c r="K228" i="20"/>
  <c r="G354" i="20"/>
  <c r="H354" i="20"/>
  <c r="I354" i="20"/>
  <c r="H325" i="20"/>
  <c r="G325" i="20"/>
  <c r="K325" i="20"/>
  <c r="J277" i="20"/>
  <c r="F277" i="20"/>
  <c r="F274" i="20"/>
  <c r="J274" i="20"/>
  <c r="G249" i="20"/>
  <c r="I249" i="20"/>
  <c r="F239" i="20"/>
  <c r="J239" i="20"/>
  <c r="K239" i="20"/>
  <c r="I227" i="20"/>
  <c r="F227" i="20"/>
  <c r="G227" i="20"/>
  <c r="K227" i="20"/>
  <c r="F223" i="20"/>
  <c r="J223" i="20"/>
  <c r="K223" i="20"/>
  <c r="G395" i="20"/>
  <c r="H395" i="20"/>
  <c r="I395" i="20"/>
  <c r="J395" i="20"/>
  <c r="K203" i="20"/>
  <c r="G182" i="20"/>
  <c r="W182" i="20" s="1"/>
  <c r="K179" i="20"/>
  <c r="G177" i="20"/>
  <c r="W177" i="20" s="1"/>
  <c r="I170" i="20"/>
  <c r="K165" i="20"/>
  <c r="K148" i="20"/>
  <c r="K147" i="20"/>
  <c r="G145" i="20"/>
  <c r="W145" i="20" s="1"/>
  <c r="K132" i="20"/>
  <c r="K131" i="20"/>
  <c r="G129" i="20"/>
  <c r="W129" i="20" s="1"/>
  <c r="K317" i="20"/>
  <c r="K316" i="20"/>
  <c r="G315" i="20"/>
  <c r="H314" i="20"/>
  <c r="G293" i="20"/>
  <c r="J279" i="20"/>
  <c r="I275" i="20"/>
  <c r="K275" i="20"/>
  <c r="G269" i="20"/>
  <c r="H261" i="20"/>
  <c r="K396" i="20"/>
  <c r="I376" i="20"/>
  <c r="K376" i="20"/>
  <c r="F343" i="20"/>
  <c r="J343" i="20"/>
  <c r="K343" i="20"/>
  <c r="K322" i="20"/>
  <c r="F170" i="20"/>
  <c r="V170" i="20" s="1"/>
  <c r="F165" i="20"/>
  <c r="V165" i="20" s="1"/>
  <c r="J148" i="20"/>
  <c r="K138" i="20"/>
  <c r="J132" i="20"/>
  <c r="J317" i="20"/>
  <c r="H316" i="20"/>
  <c r="F315" i="20"/>
  <c r="G314" i="20"/>
  <c r="K286" i="20"/>
  <c r="K277" i="20"/>
  <c r="K274" i="20"/>
  <c r="F269" i="20"/>
  <c r="G265" i="20"/>
  <c r="I265" i="20"/>
  <c r="F252" i="20"/>
  <c r="K252" i="20"/>
  <c r="K246" i="20"/>
  <c r="F245" i="20"/>
  <c r="I245" i="20"/>
  <c r="H373" i="20"/>
  <c r="F373" i="20"/>
  <c r="G373" i="20"/>
  <c r="K373" i="20"/>
  <c r="K210" i="20"/>
  <c r="K191" i="20"/>
  <c r="K190" i="20"/>
  <c r="I148" i="20"/>
  <c r="I138" i="20"/>
  <c r="K133" i="20"/>
  <c r="I132" i="20"/>
  <c r="K221" i="20"/>
  <c r="I317" i="20"/>
  <c r="K312" i="20"/>
  <c r="K295" i="20"/>
  <c r="I277" i="20"/>
  <c r="F276" i="20"/>
  <c r="K276" i="20"/>
  <c r="I274" i="20"/>
  <c r="F263" i="20"/>
  <c r="K263" i="20"/>
  <c r="J256" i="20"/>
  <c r="I256" i="20"/>
  <c r="G256" i="20"/>
  <c r="F250" i="20"/>
  <c r="H250" i="20"/>
  <c r="I250" i="20"/>
  <c r="F229" i="20"/>
  <c r="G229" i="20"/>
  <c r="I229" i="20"/>
  <c r="J229" i="20"/>
  <c r="F226" i="20"/>
  <c r="G226" i="20"/>
  <c r="H226" i="20"/>
  <c r="I226" i="20"/>
  <c r="J226" i="20"/>
  <c r="G419" i="20"/>
  <c r="H419" i="20"/>
  <c r="I419" i="20"/>
  <c r="F378" i="20"/>
  <c r="G378" i="20"/>
  <c r="H378" i="20"/>
  <c r="I378" i="20"/>
  <c r="G358" i="20"/>
  <c r="F358" i="20"/>
  <c r="K358" i="20"/>
  <c r="G347" i="20"/>
  <c r="H347" i="20"/>
  <c r="I347" i="20"/>
  <c r="J347" i="20"/>
  <c r="I340" i="20"/>
  <c r="G340" i="20"/>
  <c r="H340" i="20"/>
  <c r="K340" i="20"/>
  <c r="G398" i="20"/>
  <c r="F398" i="20"/>
  <c r="K398" i="20"/>
  <c r="F396" i="20"/>
  <c r="G396" i="20"/>
  <c r="H396" i="20"/>
  <c r="I396" i="20"/>
  <c r="F369" i="20"/>
  <c r="K369" i="20"/>
  <c r="F352" i="20"/>
  <c r="I352" i="20"/>
  <c r="K352" i="20"/>
  <c r="I322" i="20"/>
  <c r="K219" i="20"/>
  <c r="I210" i="20"/>
  <c r="I191" i="20"/>
  <c r="I190" i="20"/>
  <c r="F149" i="20"/>
  <c r="V149" i="20" s="1"/>
  <c r="F148" i="20"/>
  <c r="V148" i="20" s="1"/>
  <c r="F138" i="20"/>
  <c r="V138" i="20" s="1"/>
  <c r="F133" i="20"/>
  <c r="V133" i="20" s="1"/>
  <c r="F132" i="20"/>
  <c r="V132" i="20" s="1"/>
  <c r="K318" i="20"/>
  <c r="F317" i="20"/>
  <c r="G312" i="20"/>
  <c r="J301" i="20"/>
  <c r="G277" i="20"/>
  <c r="G274" i="20"/>
  <c r="F261" i="20"/>
  <c r="I261" i="20"/>
  <c r="I259" i="20"/>
  <c r="K259" i="20"/>
  <c r="J249" i="20"/>
  <c r="K395" i="20"/>
  <c r="H349" i="20"/>
  <c r="G349" i="20"/>
  <c r="K349" i="20"/>
  <c r="I258" i="20"/>
  <c r="I257" i="20"/>
  <c r="K247" i="20"/>
  <c r="H243" i="20"/>
  <c r="I242" i="20"/>
  <c r="I241" i="20"/>
  <c r="I237" i="20"/>
  <c r="H236" i="20"/>
  <c r="G235" i="20"/>
  <c r="I416" i="20"/>
  <c r="H411" i="20"/>
  <c r="I410" i="20"/>
  <c r="J407" i="20"/>
  <c r="K405" i="20"/>
  <c r="I404" i="20"/>
  <c r="J403" i="20"/>
  <c r="I392" i="20"/>
  <c r="H387" i="20"/>
  <c r="J383" i="20"/>
  <c r="J380" i="20"/>
  <c r="K374" i="20"/>
  <c r="H370" i="20"/>
  <c r="J367" i="20"/>
  <c r="H364" i="20"/>
  <c r="J362" i="20"/>
  <c r="K361" i="20"/>
  <c r="I335" i="20"/>
  <c r="H332" i="20"/>
  <c r="J330" i="20"/>
  <c r="K329" i="20"/>
  <c r="F326" i="20"/>
  <c r="G362" i="20"/>
  <c r="G356" i="20"/>
  <c r="K351" i="20"/>
  <c r="G330" i="20"/>
  <c r="H324" i="20"/>
  <c r="G264" i="20"/>
  <c r="G248" i="20"/>
  <c r="K232" i="20"/>
  <c r="H321" i="20"/>
  <c r="X321" i="20" s="1"/>
  <c r="F406" i="20"/>
  <c r="G397" i="20"/>
  <c r="J394" i="20"/>
  <c r="J375" i="20"/>
  <c r="J372" i="20"/>
  <c r="K360" i="20"/>
  <c r="G357" i="20"/>
  <c r="J351" i="20"/>
  <c r="J346" i="20"/>
  <c r="K345" i="20"/>
  <c r="J339" i="20"/>
  <c r="K334" i="20"/>
  <c r="K328" i="20"/>
  <c r="G324" i="20"/>
  <c r="K233" i="20"/>
  <c r="I321" i="20"/>
  <c r="I394" i="20"/>
  <c r="I372" i="20"/>
  <c r="J233" i="20"/>
  <c r="K413" i="20"/>
  <c r="H394" i="20"/>
  <c r="K389" i="20"/>
  <c r="J387" i="20"/>
  <c r="H372" i="20"/>
  <c r="J370" i="20"/>
  <c r="K341" i="20"/>
  <c r="K335" i="20"/>
  <c r="J258" i="20"/>
  <c r="J257" i="20"/>
  <c r="K243" i="20"/>
  <c r="J242" i="20"/>
  <c r="J241" i="20"/>
  <c r="J237" i="20"/>
  <c r="J236" i="20"/>
  <c r="I233" i="20"/>
  <c r="K416" i="20"/>
  <c r="G413" i="20"/>
  <c r="K407" i="20"/>
  <c r="K392" i="20"/>
  <c r="G389" i="20"/>
  <c r="K383" i="20"/>
  <c r="K332" i="20"/>
  <c r="J417" i="20"/>
  <c r="J409" i="20"/>
  <c r="J401" i="20"/>
  <c r="J393" i="20"/>
  <c r="J385" i="20"/>
  <c r="J377" i="20"/>
  <c r="J369" i="20"/>
  <c r="J361" i="20"/>
  <c r="J353" i="20"/>
  <c r="J345" i="20"/>
  <c r="J337" i="20"/>
  <c r="J329" i="20"/>
  <c r="K393" i="20"/>
  <c r="I417" i="20"/>
  <c r="J416" i="20"/>
  <c r="I409" i="20"/>
  <c r="J408" i="20"/>
  <c r="I401" i="20"/>
  <c r="J400" i="20"/>
  <c r="I393" i="20"/>
  <c r="J392" i="20"/>
  <c r="I385" i="20"/>
  <c r="J384" i="20"/>
  <c r="I377" i="20"/>
  <c r="J376" i="20"/>
  <c r="I369" i="20"/>
  <c r="J368" i="20"/>
  <c r="I361" i="20"/>
  <c r="J360" i="20"/>
  <c r="I353" i="20"/>
  <c r="J352" i="20"/>
  <c r="I345" i="20"/>
  <c r="J344" i="20"/>
  <c r="I337" i="20"/>
  <c r="J336" i="20"/>
  <c r="I329" i="20"/>
  <c r="J328" i="20"/>
  <c r="F324" i="20"/>
  <c r="K401" i="20"/>
  <c r="K385" i="20"/>
  <c r="H409" i="20"/>
  <c r="K406" i="20"/>
  <c r="H401" i="20"/>
  <c r="H393" i="20"/>
  <c r="H385" i="20"/>
  <c r="H377" i="20"/>
  <c r="H369" i="20"/>
  <c r="H361" i="20"/>
  <c r="H353" i="20"/>
  <c r="H345" i="20"/>
  <c r="K342" i="20"/>
  <c r="H337" i="20"/>
  <c r="H329" i="20"/>
  <c r="K409" i="20"/>
  <c r="H417" i="20"/>
  <c r="G417" i="20"/>
  <c r="H416" i="20"/>
  <c r="I415" i="20"/>
  <c r="J414" i="20"/>
  <c r="G409" i="20"/>
  <c r="H408" i="20"/>
  <c r="I407" i="20"/>
  <c r="J406" i="20"/>
  <c r="G401" i="20"/>
  <c r="H400" i="20"/>
  <c r="I399" i="20"/>
  <c r="J398" i="20"/>
  <c r="G393" i="20"/>
  <c r="H392" i="20"/>
  <c r="I391" i="20"/>
  <c r="J390" i="20"/>
  <c r="G385" i="20"/>
  <c r="H384" i="20"/>
  <c r="I383" i="20"/>
  <c r="J382" i="20"/>
  <c r="G377" i="20"/>
  <c r="H376" i="20"/>
  <c r="I375" i="20"/>
  <c r="J374" i="20"/>
  <c r="G369" i="20"/>
  <c r="H368" i="20"/>
  <c r="I367" i="20"/>
  <c r="J366" i="20"/>
  <c r="G361" i="20"/>
  <c r="H360" i="20"/>
  <c r="I359" i="20"/>
  <c r="J358" i="20"/>
  <c r="G353" i="20"/>
  <c r="H352" i="20"/>
  <c r="I351" i="20"/>
  <c r="J350" i="20"/>
  <c r="G345" i="20"/>
  <c r="H344" i="20"/>
  <c r="I343" i="20"/>
  <c r="J342" i="20"/>
  <c r="G337" i="20"/>
  <c r="H336" i="20"/>
  <c r="J334" i="20"/>
  <c r="G329" i="20"/>
  <c r="H328" i="20"/>
  <c r="J326" i="20"/>
  <c r="G416" i="20"/>
  <c r="H415" i="20"/>
  <c r="I414" i="20"/>
  <c r="J413" i="20"/>
  <c r="G408" i="20"/>
  <c r="H407" i="20"/>
  <c r="I406" i="20"/>
  <c r="J405" i="20"/>
  <c r="G400" i="20"/>
  <c r="H399" i="20"/>
  <c r="I398" i="20"/>
  <c r="J397" i="20"/>
  <c r="G392" i="20"/>
  <c r="H391" i="20"/>
  <c r="I390" i="20"/>
  <c r="J389" i="20"/>
  <c r="G384" i="20"/>
  <c r="H383" i="20"/>
  <c r="I382" i="20"/>
  <c r="J381" i="20"/>
  <c r="G376" i="20"/>
  <c r="H375" i="20"/>
  <c r="I374" i="20"/>
  <c r="J373" i="20"/>
  <c r="G368" i="20"/>
  <c r="H367" i="20"/>
  <c r="I366" i="20"/>
  <c r="J365" i="20"/>
  <c r="G360" i="20"/>
  <c r="H359" i="20"/>
  <c r="I358" i="20"/>
  <c r="J357" i="20"/>
  <c r="G352" i="20"/>
  <c r="H351" i="20"/>
  <c r="I350" i="20"/>
  <c r="J349" i="20"/>
  <c r="G344" i="20"/>
  <c r="H343" i="20"/>
  <c r="I342" i="20"/>
  <c r="J341" i="20"/>
  <c r="G336" i="20"/>
  <c r="H335" i="20"/>
  <c r="I334" i="20"/>
  <c r="J333" i="20"/>
  <c r="G328" i="20"/>
  <c r="H327" i="20"/>
  <c r="I326" i="20"/>
  <c r="J325" i="20"/>
  <c r="G415" i="20"/>
  <c r="H414" i="20"/>
  <c r="I413" i="20"/>
  <c r="G407" i="20"/>
  <c r="H406" i="20"/>
  <c r="I405" i="20"/>
  <c r="G399" i="20"/>
  <c r="H398" i="20"/>
  <c r="I397" i="20"/>
  <c r="G391" i="20"/>
  <c r="H390" i="20"/>
  <c r="I389" i="20"/>
  <c r="G383" i="20"/>
  <c r="H382" i="20"/>
  <c r="I381" i="20"/>
  <c r="G375" i="20"/>
  <c r="H374" i="20"/>
  <c r="I373" i="20"/>
  <c r="G367" i="20"/>
  <c r="H366" i="20"/>
  <c r="I365" i="20"/>
  <c r="J364" i="20"/>
  <c r="G359" i="20"/>
  <c r="H358" i="20"/>
  <c r="I357" i="20"/>
  <c r="J356" i="20"/>
  <c r="G351" i="20"/>
  <c r="H350" i="20"/>
  <c r="I349" i="20"/>
  <c r="J348" i="20"/>
  <c r="G343" i="20"/>
  <c r="H342" i="20"/>
  <c r="I341" i="20"/>
  <c r="J340" i="20"/>
  <c r="G335" i="20"/>
  <c r="H334" i="20"/>
  <c r="I333" i="20"/>
  <c r="J332" i="20"/>
  <c r="G327" i="20"/>
  <c r="H326" i="20"/>
  <c r="I325" i="20"/>
  <c r="J324" i="20"/>
  <c r="I319" i="20"/>
  <c r="J318" i="20"/>
  <c r="G313" i="20"/>
  <c r="I311" i="20"/>
  <c r="J310" i="20"/>
  <c r="G305" i="20"/>
  <c r="I303" i="20"/>
  <c r="J302" i="20"/>
  <c r="G297" i="20"/>
  <c r="H296" i="20"/>
  <c r="I295" i="20"/>
  <c r="J294" i="20"/>
  <c r="G289" i="20"/>
  <c r="H288" i="20"/>
  <c r="I287" i="20"/>
  <c r="J286" i="20"/>
  <c r="H280" i="20"/>
  <c r="I279" i="20"/>
  <c r="J278" i="20"/>
  <c r="H272" i="20"/>
  <c r="I271" i="20"/>
  <c r="J270" i="20"/>
  <c r="H264" i="20"/>
  <c r="I263" i="20"/>
  <c r="J262" i="20"/>
  <c r="I255" i="20"/>
  <c r="J254" i="20"/>
  <c r="I247" i="20"/>
  <c r="J246" i="20"/>
  <c r="I239" i="20"/>
  <c r="J238" i="20"/>
  <c r="G233" i="20"/>
  <c r="I231" i="20"/>
  <c r="J230" i="20"/>
  <c r="G225" i="20"/>
  <c r="H224" i="20"/>
  <c r="I223" i="20"/>
  <c r="J222" i="20"/>
  <c r="H289" i="20"/>
  <c r="K270" i="20"/>
  <c r="I318" i="20"/>
  <c r="F313" i="20"/>
  <c r="I310" i="20"/>
  <c r="F305" i="20"/>
  <c r="I302" i="20"/>
  <c r="K300" i="20"/>
  <c r="F297" i="20"/>
  <c r="I294" i="20"/>
  <c r="F289" i="20"/>
  <c r="I286" i="20"/>
  <c r="I278" i="20"/>
  <c r="I270" i="20"/>
  <c r="I262" i="20"/>
  <c r="I254" i="20"/>
  <c r="I246" i="20"/>
  <c r="I238" i="20"/>
  <c r="G232" i="20"/>
  <c r="I230" i="20"/>
  <c r="G224" i="20"/>
  <c r="I222" i="20"/>
  <c r="K310" i="20"/>
  <c r="F320" i="20"/>
  <c r="G319" i="20"/>
  <c r="J316" i="20"/>
  <c r="F312" i="20"/>
  <c r="G311" i="20"/>
  <c r="J308" i="20"/>
  <c r="F304" i="20"/>
  <c r="G303" i="20"/>
  <c r="J300" i="20"/>
  <c r="F296" i="20"/>
  <c r="G295" i="20"/>
  <c r="J292" i="20"/>
  <c r="F288" i="20"/>
  <c r="G287" i="20"/>
  <c r="H286" i="20"/>
  <c r="J284" i="20"/>
  <c r="F280" i="20"/>
  <c r="G279" i="20"/>
  <c r="J276" i="20"/>
  <c r="F272" i="20"/>
  <c r="G271" i="20"/>
  <c r="H270" i="20"/>
  <c r="J268" i="20"/>
  <c r="F264" i="20"/>
  <c r="G263" i="20"/>
  <c r="H262" i="20"/>
  <c r="J260" i="20"/>
  <c r="F256" i="20"/>
  <c r="G255" i="20"/>
  <c r="J252" i="20"/>
  <c r="F248" i="20"/>
  <c r="G247" i="20"/>
  <c r="J244" i="20"/>
  <c r="F240" i="20"/>
  <c r="G239" i="20"/>
  <c r="F232" i="20"/>
  <c r="G231" i="20"/>
  <c r="F224" i="20"/>
  <c r="G223" i="20"/>
  <c r="G318" i="20"/>
  <c r="I316" i="20"/>
  <c r="G310" i="20"/>
  <c r="I308" i="20"/>
  <c r="G302" i="20"/>
  <c r="I300" i="20"/>
  <c r="G294" i="20"/>
  <c r="I292" i="20"/>
  <c r="G286" i="20"/>
  <c r="I284" i="20"/>
  <c r="J283" i="20"/>
  <c r="G278" i="20"/>
  <c r="I276" i="20"/>
  <c r="J275" i="20"/>
  <c r="G270" i="20"/>
  <c r="I268" i="20"/>
  <c r="J267" i="20"/>
  <c r="G262" i="20"/>
  <c r="I260" i="20"/>
  <c r="J259" i="20"/>
  <c r="G254" i="20"/>
  <c r="I252" i="20"/>
  <c r="J251" i="20"/>
  <c r="G246" i="20"/>
  <c r="I244" i="20"/>
  <c r="J243" i="20"/>
  <c r="G238" i="20"/>
  <c r="J235" i="20"/>
  <c r="G230" i="20"/>
  <c r="J227" i="20"/>
  <c r="H284" i="20"/>
  <c r="H276" i="20"/>
  <c r="H268" i="20"/>
  <c r="H260" i="20"/>
  <c r="H252" i="20"/>
  <c r="H244" i="20"/>
  <c r="K289" i="20"/>
  <c r="G316" i="20"/>
  <c r="J313" i="20"/>
  <c r="G308" i="20"/>
  <c r="J305" i="20"/>
  <c r="G300" i="20"/>
  <c r="J297" i="20"/>
  <c r="G292" i="20"/>
  <c r="J289" i="20"/>
  <c r="G284" i="20"/>
  <c r="G276" i="20"/>
  <c r="G268" i="20"/>
  <c r="G260" i="20"/>
  <c r="G252" i="20"/>
  <c r="G244" i="20"/>
  <c r="I219" i="20"/>
  <c r="F214" i="20"/>
  <c r="V214" i="20" s="1"/>
  <c r="G213" i="20"/>
  <c r="W213" i="20" s="1"/>
  <c r="I211" i="20"/>
  <c r="G205" i="20"/>
  <c r="W205" i="20" s="1"/>
  <c r="I203" i="20"/>
  <c r="G197" i="20"/>
  <c r="W197" i="20" s="1"/>
  <c r="I195" i="20"/>
  <c r="G189" i="20"/>
  <c r="W189" i="20" s="1"/>
  <c r="I187" i="20"/>
  <c r="G181" i="20"/>
  <c r="W181" i="20" s="1"/>
  <c r="I179" i="20"/>
  <c r="J178" i="20"/>
  <c r="G173" i="20"/>
  <c r="W173" i="20" s="1"/>
  <c r="I171" i="20"/>
  <c r="J170" i="20"/>
  <c r="G165" i="20"/>
  <c r="W165" i="20" s="1"/>
  <c r="I163" i="20"/>
  <c r="J162" i="20"/>
  <c r="G157" i="20"/>
  <c r="W157" i="20" s="1"/>
  <c r="I155" i="20"/>
  <c r="J154" i="20"/>
  <c r="G149" i="20"/>
  <c r="W149" i="20" s="1"/>
  <c r="I147" i="20"/>
  <c r="J146" i="20"/>
  <c r="G141" i="20"/>
  <c r="W141" i="20" s="1"/>
  <c r="I139" i="20"/>
  <c r="J138" i="20"/>
  <c r="G133" i="20"/>
  <c r="W133" i="20" s="1"/>
  <c r="I131" i="20"/>
  <c r="J130" i="20"/>
  <c r="G125" i="20"/>
  <c r="W125" i="20" s="1"/>
  <c r="I123" i="20"/>
  <c r="J122" i="20"/>
  <c r="K136" i="20"/>
  <c r="K128" i="20"/>
  <c r="F220" i="20"/>
  <c r="V220" i="20" s="1"/>
  <c r="G219" i="20"/>
  <c r="W219" i="20" s="1"/>
  <c r="I217" i="20"/>
  <c r="J216" i="20"/>
  <c r="F212" i="20"/>
  <c r="V212" i="20" s="1"/>
  <c r="G211" i="20"/>
  <c r="W211" i="20" s="1"/>
  <c r="I209" i="20"/>
  <c r="J208" i="20"/>
  <c r="F204" i="20"/>
  <c r="V204" i="20" s="1"/>
  <c r="G203" i="20"/>
  <c r="W203" i="20" s="1"/>
  <c r="I201" i="20"/>
  <c r="J200" i="20"/>
  <c r="F196" i="20"/>
  <c r="V196" i="20" s="1"/>
  <c r="G195" i="20"/>
  <c r="W195" i="20" s="1"/>
  <c r="I193" i="20"/>
  <c r="J192" i="20"/>
  <c r="F188" i="20"/>
  <c r="V188" i="20" s="1"/>
  <c r="G187" i="20"/>
  <c r="W187" i="20" s="1"/>
  <c r="I185" i="20"/>
  <c r="J184" i="20"/>
  <c r="F180" i="20"/>
  <c r="V180" i="20" s="1"/>
  <c r="G179" i="20"/>
  <c r="W179" i="20" s="1"/>
  <c r="J176" i="20"/>
  <c r="F172" i="20"/>
  <c r="V172" i="20" s="1"/>
  <c r="G171" i="20"/>
  <c r="W171" i="20" s="1"/>
  <c r="J168" i="20"/>
  <c r="F164" i="20"/>
  <c r="V164" i="20" s="1"/>
  <c r="G163" i="20"/>
  <c r="W163" i="20" s="1"/>
  <c r="J160" i="20"/>
  <c r="G155" i="20"/>
  <c r="W155" i="20" s="1"/>
  <c r="J152" i="20"/>
  <c r="G147" i="20"/>
  <c r="W147" i="20" s="1"/>
  <c r="J144" i="20"/>
  <c r="G139" i="20"/>
  <c r="W139" i="20" s="1"/>
  <c r="J136" i="20"/>
  <c r="G131" i="20"/>
  <c r="W131" i="20" s="1"/>
  <c r="J128" i="20"/>
  <c r="G123" i="20"/>
  <c r="W123" i="20" s="1"/>
  <c r="F219" i="20"/>
  <c r="V219" i="20" s="1"/>
  <c r="I216" i="20"/>
  <c r="F211" i="20"/>
  <c r="V211" i="20" s="1"/>
  <c r="I208" i="20"/>
  <c r="F203" i="20"/>
  <c r="V203" i="20" s="1"/>
  <c r="I200" i="20"/>
  <c r="F195" i="20"/>
  <c r="V195" i="20" s="1"/>
  <c r="I192" i="20"/>
  <c r="F187" i="20"/>
  <c r="V187" i="20" s="1"/>
  <c r="I184" i="20"/>
  <c r="J183" i="20"/>
  <c r="F179" i="20"/>
  <c r="V179" i="20" s="1"/>
  <c r="I176" i="20"/>
  <c r="J175" i="20"/>
  <c r="F171" i="20"/>
  <c r="V171" i="20" s="1"/>
  <c r="I168" i="20"/>
  <c r="J167" i="20"/>
  <c r="F163" i="20"/>
  <c r="V163" i="20" s="1"/>
  <c r="I160" i="20"/>
  <c r="J159" i="20"/>
  <c r="F155" i="20"/>
  <c r="V155" i="20" s="1"/>
  <c r="I152" i="20"/>
  <c r="J151" i="20"/>
  <c r="F147" i="20"/>
  <c r="V147" i="20" s="1"/>
  <c r="I144" i="20"/>
  <c r="J143" i="20"/>
  <c r="F139" i="20"/>
  <c r="V139" i="20" s="1"/>
  <c r="I136" i="20"/>
  <c r="J135" i="20"/>
  <c r="F131" i="20"/>
  <c r="V131" i="20" s="1"/>
  <c r="I128" i="20"/>
  <c r="J127" i="20"/>
  <c r="F123" i="20"/>
  <c r="V123" i="20" s="1"/>
  <c r="K168" i="20"/>
  <c r="K144" i="20"/>
  <c r="G216" i="20"/>
  <c r="W216" i="20" s="1"/>
  <c r="I214" i="20"/>
  <c r="J213" i="20"/>
  <c r="G208" i="20"/>
  <c r="W208" i="20" s="1"/>
  <c r="J205" i="20"/>
  <c r="G200" i="20"/>
  <c r="W200" i="20" s="1"/>
  <c r="J197" i="20"/>
  <c r="G192" i="20"/>
  <c r="W192" i="20" s="1"/>
  <c r="J189" i="20"/>
  <c r="G184" i="20"/>
  <c r="W184" i="20" s="1"/>
  <c r="J181" i="20"/>
  <c r="G176" i="20"/>
  <c r="W176" i="20" s="1"/>
  <c r="J173" i="20"/>
  <c r="G168" i="20"/>
  <c r="W168" i="20" s="1"/>
  <c r="J165" i="20"/>
  <c r="G160" i="20"/>
  <c r="W160" i="20" s="1"/>
  <c r="J157" i="20"/>
  <c r="G152" i="20"/>
  <c r="W152" i="20" s="1"/>
  <c r="J149" i="20"/>
  <c r="G144" i="20"/>
  <c r="W144" i="20" s="1"/>
  <c r="J141" i="20"/>
  <c r="G136" i="20"/>
  <c r="W136" i="20" s="1"/>
  <c r="J133" i="20"/>
  <c r="G128" i="20"/>
  <c r="W128" i="20" s="1"/>
  <c r="J125" i="20"/>
  <c r="K216" i="20"/>
  <c r="K176" i="20"/>
  <c r="I213" i="20"/>
  <c r="I205" i="20"/>
  <c r="F200" i="20"/>
  <c r="V200" i="20" s="1"/>
  <c r="I197" i="20"/>
  <c r="F192" i="20"/>
  <c r="V192" i="20" s="1"/>
  <c r="I189" i="20"/>
  <c r="F184" i="20"/>
  <c r="V184" i="20" s="1"/>
  <c r="I181" i="20"/>
  <c r="I173" i="20"/>
  <c r="I165" i="20"/>
  <c r="I157" i="20"/>
  <c r="F152" i="20"/>
  <c r="V152" i="20" s="1"/>
  <c r="I149" i="20"/>
  <c r="K109" i="20"/>
  <c r="K93" i="20"/>
  <c r="K53" i="20"/>
  <c r="K45" i="20"/>
  <c r="K29" i="20"/>
  <c r="I118" i="20"/>
  <c r="J117" i="20"/>
  <c r="K116" i="20"/>
  <c r="F113" i="20"/>
  <c r="I110" i="20"/>
  <c r="J109" i="20"/>
  <c r="K108" i="20"/>
  <c r="F105" i="20"/>
  <c r="I102" i="20"/>
  <c r="J101" i="20"/>
  <c r="K100" i="20"/>
  <c r="F97" i="20"/>
  <c r="I94" i="20"/>
  <c r="J93" i="20"/>
  <c r="K92" i="20"/>
  <c r="F89" i="20"/>
  <c r="I86" i="20"/>
  <c r="J85" i="20"/>
  <c r="K84" i="20"/>
  <c r="F81" i="20"/>
  <c r="I78" i="20"/>
  <c r="J77" i="20"/>
  <c r="K76" i="20"/>
  <c r="F73" i="20"/>
  <c r="I70" i="20"/>
  <c r="J69" i="20"/>
  <c r="K68" i="20"/>
  <c r="F65" i="20"/>
  <c r="I62" i="20"/>
  <c r="J61" i="20"/>
  <c r="K60" i="20"/>
  <c r="F57" i="20"/>
  <c r="I54" i="20"/>
  <c r="J53" i="20"/>
  <c r="K52" i="20"/>
  <c r="F49" i="20"/>
  <c r="I46" i="20"/>
  <c r="J45" i="20"/>
  <c r="K44" i="20"/>
  <c r="F41" i="20"/>
  <c r="I38" i="20"/>
  <c r="J37" i="20"/>
  <c r="K36" i="20"/>
  <c r="F33" i="20"/>
  <c r="I30" i="20"/>
  <c r="J29" i="20"/>
  <c r="K28" i="20"/>
  <c r="F25" i="20"/>
  <c r="I22" i="20"/>
  <c r="H118" i="20"/>
  <c r="I117" i="20"/>
  <c r="J116" i="20"/>
  <c r="H110" i="20"/>
  <c r="I109" i="20"/>
  <c r="J108" i="20"/>
  <c r="H102" i="20"/>
  <c r="I101" i="20"/>
  <c r="J100" i="20"/>
  <c r="H94" i="20"/>
  <c r="I93" i="20"/>
  <c r="J92" i="20"/>
  <c r="H86" i="20"/>
  <c r="I85" i="20"/>
  <c r="J84" i="20"/>
  <c r="H78" i="20"/>
  <c r="I77" i="20"/>
  <c r="J76" i="20"/>
  <c r="I69" i="20"/>
  <c r="J68" i="20"/>
  <c r="I61" i="20"/>
  <c r="J60" i="20"/>
  <c r="I53" i="20"/>
  <c r="J52" i="20"/>
  <c r="I45" i="20"/>
  <c r="J44" i="20"/>
  <c r="I37" i="20"/>
  <c r="J36" i="20"/>
  <c r="I29" i="20"/>
  <c r="J28" i="20"/>
  <c r="H22" i="20"/>
  <c r="X22" i="20" s="1"/>
  <c r="K77" i="20"/>
  <c r="G118" i="20"/>
  <c r="H117" i="20"/>
  <c r="I116" i="20"/>
  <c r="K114" i="20"/>
  <c r="G110" i="20"/>
  <c r="H109" i="20"/>
  <c r="I108" i="20"/>
  <c r="K106" i="20"/>
  <c r="G102" i="20"/>
  <c r="H101" i="20"/>
  <c r="I100" i="20"/>
  <c r="K98" i="20"/>
  <c r="G94" i="20"/>
  <c r="H93" i="20"/>
  <c r="I92" i="20"/>
  <c r="K90" i="20"/>
  <c r="G86" i="20"/>
  <c r="H85" i="20"/>
  <c r="I84" i="20"/>
  <c r="K82" i="20"/>
  <c r="G78" i="20"/>
  <c r="H77" i="20"/>
  <c r="I76" i="20"/>
  <c r="K74" i="20"/>
  <c r="G70" i="20"/>
  <c r="H69" i="20"/>
  <c r="I68" i="20"/>
  <c r="K66" i="20"/>
  <c r="G62" i="20"/>
  <c r="H61" i="20"/>
  <c r="I60" i="20"/>
  <c r="K58" i="20"/>
  <c r="G54" i="20"/>
  <c r="H53" i="20"/>
  <c r="I52" i="20"/>
  <c r="K50" i="20"/>
  <c r="G46" i="20"/>
  <c r="H45" i="20"/>
  <c r="I44" i="20"/>
  <c r="K42" i="20"/>
  <c r="G38" i="20"/>
  <c r="H37" i="20"/>
  <c r="I36" i="20"/>
  <c r="K34" i="20"/>
  <c r="G30" i="20"/>
  <c r="H29" i="20"/>
  <c r="I28" i="20"/>
  <c r="K26" i="20"/>
  <c r="K117" i="20"/>
  <c r="K69" i="20"/>
  <c r="G117" i="20"/>
  <c r="H116" i="20"/>
  <c r="J114" i="20"/>
  <c r="K113" i="20"/>
  <c r="G109" i="20"/>
  <c r="H108" i="20"/>
  <c r="J106" i="20"/>
  <c r="K105" i="20"/>
  <c r="G101" i="20"/>
  <c r="H100" i="20"/>
  <c r="J98" i="20"/>
  <c r="K97" i="20"/>
  <c r="G93" i="20"/>
  <c r="H92" i="20"/>
  <c r="J90" i="20"/>
  <c r="K89" i="20"/>
  <c r="G85" i="20"/>
  <c r="H84" i="20"/>
  <c r="J82" i="20"/>
  <c r="K81" i="20"/>
  <c r="G77" i="20"/>
  <c r="H76" i="20"/>
  <c r="J74" i="20"/>
  <c r="K73" i="20"/>
  <c r="G69" i="20"/>
  <c r="H68" i="20"/>
  <c r="J66" i="20"/>
  <c r="K65" i="20"/>
  <c r="G61" i="20"/>
  <c r="H60" i="20"/>
  <c r="J58" i="20"/>
  <c r="K57" i="20"/>
  <c r="G53" i="20"/>
  <c r="H52" i="20"/>
  <c r="I51" i="20"/>
  <c r="J50" i="20"/>
  <c r="K49" i="20"/>
  <c r="G45" i="20"/>
  <c r="H44" i="20"/>
  <c r="I43" i="20"/>
  <c r="J42" i="20"/>
  <c r="K41" i="20"/>
  <c r="G37" i="20"/>
  <c r="H36" i="20"/>
  <c r="I35" i="20"/>
  <c r="J34" i="20"/>
  <c r="K33" i="20"/>
  <c r="G29" i="20"/>
  <c r="H28" i="20"/>
  <c r="I27" i="20"/>
  <c r="J26" i="20"/>
  <c r="K25" i="20"/>
  <c r="K101" i="20"/>
  <c r="G116" i="20"/>
  <c r="G108" i="20"/>
  <c r="G100" i="20"/>
  <c r="G92" i="20"/>
  <c r="F85" i="20"/>
  <c r="G84" i="20"/>
  <c r="G76" i="20"/>
  <c r="I74" i="20"/>
  <c r="G68" i="20"/>
  <c r="I66" i="20"/>
  <c r="F61" i="20"/>
  <c r="G60" i="20"/>
  <c r="I58" i="20"/>
  <c r="G52" i="20"/>
  <c r="I50" i="20"/>
  <c r="G44" i="20"/>
  <c r="I42" i="20"/>
  <c r="F37" i="20"/>
  <c r="G36" i="20"/>
  <c r="I34" i="20"/>
  <c r="G28" i="20"/>
  <c r="I26" i="20"/>
  <c r="H21" i="20"/>
  <c r="I21" i="20"/>
  <c r="Q502" i="19"/>
  <c r="D420" i="20" s="1"/>
  <c r="N403" i="19"/>
  <c r="N503" i="19" s="1"/>
  <c r="P403" i="19"/>
  <c r="N285" i="19"/>
  <c r="N286" i="19"/>
  <c r="N386" i="19" s="1"/>
  <c r="P286" i="19"/>
  <c r="P386" i="19" s="1"/>
  <c r="O286" i="19"/>
  <c r="O386" i="19" s="1"/>
  <c r="F24" i="53" l="1"/>
  <c r="F65" i="12" s="1"/>
  <c r="F377" i="20"/>
  <c r="T377" i="20"/>
  <c r="F404" i="20"/>
  <c r="F330" i="20"/>
  <c r="T330" i="20"/>
  <c r="F384" i="20"/>
  <c r="T384" i="20"/>
  <c r="F400" i="20"/>
  <c r="T400" i="20"/>
  <c r="F385" i="20"/>
  <c r="T385" i="20"/>
  <c r="F420" i="20"/>
  <c r="T420" i="20"/>
  <c r="F395" i="20"/>
  <c r="F408" i="20"/>
  <c r="T408" i="20"/>
  <c r="F329" i="20"/>
  <c r="T329" i="20"/>
  <c r="F393" i="20"/>
  <c r="T393" i="20"/>
  <c r="F356" i="20"/>
  <c r="T356" i="20"/>
  <c r="F341" i="20"/>
  <c r="T341" i="20"/>
  <c r="F401" i="20"/>
  <c r="T401" i="20"/>
  <c r="F389" i="20"/>
  <c r="F412" i="20"/>
  <c r="F354" i="20"/>
  <c r="T354" i="20"/>
  <c r="F363" i="20"/>
  <c r="T363" i="20"/>
  <c r="F349" i="20"/>
  <c r="T349" i="20"/>
  <c r="F413" i="20"/>
  <c r="T413" i="20"/>
  <c r="F331" i="20"/>
  <c r="T331" i="20"/>
  <c r="F345" i="20"/>
  <c r="T345" i="20"/>
  <c r="F409" i="20"/>
  <c r="T409" i="20"/>
  <c r="F372" i="20"/>
  <c r="T372" i="20"/>
  <c r="F364" i="20"/>
  <c r="T364" i="20"/>
  <c r="F325" i="20"/>
  <c r="F386" i="20"/>
  <c r="F362" i="20"/>
  <c r="T362" i="20"/>
  <c r="F328" i="20"/>
  <c r="T328" i="20"/>
  <c r="F336" i="20"/>
  <c r="T336" i="20"/>
  <c r="F339" i="20"/>
  <c r="T339" i="20"/>
  <c r="F353" i="20"/>
  <c r="T353" i="20"/>
  <c r="F417" i="20"/>
  <c r="T417" i="20"/>
  <c r="F380" i="20"/>
  <c r="T380" i="20"/>
  <c r="F346" i="20"/>
  <c r="T346" i="20"/>
  <c r="F355" i="20"/>
  <c r="T355" i="20"/>
  <c r="F416" i="20"/>
  <c r="T416" i="20"/>
  <c r="F394" i="20"/>
  <c r="F376" i="20"/>
  <c r="F411" i="20"/>
  <c r="F370" i="20"/>
  <c r="T370" i="20"/>
  <c r="F344" i="20"/>
  <c r="T344" i="20"/>
  <c r="F379" i="20"/>
  <c r="T379" i="20"/>
  <c r="F347" i="20"/>
  <c r="T347" i="20"/>
  <c r="F361" i="20"/>
  <c r="T361" i="20"/>
  <c r="F392" i="20"/>
  <c r="T392" i="20"/>
  <c r="F381" i="20"/>
  <c r="F410" i="20"/>
  <c r="T410" i="20"/>
  <c r="F405" i="20"/>
  <c r="T405" i="20"/>
  <c r="F337" i="20"/>
  <c r="T337" i="20"/>
  <c r="F340" i="20"/>
  <c r="F419" i="20"/>
  <c r="F348" i="20"/>
  <c r="F368" i="20"/>
  <c r="T368" i="20"/>
  <c r="F360" i="20"/>
  <c r="T360" i="20"/>
  <c r="H310" i="20"/>
  <c r="H246" i="20"/>
  <c r="H240" i="20"/>
  <c r="H245" i="20"/>
  <c r="H251" i="20"/>
  <c r="H225" i="20"/>
  <c r="H294" i="20"/>
  <c r="H295" i="20"/>
  <c r="H228" i="20"/>
  <c r="H253" i="20"/>
  <c r="H227" i="20"/>
  <c r="H291" i="20"/>
  <c r="H290" i="20"/>
  <c r="H282" i="20"/>
  <c r="H222" i="20"/>
  <c r="X222" i="20" s="1"/>
  <c r="T222" i="20"/>
  <c r="H302" i="20"/>
  <c r="H318" i="20"/>
  <c r="H248" i="20"/>
  <c r="H233" i="20"/>
  <c r="H259" i="20"/>
  <c r="H279" i="20"/>
  <c r="H239" i="20"/>
  <c r="H241" i="20"/>
  <c r="T303" i="20"/>
  <c r="H303" i="20"/>
  <c r="H274" i="20"/>
  <c r="T274" i="20"/>
  <c r="H231" i="20"/>
  <c r="H320" i="20"/>
  <c r="H293" i="20"/>
  <c r="H317" i="20"/>
  <c r="T317" i="20"/>
  <c r="H238" i="20"/>
  <c r="H254" i="20"/>
  <c r="H232" i="20"/>
  <c r="H267" i="20"/>
  <c r="H258" i="20"/>
  <c r="H257" i="20"/>
  <c r="H271" i="20"/>
  <c r="H237" i="20"/>
  <c r="T237" i="20"/>
  <c r="H301" i="20"/>
  <c r="T301" i="20"/>
  <c r="H230" i="20"/>
  <c r="H266" i="20"/>
  <c r="H309" i="20"/>
  <c r="T309" i="20"/>
  <c r="H304" i="20"/>
  <c r="H229" i="20"/>
  <c r="H287" i="20"/>
  <c r="H242" i="20"/>
  <c r="T242" i="20"/>
  <c r="H306" i="20"/>
  <c r="T306" i="20"/>
  <c r="H277" i="20"/>
  <c r="T277" i="20"/>
  <c r="H307" i="20"/>
  <c r="T307" i="20"/>
  <c r="H278" i="20"/>
  <c r="T278" i="20"/>
  <c r="H255" i="20"/>
  <c r="T255" i="20"/>
  <c r="H256" i="20"/>
  <c r="H312" i="20"/>
  <c r="H249" i="20"/>
  <c r="H283" i="20"/>
  <c r="H275" i="20"/>
  <c r="H263" i="20"/>
  <c r="T263" i="20"/>
  <c r="F25" i="53"/>
  <c r="H65" i="12" s="1"/>
  <c r="F23" i="53"/>
  <c r="G23" i="53" s="1"/>
  <c r="E65" i="12" s="1"/>
  <c r="P503" i="19"/>
  <c r="D223" i="20"/>
  <c r="H223" i="20" s="1"/>
  <c r="Q404" i="19"/>
  <c r="D322" i="20" s="1"/>
  <c r="F322" i="20" s="1"/>
  <c r="G222" i="20"/>
  <c r="W222" i="20" s="1"/>
  <c r="U222" i="20"/>
  <c r="Q286" i="19"/>
  <c r="Q386" i="19" s="1"/>
  <c r="Q403" i="19"/>
  <c r="Q285" i="19"/>
  <c r="Q402" i="19"/>
  <c r="G322" i="20"/>
  <c r="J421" i="20"/>
  <c r="I421" i="20"/>
  <c r="K421" i="20"/>
  <c r="G25" i="53" l="1"/>
  <c r="I65" i="12" s="1"/>
  <c r="D321" i="20"/>
  <c r="Q503" i="19"/>
  <c r="D221" i="20"/>
  <c r="F221" i="20" s="1"/>
  <c r="G24" i="53"/>
  <c r="G65" i="12" s="1"/>
  <c r="D65" i="12"/>
  <c r="T223" i="20"/>
  <c r="H322" i="20"/>
  <c r="T322" i="20"/>
  <c r="G221" i="20"/>
  <c r="S321" i="20" l="1"/>
  <c r="O321" i="20"/>
  <c r="J65" i="12"/>
  <c r="U321" i="20"/>
  <c r="W221" i="20"/>
  <c r="V221" i="20"/>
  <c r="H221" i="20"/>
  <c r="O221" i="20"/>
  <c r="U221" i="20"/>
  <c r="T221" i="20"/>
  <c r="T321" i="20"/>
  <c r="G321" i="20"/>
  <c r="W321" i="20" s="1"/>
  <c r="F321" i="20"/>
  <c r="V321" i="20" s="1"/>
  <c r="P180" i="19"/>
  <c r="P181" i="19"/>
  <c r="P182" i="19"/>
  <c r="P183" i="19"/>
  <c r="P184" i="19"/>
  <c r="P185" i="19"/>
  <c r="P186" i="19"/>
  <c r="P187" i="19"/>
  <c r="Q188" i="19"/>
  <c r="P188" i="19"/>
  <c r="P189" i="19"/>
  <c r="P190" i="19"/>
  <c r="P191" i="19"/>
  <c r="P192" i="19"/>
  <c r="P193" i="19"/>
  <c r="P194" i="19"/>
  <c r="P195" i="19"/>
  <c r="Q196" i="19"/>
  <c r="P196" i="19"/>
  <c r="P197" i="19"/>
  <c r="P198" i="19"/>
  <c r="P199" i="19"/>
  <c r="P200" i="19"/>
  <c r="P201" i="19"/>
  <c r="P202" i="19"/>
  <c r="P203" i="19"/>
  <c r="Q204" i="19"/>
  <c r="P204" i="19"/>
  <c r="P205" i="19"/>
  <c r="P206" i="19"/>
  <c r="P207" i="19"/>
  <c r="P208" i="19"/>
  <c r="P209" i="19"/>
  <c r="P210" i="19"/>
  <c r="P211" i="19"/>
  <c r="Q212" i="19"/>
  <c r="P212" i="19"/>
  <c r="P213" i="19"/>
  <c r="P214" i="19"/>
  <c r="P215" i="19"/>
  <c r="P216" i="19"/>
  <c r="P217" i="19"/>
  <c r="P218" i="19"/>
  <c r="P219" i="19"/>
  <c r="Q220" i="19"/>
  <c r="P220" i="19"/>
  <c r="P221" i="19"/>
  <c r="P222" i="19"/>
  <c r="P223" i="19"/>
  <c r="P224" i="19"/>
  <c r="P225" i="19"/>
  <c r="P226" i="19"/>
  <c r="P227" i="19"/>
  <c r="Q228" i="19"/>
  <c r="P228" i="19"/>
  <c r="P229" i="19"/>
  <c r="P230" i="19"/>
  <c r="P231" i="19"/>
  <c r="P232" i="19"/>
  <c r="P233" i="19"/>
  <c r="P234" i="19"/>
  <c r="P235" i="19"/>
  <c r="Q236" i="19"/>
  <c r="P236" i="19"/>
  <c r="P237" i="19"/>
  <c r="P238" i="19"/>
  <c r="P239" i="19"/>
  <c r="P240" i="19"/>
  <c r="P241" i="19"/>
  <c r="P242" i="19"/>
  <c r="P243" i="19"/>
  <c r="Q244" i="19"/>
  <c r="P244" i="19"/>
  <c r="P245" i="19"/>
  <c r="P246" i="19"/>
  <c r="P247" i="19"/>
  <c r="P248" i="19"/>
  <c r="P249" i="19"/>
  <c r="P250" i="19"/>
  <c r="P251" i="19"/>
  <c r="Q252" i="19"/>
  <c r="P252" i="19"/>
  <c r="P253" i="19"/>
  <c r="P254" i="19"/>
  <c r="P255" i="19"/>
  <c r="P256" i="19"/>
  <c r="P257" i="19"/>
  <c r="P258" i="19"/>
  <c r="P259" i="19"/>
  <c r="Q260" i="19"/>
  <c r="P260" i="19"/>
  <c r="P261" i="19"/>
  <c r="P262" i="19"/>
  <c r="P263" i="19"/>
  <c r="P264" i="19"/>
  <c r="P265" i="19"/>
  <c r="P266" i="19"/>
  <c r="P267" i="19"/>
  <c r="N169" i="19"/>
  <c r="Q180" i="19" l="1"/>
  <c r="D132" i="20" s="1"/>
  <c r="Q266" i="19"/>
  <c r="Q225" i="19"/>
  <c r="Q254" i="19"/>
  <c r="Q206" i="19"/>
  <c r="D158" i="20" s="1"/>
  <c r="H158" i="20" s="1"/>
  <c r="X158" i="20" s="1"/>
  <c r="Q259" i="19"/>
  <c r="D211" i="20" s="1"/>
  <c r="Q251" i="19"/>
  <c r="D203" i="20" s="1"/>
  <c r="Q243" i="19"/>
  <c r="D195" i="20" s="1"/>
  <c r="Q235" i="19"/>
  <c r="D187" i="20" s="1"/>
  <c r="Q227" i="19"/>
  <c r="D179" i="20" s="1"/>
  <c r="Q219" i="19"/>
  <c r="D171" i="20" s="1"/>
  <c r="Q211" i="19"/>
  <c r="D163" i="20" s="1"/>
  <c r="Q203" i="19"/>
  <c r="D155" i="20" s="1"/>
  <c r="Q195" i="19"/>
  <c r="D147" i="20" s="1"/>
  <c r="Q187" i="19"/>
  <c r="D139" i="20" s="1"/>
  <c r="Q265" i="19"/>
  <c r="D217" i="20" s="1"/>
  <c r="Q201" i="19"/>
  <c r="D153" i="20" s="1"/>
  <c r="Q238" i="19"/>
  <c r="D190" i="20" s="1"/>
  <c r="Q214" i="19"/>
  <c r="D166" i="20" s="1"/>
  <c r="Q256" i="19"/>
  <c r="D208" i="20" s="1"/>
  <c r="Q248" i="19"/>
  <c r="D200" i="20" s="1"/>
  <c r="Q240" i="19"/>
  <c r="D192" i="20" s="1"/>
  <c r="Q232" i="19"/>
  <c r="D184" i="20" s="1"/>
  <c r="Q224" i="19"/>
  <c r="D176" i="20" s="1"/>
  <c r="Q216" i="19"/>
  <c r="D168" i="20" s="1"/>
  <c r="Q208" i="19"/>
  <c r="D160" i="20" s="1"/>
  <c r="Q200" i="19"/>
  <c r="D152" i="20" s="1"/>
  <c r="Q192" i="19"/>
  <c r="D144" i="20" s="1"/>
  <c r="Q184" i="19"/>
  <c r="D136" i="20" s="1"/>
  <c r="Q241" i="19"/>
  <c r="D193" i="20" s="1"/>
  <c r="Q209" i="19"/>
  <c r="D161" i="20" s="1"/>
  <c r="Q193" i="19"/>
  <c r="D145" i="20" s="1"/>
  <c r="Q185" i="19"/>
  <c r="D137" i="20" s="1"/>
  <c r="Q230" i="19"/>
  <c r="D182" i="20" s="1"/>
  <c r="Q190" i="19"/>
  <c r="D142" i="20" s="1"/>
  <c r="H142" i="20" s="1"/>
  <c r="X142" i="20" s="1"/>
  <c r="Q264" i="19"/>
  <c r="D216" i="20" s="1"/>
  <c r="Q261" i="19"/>
  <c r="D213" i="20" s="1"/>
  <c r="Q253" i="19"/>
  <c r="D205" i="20" s="1"/>
  <c r="Q245" i="19"/>
  <c r="D197" i="20" s="1"/>
  <c r="Q237" i="19"/>
  <c r="D189" i="20" s="1"/>
  <c r="Q229" i="19"/>
  <c r="D181" i="20" s="1"/>
  <c r="Q221" i="19"/>
  <c r="D173" i="20" s="1"/>
  <c r="Q213" i="19"/>
  <c r="D165" i="20" s="1"/>
  <c r="Q205" i="19"/>
  <c r="D157" i="20" s="1"/>
  <c r="Q197" i="19"/>
  <c r="D149" i="20" s="1"/>
  <c r="Q189" i="19"/>
  <c r="D141" i="20" s="1"/>
  <c r="Q181" i="19"/>
  <c r="D133" i="20" s="1"/>
  <c r="Q257" i="19"/>
  <c r="D209" i="20" s="1"/>
  <c r="Q246" i="19"/>
  <c r="D198" i="20" s="1"/>
  <c r="Q198" i="19"/>
  <c r="D150" i="20" s="1"/>
  <c r="H150" i="20" s="1"/>
  <c r="X150" i="20" s="1"/>
  <c r="Q258" i="19"/>
  <c r="D210" i="20" s="1"/>
  <c r="Q250" i="19"/>
  <c r="D202" i="20" s="1"/>
  <c r="Q242" i="19"/>
  <c r="D194" i="20" s="1"/>
  <c r="Q234" i="19"/>
  <c r="D186" i="20" s="1"/>
  <c r="Q226" i="19"/>
  <c r="D178" i="20" s="1"/>
  <c r="Q218" i="19"/>
  <c r="D170" i="20" s="1"/>
  <c r="Q210" i="19"/>
  <c r="D162" i="20" s="1"/>
  <c r="Q202" i="19"/>
  <c r="D154" i="20" s="1"/>
  <c r="Q194" i="19"/>
  <c r="D146" i="20" s="1"/>
  <c r="Q186" i="19"/>
  <c r="D138" i="20" s="1"/>
  <c r="Q249" i="19"/>
  <c r="D201" i="20" s="1"/>
  <c r="Q233" i="19"/>
  <c r="D185" i="20" s="1"/>
  <c r="Q217" i="19"/>
  <c r="D169" i="20" s="1"/>
  <c r="Q262" i="19"/>
  <c r="D214" i="20" s="1"/>
  <c r="H214" i="20" s="1"/>
  <c r="X214" i="20" s="1"/>
  <c r="Q222" i="19"/>
  <c r="D174" i="20" s="1"/>
  <c r="H174" i="20" s="1"/>
  <c r="X174" i="20" s="1"/>
  <c r="Q182" i="19"/>
  <c r="D134" i="20" s="1"/>
  <c r="Q267" i="19"/>
  <c r="D219" i="20" s="1"/>
  <c r="Q263" i="19"/>
  <c r="D215" i="20" s="1"/>
  <c r="Q255" i="19"/>
  <c r="D207" i="20" s="1"/>
  <c r="Q247" i="19"/>
  <c r="D199" i="20" s="1"/>
  <c r="Q239" i="19"/>
  <c r="D191" i="20" s="1"/>
  <c r="Q231" i="19"/>
  <c r="D183" i="20" s="1"/>
  <c r="Q223" i="19"/>
  <c r="D175" i="20" s="1"/>
  <c r="Q215" i="19"/>
  <c r="D167" i="20" s="1"/>
  <c r="Q207" i="19"/>
  <c r="D159" i="20" s="1"/>
  <c r="Q199" i="19"/>
  <c r="D151" i="20" s="1"/>
  <c r="Q191" i="19"/>
  <c r="D143" i="20" s="1"/>
  <c r="Q183" i="19"/>
  <c r="D135" i="20" s="1"/>
  <c r="D206" i="20"/>
  <c r="H206" i="20" s="1"/>
  <c r="X206" i="20" s="1"/>
  <c r="Q174" i="19"/>
  <c r="D126" i="20" s="1"/>
  <c r="S126" i="20" s="1"/>
  <c r="D218" i="20"/>
  <c r="U126" i="20"/>
  <c r="Q176" i="19"/>
  <c r="D128" i="20" s="1"/>
  <c r="Q173" i="19"/>
  <c r="D125" i="20" s="1"/>
  <c r="Q178" i="19"/>
  <c r="D130" i="20" s="1"/>
  <c r="Q179" i="19"/>
  <c r="D131" i="20" s="1"/>
  <c r="Q175" i="19"/>
  <c r="D127" i="20" s="1"/>
  <c r="D212" i="20"/>
  <c r="D204" i="20"/>
  <c r="D196" i="20"/>
  <c r="D188" i="20"/>
  <c r="D180" i="20"/>
  <c r="D172" i="20"/>
  <c r="D164" i="20"/>
  <c r="D156" i="20"/>
  <c r="D148" i="20"/>
  <c r="D140" i="20"/>
  <c r="Q172" i="19"/>
  <c r="D124" i="20" s="1"/>
  <c r="D177" i="20"/>
  <c r="Q177" i="19"/>
  <c r="D129" i="20" s="1"/>
  <c r="E564" i="19"/>
  <c r="E573" i="19" s="1"/>
  <c r="X221" i="20"/>
  <c r="D62" i="12"/>
  <c r="E62" i="12"/>
  <c r="Q170" i="19"/>
  <c r="P268" i="19"/>
  <c r="O169" i="19"/>
  <c r="H126" i="20" l="1"/>
  <c r="X126" i="20" s="1"/>
  <c r="H190" i="20"/>
  <c r="X190" i="20" s="1"/>
  <c r="U190" i="20"/>
  <c r="S190" i="20"/>
  <c r="H198" i="20"/>
  <c r="X198" i="20" s="1"/>
  <c r="S198" i="20"/>
  <c r="H182" i="20"/>
  <c r="X182" i="20" s="1"/>
  <c r="S182" i="20"/>
  <c r="U182" i="20"/>
  <c r="Q268" i="19"/>
  <c r="D220" i="20" s="1"/>
  <c r="S214" i="20"/>
  <c r="U214" i="20"/>
  <c r="U158" i="20"/>
  <c r="S158" i="20"/>
  <c r="U206" i="20"/>
  <c r="S206" i="20"/>
  <c r="S174" i="20"/>
  <c r="U174" i="20"/>
  <c r="H134" i="20"/>
  <c r="X134" i="20" s="1"/>
  <c r="U134" i="20"/>
  <c r="S134" i="20"/>
  <c r="H166" i="20"/>
  <c r="X166" i="20" s="1"/>
  <c r="S166" i="20"/>
  <c r="U166" i="20"/>
  <c r="U150" i="20"/>
  <c r="S150" i="20"/>
  <c r="U142" i="20"/>
  <c r="S142" i="20"/>
  <c r="U198" i="20"/>
  <c r="H162" i="20"/>
  <c r="X162" i="20" s="1"/>
  <c r="S162" i="20"/>
  <c r="U162" i="20"/>
  <c r="H137" i="20"/>
  <c r="X137" i="20" s="1"/>
  <c r="S137" i="20"/>
  <c r="U137" i="20"/>
  <c r="H136" i="20"/>
  <c r="X136" i="20" s="1"/>
  <c r="S136" i="20"/>
  <c r="U136" i="20"/>
  <c r="H209" i="20"/>
  <c r="X209" i="20" s="1"/>
  <c r="S209" i="20"/>
  <c r="U209" i="20"/>
  <c r="H173" i="20"/>
  <c r="X173" i="20" s="1"/>
  <c r="S173" i="20"/>
  <c r="U173" i="20"/>
  <c r="H153" i="20"/>
  <c r="X153" i="20" s="1"/>
  <c r="S153" i="20"/>
  <c r="U153" i="20"/>
  <c r="H217" i="20"/>
  <c r="X217" i="20" s="1"/>
  <c r="S217" i="20"/>
  <c r="U217" i="20"/>
  <c r="H164" i="20"/>
  <c r="X164" i="20" s="1"/>
  <c r="S164" i="20"/>
  <c r="U164" i="20"/>
  <c r="H179" i="20"/>
  <c r="X179" i="20" s="1"/>
  <c r="S179" i="20"/>
  <c r="U179" i="20"/>
  <c r="H211" i="20"/>
  <c r="X211" i="20" s="1"/>
  <c r="S211" i="20"/>
  <c r="U211" i="20"/>
  <c r="H186" i="20"/>
  <c r="X186" i="20" s="1"/>
  <c r="S186" i="20"/>
  <c r="U186" i="20"/>
  <c r="H155" i="20"/>
  <c r="X155" i="20" s="1"/>
  <c r="S155" i="20"/>
  <c r="U155" i="20"/>
  <c r="H181" i="20"/>
  <c r="X181" i="20" s="1"/>
  <c r="S181" i="20"/>
  <c r="U181" i="20"/>
  <c r="H152" i="20"/>
  <c r="X152" i="20" s="1"/>
  <c r="S152" i="20"/>
  <c r="U152" i="20"/>
  <c r="H175" i="20"/>
  <c r="X175" i="20" s="1"/>
  <c r="S175" i="20"/>
  <c r="U175" i="20"/>
  <c r="H193" i="20"/>
  <c r="X193" i="20" s="1"/>
  <c r="S193" i="20"/>
  <c r="U193" i="20"/>
  <c r="H216" i="20"/>
  <c r="X216" i="20" s="1"/>
  <c r="S216" i="20"/>
  <c r="U216" i="20"/>
  <c r="H128" i="20"/>
  <c r="X128" i="20" s="1"/>
  <c r="S128" i="20"/>
  <c r="U128" i="20"/>
  <c r="H148" i="20"/>
  <c r="X148" i="20" s="1"/>
  <c r="S148" i="20"/>
  <c r="U148" i="20"/>
  <c r="H170" i="20"/>
  <c r="X170" i="20" s="1"/>
  <c r="S170" i="20"/>
  <c r="U170" i="20"/>
  <c r="H203" i="20"/>
  <c r="X203" i="20" s="1"/>
  <c r="S203" i="20"/>
  <c r="U203" i="20"/>
  <c r="H156" i="20"/>
  <c r="X156" i="20" s="1"/>
  <c r="S156" i="20"/>
  <c r="U156" i="20"/>
  <c r="H139" i="20"/>
  <c r="X139" i="20" s="1"/>
  <c r="S139" i="20"/>
  <c r="U139" i="20"/>
  <c r="H167" i="20"/>
  <c r="X167" i="20" s="1"/>
  <c r="S167" i="20"/>
  <c r="U167" i="20"/>
  <c r="H171" i="20"/>
  <c r="X171" i="20" s="1"/>
  <c r="S171" i="20"/>
  <c r="U171" i="20"/>
  <c r="H194" i="20"/>
  <c r="X194" i="20" s="1"/>
  <c r="S194" i="20"/>
  <c r="U194" i="20"/>
  <c r="H160" i="20"/>
  <c r="X160" i="20" s="1"/>
  <c r="S160" i="20"/>
  <c r="U160" i="20"/>
  <c r="H183" i="20"/>
  <c r="X183" i="20" s="1"/>
  <c r="S183" i="20"/>
  <c r="U183" i="20"/>
  <c r="H140" i="20"/>
  <c r="X140" i="20" s="1"/>
  <c r="S140" i="20"/>
  <c r="U140" i="20"/>
  <c r="H168" i="20"/>
  <c r="X168" i="20" s="1"/>
  <c r="S168" i="20"/>
  <c r="U168" i="20"/>
  <c r="H187" i="20"/>
  <c r="X187" i="20" s="1"/>
  <c r="S187" i="20"/>
  <c r="U187" i="20"/>
  <c r="H151" i="20"/>
  <c r="X151" i="20" s="1"/>
  <c r="S151" i="20"/>
  <c r="U151" i="20"/>
  <c r="H201" i="20"/>
  <c r="X201" i="20" s="1"/>
  <c r="S201" i="20"/>
  <c r="U201" i="20"/>
  <c r="H131" i="20"/>
  <c r="X131" i="20" s="1"/>
  <c r="S131" i="20"/>
  <c r="U131" i="20"/>
  <c r="H165" i="20"/>
  <c r="X165" i="20" s="1"/>
  <c r="S165" i="20"/>
  <c r="U165" i="20"/>
  <c r="H145" i="20"/>
  <c r="X145" i="20" s="1"/>
  <c r="S145" i="20"/>
  <c r="U145" i="20"/>
  <c r="H163" i="20"/>
  <c r="X163" i="20" s="1"/>
  <c r="S163" i="20"/>
  <c r="U163" i="20"/>
  <c r="H144" i="20"/>
  <c r="X144" i="20" s="1"/>
  <c r="S144" i="20"/>
  <c r="U144" i="20"/>
  <c r="H172" i="20"/>
  <c r="X172" i="20" s="1"/>
  <c r="S172" i="20"/>
  <c r="U172" i="20"/>
  <c r="H130" i="20"/>
  <c r="X130" i="20" s="1"/>
  <c r="S130" i="20"/>
  <c r="U130" i="20"/>
  <c r="H189" i="20"/>
  <c r="X189" i="20" s="1"/>
  <c r="S189" i="20"/>
  <c r="U189" i="20"/>
  <c r="H169" i="20"/>
  <c r="X169" i="20" s="1"/>
  <c r="S169" i="20"/>
  <c r="U169" i="20"/>
  <c r="H219" i="20"/>
  <c r="X219" i="20" s="1"/>
  <c r="S219" i="20"/>
  <c r="U219" i="20"/>
  <c r="H180" i="20"/>
  <c r="X180" i="20" s="1"/>
  <c r="S180" i="20"/>
  <c r="U180" i="20"/>
  <c r="H127" i="20"/>
  <c r="X127" i="20" s="1"/>
  <c r="S127" i="20"/>
  <c r="U127" i="20"/>
  <c r="H138" i="20"/>
  <c r="X138" i="20" s="1"/>
  <c r="S138" i="20"/>
  <c r="U138" i="20"/>
  <c r="H202" i="20"/>
  <c r="X202" i="20" s="1"/>
  <c r="S202" i="20"/>
  <c r="U202" i="20"/>
  <c r="H133" i="20"/>
  <c r="X133" i="20" s="1"/>
  <c r="S133" i="20"/>
  <c r="U133" i="20"/>
  <c r="H197" i="20"/>
  <c r="X197" i="20" s="1"/>
  <c r="S197" i="20"/>
  <c r="U197" i="20"/>
  <c r="H184" i="20"/>
  <c r="X184" i="20" s="1"/>
  <c r="S184" i="20"/>
  <c r="U184" i="20"/>
  <c r="H191" i="20"/>
  <c r="X191" i="20" s="1"/>
  <c r="S191" i="20"/>
  <c r="U191" i="20"/>
  <c r="H129" i="20"/>
  <c r="X129" i="20" s="1"/>
  <c r="S129" i="20"/>
  <c r="U129" i="20"/>
  <c r="H204" i="20"/>
  <c r="X204" i="20" s="1"/>
  <c r="S204" i="20"/>
  <c r="U204" i="20"/>
  <c r="H157" i="20"/>
  <c r="X157" i="20" s="1"/>
  <c r="S157" i="20"/>
  <c r="U157" i="20"/>
  <c r="H215" i="20"/>
  <c r="X215" i="20" s="1"/>
  <c r="S215" i="20"/>
  <c r="U215" i="20"/>
  <c r="H212" i="20"/>
  <c r="X212" i="20" s="1"/>
  <c r="S212" i="20"/>
  <c r="U212" i="20"/>
  <c r="H208" i="20"/>
  <c r="X208" i="20" s="1"/>
  <c r="S208" i="20"/>
  <c r="U208" i="20"/>
  <c r="H159" i="20"/>
  <c r="X159" i="20" s="1"/>
  <c r="S159" i="20"/>
  <c r="U159" i="20"/>
  <c r="H192" i="20"/>
  <c r="X192" i="20" s="1"/>
  <c r="S192" i="20"/>
  <c r="U192" i="20"/>
  <c r="H178" i="20"/>
  <c r="X178" i="20" s="1"/>
  <c r="S178" i="20"/>
  <c r="U178" i="20"/>
  <c r="H161" i="20"/>
  <c r="X161" i="20" s="1"/>
  <c r="S161" i="20"/>
  <c r="U161" i="20"/>
  <c r="H195" i="20"/>
  <c r="X195" i="20" s="1"/>
  <c r="S195" i="20"/>
  <c r="U195" i="20"/>
  <c r="H125" i="20"/>
  <c r="X125" i="20" s="1"/>
  <c r="S125" i="20"/>
  <c r="U125" i="20"/>
  <c r="H177" i="20"/>
  <c r="X177" i="20" s="1"/>
  <c r="S177" i="20"/>
  <c r="U177" i="20"/>
  <c r="H124" i="20"/>
  <c r="X124" i="20" s="1"/>
  <c r="S124" i="20"/>
  <c r="U124" i="20"/>
  <c r="H188" i="20"/>
  <c r="X188" i="20" s="1"/>
  <c r="S188" i="20"/>
  <c r="U188" i="20"/>
  <c r="H135" i="20"/>
  <c r="X135" i="20" s="1"/>
  <c r="S135" i="20"/>
  <c r="U135" i="20"/>
  <c r="H146" i="20"/>
  <c r="X146" i="20" s="1"/>
  <c r="S146" i="20"/>
  <c r="U146" i="20"/>
  <c r="H210" i="20"/>
  <c r="X210" i="20" s="1"/>
  <c r="S210" i="20"/>
  <c r="U210" i="20"/>
  <c r="H141" i="20"/>
  <c r="X141" i="20" s="1"/>
  <c r="S141" i="20"/>
  <c r="U141" i="20"/>
  <c r="H205" i="20"/>
  <c r="X205" i="20" s="1"/>
  <c r="S205" i="20"/>
  <c r="U205" i="20"/>
  <c r="H200" i="20"/>
  <c r="X200" i="20" s="1"/>
  <c r="S200" i="20"/>
  <c r="U200" i="20"/>
  <c r="H199" i="20"/>
  <c r="X199" i="20" s="1"/>
  <c r="S199" i="20"/>
  <c r="U199" i="20"/>
  <c r="H185" i="20"/>
  <c r="X185" i="20" s="1"/>
  <c r="S185" i="20"/>
  <c r="U185" i="20"/>
  <c r="H132" i="20"/>
  <c r="X132" i="20" s="1"/>
  <c r="S132" i="20"/>
  <c r="U132" i="20"/>
  <c r="H196" i="20"/>
  <c r="X196" i="20" s="1"/>
  <c r="S196" i="20"/>
  <c r="U196" i="20"/>
  <c r="H176" i="20"/>
  <c r="X176" i="20" s="1"/>
  <c r="S176" i="20"/>
  <c r="U176" i="20"/>
  <c r="H154" i="20"/>
  <c r="X154" i="20" s="1"/>
  <c r="S154" i="20"/>
  <c r="U154" i="20"/>
  <c r="H218" i="20"/>
  <c r="X218" i="20" s="1"/>
  <c r="S218" i="20"/>
  <c r="U218" i="20"/>
  <c r="H149" i="20"/>
  <c r="X149" i="20" s="1"/>
  <c r="S149" i="20"/>
  <c r="U149" i="20"/>
  <c r="H213" i="20"/>
  <c r="X213" i="20" s="1"/>
  <c r="S213" i="20"/>
  <c r="U213" i="20"/>
  <c r="H147" i="20"/>
  <c r="X147" i="20" s="1"/>
  <c r="S147" i="20"/>
  <c r="U147" i="20"/>
  <c r="H143" i="20"/>
  <c r="X143" i="20" s="1"/>
  <c r="S143" i="20"/>
  <c r="U143" i="20"/>
  <c r="H207" i="20"/>
  <c r="X207" i="20" s="1"/>
  <c r="S207" i="20"/>
  <c r="U207" i="20"/>
  <c r="N269" i="19"/>
  <c r="O269" i="19"/>
  <c r="P269" i="19"/>
  <c r="D122" i="20"/>
  <c r="Q171" i="19"/>
  <c r="Q169" i="19"/>
  <c r="H220" i="20" l="1"/>
  <c r="X220" i="20" s="1"/>
  <c r="S220" i="20"/>
  <c r="U220" i="20"/>
  <c r="H122" i="20"/>
  <c r="X122" i="20" s="1"/>
  <c r="S122" i="20"/>
  <c r="G122" i="20"/>
  <c r="W122" i="20" s="1"/>
  <c r="Q269" i="19"/>
  <c r="U122" i="20"/>
  <c r="D121" i="20"/>
  <c r="S121" i="20" s="1"/>
  <c r="D123" i="20"/>
  <c r="H123" i="20" l="1"/>
  <c r="X123" i="20" s="1"/>
  <c r="S123" i="20"/>
  <c r="U123" i="20"/>
  <c r="G565" i="19"/>
  <c r="R121" i="20"/>
  <c r="O121" i="20"/>
  <c r="H121" i="20"/>
  <c r="U121" i="20"/>
  <c r="G121" i="20"/>
  <c r="T121" i="20"/>
  <c r="F121" i="20"/>
  <c r="T123" i="20"/>
  <c r="O53" i="19"/>
  <c r="D23" i="20" s="1"/>
  <c r="O52" i="19"/>
  <c r="O54" i="19"/>
  <c r="D24" i="20" s="1"/>
  <c r="G24" i="20" s="1"/>
  <c r="H66" i="12" l="1"/>
  <c r="G574" i="19"/>
  <c r="F563" i="19"/>
  <c r="F572" i="19" s="1"/>
  <c r="G62" i="12" s="1"/>
  <c r="G563" i="19"/>
  <c r="F564" i="19"/>
  <c r="F573" i="19" s="1"/>
  <c r="G564" i="19"/>
  <c r="G573" i="19" s="1"/>
  <c r="I64" i="12" s="1"/>
  <c r="G23" i="20"/>
  <c r="W23" i="20" s="1"/>
  <c r="T23" i="20"/>
  <c r="W121" i="20"/>
  <c r="F561" i="19"/>
  <c r="V121" i="20"/>
  <c r="E561" i="19"/>
  <c r="X121" i="20"/>
  <c r="G561" i="19"/>
  <c r="E64" i="12"/>
  <c r="O151" i="19"/>
  <c r="D22" i="20"/>
  <c r="H23" i="20"/>
  <c r="X23" i="20" s="1"/>
  <c r="H421" i="20"/>
  <c r="T24" i="20"/>
  <c r="F24" i="20"/>
  <c r="U23" i="20"/>
  <c r="D21" i="20"/>
  <c r="F21" i="20" s="1"/>
  <c r="I66" i="12" l="1"/>
  <c r="G562" i="19"/>
  <c r="F62" i="12"/>
  <c r="H64" i="12"/>
  <c r="G572" i="19"/>
  <c r="G571" i="19" s="1"/>
  <c r="H62" i="12"/>
  <c r="S22" i="20"/>
  <c r="S421" i="20" s="1"/>
  <c r="T22" i="20"/>
  <c r="E560" i="19"/>
  <c r="E569" i="19" s="1"/>
  <c r="E49" i="12" s="1"/>
  <c r="G560" i="19"/>
  <c r="G22" i="20"/>
  <c r="W22" i="20" s="1"/>
  <c r="F22" i="20"/>
  <c r="V22" i="20" s="1"/>
  <c r="G570" i="19"/>
  <c r="G261" i="25"/>
  <c r="E570" i="19"/>
  <c r="E261" i="25"/>
  <c r="F570" i="19"/>
  <c r="F261" i="25"/>
  <c r="G64" i="12"/>
  <c r="D64" i="12"/>
  <c r="G21" i="20"/>
  <c r="U22" i="20"/>
  <c r="U421" i="20" s="1"/>
  <c r="O421" i="20"/>
  <c r="G421" i="20"/>
  <c r="F64" i="12"/>
  <c r="R421" i="20"/>
  <c r="G17" i="12" l="1"/>
  <c r="F19" i="12"/>
  <c r="I62" i="12"/>
  <c r="H572" i="19"/>
  <c r="F560" i="19"/>
  <c r="F569" i="19" s="1"/>
  <c r="G569" i="19"/>
  <c r="I49" i="12" s="1"/>
  <c r="I17" i="12" s="1"/>
  <c r="H49" i="12"/>
  <c r="D49" i="12"/>
  <c r="E565" i="19"/>
  <c r="F565" i="19"/>
  <c r="F260" i="25"/>
  <c r="F57" i="12"/>
  <c r="F268" i="25"/>
  <c r="G57" i="12" s="1"/>
  <c r="D57" i="12"/>
  <c r="E268" i="25"/>
  <c r="E260" i="25"/>
  <c r="H570" i="19"/>
  <c r="G260" i="25"/>
  <c r="H57" i="12"/>
  <c r="G268" i="25"/>
  <c r="I57" i="12" s="1"/>
  <c r="H573" i="19"/>
  <c r="J64" i="12"/>
  <c r="T21" i="20"/>
  <c r="F421" i="20"/>
  <c r="H569" i="19" l="1"/>
  <c r="I19" i="12"/>
  <c r="J62" i="12"/>
  <c r="F49" i="12"/>
  <c r="G49" i="12"/>
  <c r="E574" i="19"/>
  <c r="D66" i="12"/>
  <c r="D19" i="12" s="1"/>
  <c r="E562" i="19"/>
  <c r="F66" i="12"/>
  <c r="E19" i="12" s="1"/>
  <c r="F574" i="19"/>
  <c r="F562" i="19"/>
  <c r="E267" i="25"/>
  <c r="E259" i="25"/>
  <c r="D56" i="12"/>
  <c r="H268" i="25"/>
  <c r="E57" i="12"/>
  <c r="J57" i="12" s="1"/>
  <c r="G259" i="25"/>
  <c r="G267" i="25"/>
  <c r="H56" i="12"/>
  <c r="F259" i="25"/>
  <c r="F56" i="12"/>
  <c r="F267" i="25"/>
  <c r="T421" i="20"/>
  <c r="H17" i="12" l="1"/>
  <c r="J17" i="12" s="1"/>
  <c r="J49" i="12"/>
  <c r="E18" i="12"/>
  <c r="D18" i="12"/>
  <c r="F571" i="19"/>
  <c r="G66" i="12"/>
  <c r="H19" i="12" s="1"/>
  <c r="E571" i="19"/>
  <c r="H574" i="19"/>
  <c r="E66" i="12"/>
  <c r="I56" i="12"/>
  <c r="G266" i="25"/>
  <c r="F266" i="25"/>
  <c r="G56" i="12"/>
  <c r="F18" i="12"/>
  <c r="E266" i="25"/>
  <c r="E56" i="12"/>
  <c r="H267" i="25"/>
  <c r="D50" i="12"/>
  <c r="F50" i="12"/>
  <c r="H50" i="12"/>
  <c r="E68" i="12" l="1"/>
  <c r="I18" i="12"/>
  <c r="I20" i="12" s="1"/>
  <c r="I22" i="12" s="1"/>
  <c r="I68" i="12"/>
  <c r="H18" i="12"/>
  <c r="H20" i="12" s="1"/>
  <c r="H22" i="12" s="1"/>
  <c r="G68" i="12"/>
  <c r="H571" i="19"/>
  <c r="H575" i="19" s="1"/>
  <c r="G19" i="12"/>
  <c r="J19" i="12" s="1"/>
  <c r="J66" i="12"/>
  <c r="J59" i="12" s="1"/>
  <c r="H266" i="25"/>
  <c r="G18" i="12"/>
  <c r="J56" i="12"/>
  <c r="J55" i="12" s="1"/>
  <c r="J50" i="12"/>
  <c r="J47" i="12" s="1"/>
  <c r="J68" i="12" l="1"/>
  <c r="L49" i="12"/>
  <c r="L57" i="12" s="1"/>
  <c r="L66" i="12"/>
  <c r="L62" i="12"/>
  <c r="L64" i="12"/>
  <c r="L56" i="12"/>
  <c r="L58" i="12" s="1"/>
  <c r="G20" i="12"/>
  <c r="G22" i="12" s="1"/>
  <c r="J22" i="12" s="1"/>
  <c r="J18" i="12"/>
  <c r="J20" i="12" s="1"/>
  <c r="E15" i="16"/>
  <c r="G14" i="16" l="1"/>
  <c r="G13" i="16"/>
  <c r="F13" i="16"/>
  <c r="E13" i="16"/>
  <c r="E14" i="16"/>
  <c r="F14" i="16"/>
  <c r="D51" i="12" l="1"/>
  <c r="D68" i="12" s="1"/>
  <c r="F51" i="12"/>
  <c r="F68" i="12" s="1"/>
  <c r="H51" i="12"/>
  <c r="F17" i="12" l="1"/>
  <c r="F20" i="12" s="1"/>
  <c r="F22" i="12" s="1"/>
  <c r="H68" i="12"/>
  <c r="E17" i="12"/>
  <c r="E20" i="12" s="1"/>
  <c r="E22" i="12" s="1"/>
  <c r="D17" i="12"/>
  <c r="D20" i="12" s="1"/>
  <c r="D22" i="12" s="1"/>
  <c r="D110" i="42"/>
  <c r="E256" i="41" s="1"/>
  <c r="F110" i="42" l="1"/>
  <c r="G256" i="41" s="1"/>
  <c r="D401" i="3" l="1"/>
  <c r="D406" i="3" s="1"/>
  <c r="G406" i="3" s="1"/>
  <c r="K52" i="12" l="1"/>
  <c r="K57" i="12"/>
  <c r="K61" i="12"/>
  <c r="K65" i="12"/>
  <c r="K48" i="12"/>
  <c r="K49" i="12"/>
  <c r="K53" i="12"/>
  <c r="K58" i="12"/>
  <c r="K62" i="12"/>
  <c r="K66" i="12"/>
  <c r="K50" i="12"/>
  <c r="K54" i="12"/>
  <c r="K59" i="12"/>
  <c r="K63" i="12"/>
  <c r="K67" i="12"/>
  <c r="K51" i="12"/>
  <c r="K56" i="12"/>
  <c r="K60" i="12"/>
  <c r="K64" i="12"/>
  <c r="K55" i="12"/>
  <c r="K68" i="12"/>
  <c r="K47" i="12" l="1"/>
  <c r="I408" i="56" l="1"/>
  <c r="L52" i="12" s="1"/>
  <c r="L53" i="12" s="1"/>
  <c r="L54" i="12" l="1"/>
  <c r="L63" i="12"/>
  <c r="G30" i="41" l="1"/>
  <c r="I30" i="41"/>
  <c r="J130" i="41" l="1"/>
  <c r="C10" i="42"/>
  <c r="E10" i="42" s="1"/>
  <c r="E110" i="42" s="1"/>
  <c r="F256" i="41" s="1"/>
  <c r="H256" i="41" l="1"/>
  <c r="L69" i="12" s="1"/>
  <c r="J69" i="12"/>
  <c r="K69" i="12" l="1"/>
  <c r="J2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André Alves</author>
  </authors>
  <commentList>
    <comment ref="D82" authorId="0" shapeId="0" xr:uid="{951B7A9E-868B-498C-9507-18E865948417}">
      <text>
        <r>
          <rPr>
            <b/>
            <sz val="9"/>
            <color indexed="81"/>
            <rFont val="Tahoma"/>
            <family val="2"/>
          </rPr>
          <t>Autor:</t>
        </r>
        <r>
          <rPr>
            <sz val="9"/>
            <color indexed="81"/>
            <rFont val="Tahoma"/>
            <family val="2"/>
          </rPr>
          <t xml:space="preserve">
Includes 
- leakage major failures; 
- arc faults and 
- maintenance losses</t>
        </r>
      </text>
    </comment>
    <comment ref="G83" authorId="0" shapeId="0" xr:uid="{D19A6230-C3C5-4D83-8DF8-9781EA1ED809}">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86" authorId="0" shapeId="0" xr:uid="{FACE3C3E-6152-4FA9-84C0-474AD65A52A7}">
      <text>
        <r>
          <rPr>
            <b/>
            <sz val="9"/>
            <color indexed="81"/>
            <rFont val="Tahoma"/>
            <family val="2"/>
          </rPr>
          <t>Autor:</t>
        </r>
        <r>
          <rPr>
            <sz val="9"/>
            <color indexed="81"/>
            <rFont val="Tahoma"/>
            <family val="2"/>
          </rPr>
          <t xml:space="preserve">
Includes 
- leakage major failures; 
- arc faults and 
- maintenance losses</t>
        </r>
      </text>
    </comment>
    <comment ref="G87" authorId="0" shapeId="0" xr:uid="{6927B204-17A0-4D7A-9D96-75A2F604803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M110" authorId="1" shapeId="0" xr:uid="{99B393A3-1441-45FF-9C96-E3F0AE360394}">
      <text>
        <r>
          <rPr>
            <b/>
            <sz val="9"/>
            <color indexed="81"/>
            <rFont val="Tahoma"/>
            <charset val="1"/>
          </rPr>
          <t>Valor desprezado na conta</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Tiago</author>
  </authors>
  <commentList>
    <comment ref="A139" authorId="0" shapeId="0" xr:uid="{059A6BD7-9EDC-4356-BEBF-2856943709D3}">
      <text>
        <r>
          <rPr>
            <sz val="9"/>
            <color indexed="81"/>
            <rFont val="Tahoma"/>
            <family val="2"/>
          </rPr>
          <t>https://www.ipcc-nggip.iges.or.jp/public/2006gl/pdf/4_Volume4/V4_p_Ap3_WetlandsCH4.pdf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182" authorId="0" shapeId="0" xr:uid="{55638845-20BB-4462-ADE7-52399D625A32}">
      <text>
        <r>
          <rPr>
            <b/>
            <sz val="9"/>
            <color indexed="81"/>
            <rFont val="Tahoma"/>
            <family val="2"/>
          </rPr>
          <t>Autor:</t>
        </r>
        <r>
          <rPr>
            <sz val="9"/>
            <color indexed="81"/>
            <rFont val="Tahoma"/>
            <family val="2"/>
          </rPr>
          <t xml:space="preserve">
Includes 
- leakage major failures; 
- arc faults and 
- maintenance losses</t>
        </r>
      </text>
    </comment>
    <comment ref="G183" authorId="0" shapeId="0" xr:uid="{9AEA2056-979A-41A6-9117-FB3C764C88DD}">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186" authorId="0" shapeId="0" xr:uid="{6DEB8DFE-FE0D-4D8F-92CE-1E4DC32302CE}">
      <text>
        <r>
          <rPr>
            <b/>
            <sz val="9"/>
            <color indexed="81"/>
            <rFont val="Tahoma"/>
            <family val="2"/>
          </rPr>
          <t>Autor:</t>
        </r>
        <r>
          <rPr>
            <sz val="9"/>
            <color indexed="81"/>
            <rFont val="Tahoma"/>
            <family val="2"/>
          </rPr>
          <t xml:space="preserve">
Includes 
- leakage major failures; 
- arc faults and 
- maintenance losses</t>
        </r>
      </text>
    </comment>
    <comment ref="G187" authorId="0" shapeId="0" xr:uid="{3C06BB93-0725-4688-B69D-7CAD236A70C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<sst xmlns="http://schemas.openxmlformats.org/spreadsheetml/2006/main" count="2673" uniqueCount="1636">
  <si>
    <t>Orientações gerais:</t>
  </si>
  <si>
    <t>Orientações</t>
  </si>
  <si>
    <t>Nome do responsável:</t>
  </si>
  <si>
    <t>Combustível</t>
  </si>
  <si>
    <t>Definição</t>
  </si>
  <si>
    <t>Etano</t>
  </si>
  <si>
    <t>Lubrificantes</t>
  </si>
  <si>
    <t>Energia</t>
  </si>
  <si>
    <t>A ferramenta calcula automaticamente as emissões com base nos fatores de emissão considerados pela APA, mas se souber o fator de emissão exato associado ao que pretende calcular, pode introduzi-lo.</t>
  </si>
  <si>
    <t>Antracite</t>
  </si>
  <si>
    <t>Biodiesel</t>
  </si>
  <si>
    <t>Biogasolina</t>
  </si>
  <si>
    <t>Carvão de coque</t>
  </si>
  <si>
    <t>Gasolina para motores</t>
  </si>
  <si>
    <t>Gás natural</t>
  </si>
  <si>
    <t>Matérias-primas para refinarias</t>
  </si>
  <si>
    <t xml:space="preserve">O carvão vegetal utilizado como energia abrange o resíduo sólido da destilação destrutiva e da pirólise da madeira e de outras matérias vegetais. </t>
  </si>
  <si>
    <t>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t>
  </si>
  <si>
    <t>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t>
  </si>
  <si>
    <t>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t>
  </si>
  <si>
    <t>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t>
  </si>
  <si>
    <t>Outros biocombustíveis líquidos não incluídos na biogasolina ou nos biodieseis.</t>
  </si>
  <si>
    <t>Um óleo mineral extraído do xisto betuminoso.</t>
  </si>
  <si>
    <t>O gás de lamas é derivado da fermentação anaeróbica de biomassa e resíduos sólidos de esgotos e lamas animais e é queimado para produzir calor e/ou eletricidade.</t>
  </si>
  <si>
    <t>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t>
  </si>
  <si>
    <t>Construção</t>
  </si>
  <si>
    <t>Setor</t>
  </si>
  <si>
    <t>Orientações:</t>
  </si>
  <si>
    <t>Combustível utilizado</t>
  </si>
  <si>
    <t>Unidades</t>
  </si>
  <si>
    <t>Turfa</t>
  </si>
  <si>
    <t>Produtos petrolíferos</t>
  </si>
  <si>
    <t>Unidade</t>
  </si>
  <si>
    <t>m³</t>
  </si>
  <si>
    <t>Litros</t>
  </si>
  <si>
    <t>Fase</t>
  </si>
  <si>
    <t>Exploração</t>
  </si>
  <si>
    <t>Fase:</t>
  </si>
  <si>
    <t>Toneladas</t>
  </si>
  <si>
    <t>Exemplo</t>
  </si>
  <si>
    <t>Total</t>
  </si>
  <si>
    <t>Tipo de combustível</t>
  </si>
  <si>
    <t>Gás</t>
  </si>
  <si>
    <t>Referência</t>
  </si>
  <si>
    <t>Emissões biogénicas</t>
  </si>
  <si>
    <t>Biogénicas</t>
  </si>
  <si>
    <t>Normais</t>
  </si>
  <si>
    <t>Tabela 1.  Relato de Emissões de Processos Industriais</t>
  </si>
  <si>
    <r>
      <t>Emissões em CO</t>
    </r>
    <r>
      <rPr>
        <b/>
        <vertAlign val="subscript"/>
        <sz val="11"/>
        <rFont val="Calibri Light"/>
        <family val="2"/>
      </rPr>
      <t>2</t>
    </r>
    <r>
      <rPr>
        <b/>
        <sz val="11"/>
        <rFont val="Calibri Light"/>
        <family val="2"/>
      </rPr>
      <t>e (t)</t>
    </r>
  </si>
  <si>
    <t>Família / Tipo</t>
  </si>
  <si>
    <t>-</t>
  </si>
  <si>
    <t>HFC-23</t>
  </si>
  <si>
    <t>HFC</t>
  </si>
  <si>
    <t>HFC-32</t>
  </si>
  <si>
    <t>HFC-41</t>
  </si>
  <si>
    <t>HFC-125</t>
  </si>
  <si>
    <t>HFC-134</t>
  </si>
  <si>
    <t>HFC-134a</t>
  </si>
  <si>
    <t>HFC-143</t>
  </si>
  <si>
    <t>HFC-143a</t>
  </si>
  <si>
    <t>HFC-152</t>
  </si>
  <si>
    <t>HFC-152a</t>
  </si>
  <si>
    <t>HFC-161</t>
  </si>
  <si>
    <t>HFC-227ea</t>
  </si>
  <si>
    <t>HFC-236cb</t>
  </si>
  <si>
    <t>HFC-236ea</t>
  </si>
  <si>
    <t>HFC-236fa</t>
  </si>
  <si>
    <t>HFC-245ca</t>
  </si>
  <si>
    <t>HFC-245fa</t>
  </si>
  <si>
    <t>HFC-365mfc</t>
  </si>
  <si>
    <t>HFC-43-10mee</t>
  </si>
  <si>
    <t>PFC-14</t>
  </si>
  <si>
    <t>PFC</t>
  </si>
  <si>
    <t>PFC-116</t>
  </si>
  <si>
    <t>PFC-218</t>
  </si>
  <si>
    <t>PFC-318</t>
  </si>
  <si>
    <t>R-400</t>
  </si>
  <si>
    <t>Composto</t>
  </si>
  <si>
    <t>R-401A</t>
  </si>
  <si>
    <t>R-401B</t>
  </si>
  <si>
    <t>R-401C</t>
  </si>
  <si>
    <t>R-402A</t>
  </si>
  <si>
    <t>R-402B</t>
  </si>
  <si>
    <t>R-403A</t>
  </si>
  <si>
    <t>R-403B</t>
  </si>
  <si>
    <t>R-404A</t>
  </si>
  <si>
    <t>R-406A</t>
  </si>
  <si>
    <t>R-407A</t>
  </si>
  <si>
    <t>R-407B</t>
  </si>
  <si>
    <t>R-407C</t>
  </si>
  <si>
    <t>R-407D</t>
  </si>
  <si>
    <t>R-407E</t>
  </si>
  <si>
    <t>R-407F</t>
  </si>
  <si>
    <t>R-408A</t>
  </si>
  <si>
    <t>R-409A</t>
  </si>
  <si>
    <t>R-409B</t>
  </si>
  <si>
    <t>R-410A</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</si>
  <si>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</si>
  <si>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</si>
  <si>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</si>
  <si>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</si>
  <si>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</si>
  <si>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</si>
  <si>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</si>
  <si>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</si>
  <si>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</si>
  <si>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</si>
  <si>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</si>
  <si>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</si>
  <si>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</si>
  <si>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</si>
  <si>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</si>
  <si>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</si>
  <si>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</si>
  <si>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</si>
  <si>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</si>
  <si>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</si>
  <si>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</si>
  <si>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</si>
  <si>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</si>
  <si>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</si>
  <si>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</si>
  <si>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</si>
  <si>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</si>
  <si>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</si>
  <si>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</si>
  <si>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</si>
  <si>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</si>
  <si>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</si>
  <si>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</si>
  <si>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</si>
  <si>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</si>
  <si>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R-434A</t>
  </si>
  <si>
    <t>R-435A</t>
  </si>
  <si>
    <t>R-436A</t>
  </si>
  <si>
    <t>R-436B</t>
  </si>
  <si>
    <t>R-437A</t>
  </si>
  <si>
    <t>R-438A</t>
  </si>
  <si>
    <t>R-439A</t>
  </si>
  <si>
    <t>R-440A</t>
  </si>
  <si>
    <t>R-441A</t>
  </si>
  <si>
    <t>R-442A</t>
  </si>
  <si>
    <t>R-443A</t>
  </si>
  <si>
    <t>R-444A</t>
  </si>
  <si>
    <t>R-445A</t>
  </si>
  <si>
    <t>R-500</t>
  </si>
  <si>
    <t>R-501</t>
  </si>
  <si>
    <t>R-502</t>
  </si>
  <si>
    <t>R-503</t>
  </si>
  <si>
    <t>R-504</t>
  </si>
  <si>
    <t>R-505</t>
  </si>
  <si>
    <t>R-506</t>
  </si>
  <si>
    <t>R-507 ou R-507A</t>
  </si>
  <si>
    <t>R-508A</t>
  </si>
  <si>
    <t>R-508B</t>
  </si>
  <si>
    <t>R-509 ou R-509A</t>
  </si>
  <si>
    <t>R-510A</t>
  </si>
  <si>
    <t>R-511A</t>
  </si>
  <si>
    <t>R-512A</t>
  </si>
  <si>
    <t>CFC-11</t>
  </si>
  <si>
    <t>CFC</t>
  </si>
  <si>
    <t>CFC-12</t>
  </si>
  <si>
    <t>CFC-13</t>
  </si>
  <si>
    <t>CFC-113</t>
  </si>
  <si>
    <t>CFC-114</t>
  </si>
  <si>
    <t>CFC-115</t>
  </si>
  <si>
    <t>Halon-1301</t>
  </si>
  <si>
    <t>Halon-1211</t>
  </si>
  <si>
    <t>Halon-2402</t>
  </si>
  <si>
    <t>HCFC-21</t>
  </si>
  <si>
    <t>HCFC</t>
  </si>
  <si>
    <t>HCFC-22 (R22)</t>
  </si>
  <si>
    <t>HCFC-123</t>
  </si>
  <si>
    <t>HCFC-124</t>
  </si>
  <si>
    <t>HCFC-141b</t>
  </si>
  <si>
    <t>HCFC-142b</t>
  </si>
  <si>
    <t>HCFC-225ca</t>
  </si>
  <si>
    <t>HCFC-225cb</t>
  </si>
  <si>
    <t>Remoção</t>
  </si>
  <si>
    <t>(B) Alguns gases utilizados como refrigerantes são, na verdade, uma mistura de gases. Nesta ferramenta, estes são chamados de compostos.</t>
  </si>
  <si>
    <t>(kg)</t>
  </si>
  <si>
    <t>Optou-se por ser conservador e usar os valores máximos de perdas, assim como uma taxa nula de reciclagem e recuperação.</t>
  </si>
  <si>
    <t>Tipo de Equipamento</t>
  </si>
  <si>
    <t>Refrigeração Residencial</t>
  </si>
  <si>
    <t>Comercial Individual</t>
  </si>
  <si>
    <t>Comercial Médio / Grande</t>
  </si>
  <si>
    <t>Refrigeração de Transporte</t>
  </si>
  <si>
    <t>Refrigeração Industrial</t>
  </si>
  <si>
    <t>Ar Condicionado Residencial / Comercial</t>
  </si>
  <si>
    <t>Ar Condicionado de Caminhões de Pequeno Porte</t>
  </si>
  <si>
    <t>Emissões Fugitivas</t>
  </si>
  <si>
    <t>Combustão Móvel</t>
  </si>
  <si>
    <t>Gasolina de Aviação</t>
  </si>
  <si>
    <t>Fator de emissão por tipo de transporte em ESTRADA</t>
  </si>
  <si>
    <t>Modo de transporte</t>
  </si>
  <si>
    <t>Tipo</t>
  </si>
  <si>
    <t>Descrição</t>
  </si>
  <si>
    <t>Fator emissão</t>
  </si>
  <si>
    <t>CO2</t>
  </si>
  <si>
    <t>CH4</t>
  </si>
  <si>
    <t>N2O</t>
  </si>
  <si>
    <t>valor</t>
  </si>
  <si>
    <t>unidades</t>
  </si>
  <si>
    <t>kg/p.km</t>
  </si>
  <si>
    <t>Veículo ligeiro de passageiros</t>
  </si>
  <si>
    <t>kg/km</t>
  </si>
  <si>
    <t>Gasolina - motor desconhecido</t>
  </si>
  <si>
    <t>Gasóleo - motor desconhecido</t>
  </si>
  <si>
    <t>GPL - motor de tamanho médio</t>
  </si>
  <si>
    <t>Veículo ligeiro de mercadorias</t>
  </si>
  <si>
    <t>kg/t.km</t>
  </si>
  <si>
    <t>Descrição da deslocação</t>
  </si>
  <si>
    <t>Tipo de veículo</t>
  </si>
  <si>
    <t>Peso da carga transportada (t)</t>
  </si>
  <si>
    <t>Unidades do fator de emissão</t>
  </si>
  <si>
    <t>Número de pessoas no veículo</t>
  </si>
  <si>
    <t>Comboio - passageiros</t>
  </si>
  <si>
    <t>Metro</t>
  </si>
  <si>
    <t>Comboio - carga</t>
  </si>
  <si>
    <t>Fator emissão - Diretas</t>
  </si>
  <si>
    <t>(C) Utilize os botões "+" à esquerda para libertar mais linhas nas tabelas de entrada de dados.</t>
  </si>
  <si>
    <t>Transporte de passageiros</t>
  </si>
  <si>
    <t xml:space="preserve">Ferry </t>
  </si>
  <si>
    <t>Ferry - passageiros</t>
  </si>
  <si>
    <t>Navio de carga</t>
  </si>
  <si>
    <t>Ferry - carga</t>
  </si>
  <si>
    <t>Pequeno (844t de tara)</t>
  </si>
  <si>
    <t>Grande (18371t de tara)</t>
  </si>
  <si>
    <t>Muito grande (100000t de tara)</t>
  </si>
  <si>
    <t>Transporte de mercadorias</t>
  </si>
  <si>
    <t>Voo curto (carga)</t>
  </si>
  <si>
    <t>Voo longo (carga)</t>
  </si>
  <si>
    <t>Transporte Rodoviário</t>
  </si>
  <si>
    <t>Transporte ferroviário</t>
  </si>
  <si>
    <t>Transporte aéreo</t>
  </si>
  <si>
    <t>Emissões por Combustão Estacionária nas Próprias Instalações</t>
  </si>
  <si>
    <t>Nome da Projeto:</t>
  </si>
  <si>
    <t>Transporte marítimo e fluvial (apenas para veículos pertencentes à Projeto)</t>
  </si>
  <si>
    <t>PAG</t>
  </si>
  <si>
    <t>Nota: valores de PAG para um horizonte de 100 anos.</t>
  </si>
  <si>
    <t>Secção 2 - Fatores de emissão para combustão móvel (transporte)</t>
  </si>
  <si>
    <t>Fator de emissão por tipo de transporte em CAMINHO DE FERRO</t>
  </si>
  <si>
    <t>Comboio</t>
  </si>
  <si>
    <t>Transporte de carga</t>
  </si>
  <si>
    <t>Fator de emissão por tipo de transporte MARÍTIMO ou FLUVIAL</t>
  </si>
  <si>
    <t>Fator de emissão por tipo de transporte AÉREO</t>
  </si>
  <si>
    <t>Tabela 10. Potencial de aquecimento global (GWP) dos gases de efeito estufa</t>
  </si>
  <si>
    <t>Nota: valores de GWP para um horizonte de 100 anos.</t>
  </si>
  <si>
    <t xml:space="preserve">A. </t>
  </si>
  <si>
    <t>Tipo de equipamento</t>
  </si>
  <si>
    <t xml:space="preserve">E. </t>
  </si>
  <si>
    <t>F.</t>
  </si>
  <si>
    <t>Unidades em operação</t>
  </si>
  <si>
    <t xml:space="preserve">G. </t>
  </si>
  <si>
    <t>Unidades dispensadas</t>
  </si>
  <si>
    <t>Desativação</t>
  </si>
  <si>
    <t>Indique a data prevista para o início de cada uma destas fases e a duração das mesmas.</t>
  </si>
  <si>
    <t xml:space="preserve">(C) Os fatores de emissão deverão ser fornecidos pela empresa fornecedora de energia térmica. </t>
  </si>
  <si>
    <t>(E) Utilize os botões "+" à esquerda para escolher as subsecções da ferramenta onde deseja inserir informações e para libertar mais linhas nas tabelas de entrada de dados.</t>
  </si>
  <si>
    <t xml:space="preserve">(B) Para cada linha, relate a quantidade de energia comprada e o respetivo fator de emissão. Sempre que o tipo de energia ou fator de emissão forem diferentes, mude de linha. </t>
  </si>
  <si>
    <t>Compra de vapor à empresa x, meses Jan-Julho</t>
  </si>
  <si>
    <t>Abordagem baseada na localização</t>
  </si>
  <si>
    <t>Ano</t>
  </si>
  <si>
    <t>Abordagem baseada no mercado</t>
  </si>
  <si>
    <t>Conversão de unidades</t>
  </si>
  <si>
    <t>Nota: esta folha possui caráter exclusivamente informativo. Nenhuma informação desta folha é utilizada nos cálculos da ferramenta.</t>
  </si>
  <si>
    <t>Massa</t>
  </si>
  <si>
    <t>1 libra (lb)</t>
  </si>
  <si>
    <t>453,6 gramas (g)</t>
  </si>
  <si>
    <t>0,4536 quilograma (kg)</t>
  </si>
  <si>
    <t>0,0004536 tonelada métrica (t)</t>
  </si>
  <si>
    <t>1 quilograma (kg)</t>
  </si>
  <si>
    <t>2205 libras (lb)</t>
  </si>
  <si>
    <t>1 tonelada curta (T / ton)</t>
  </si>
  <si>
    <t>2000 libras (lb)</t>
  </si>
  <si>
    <t>907,2 quilogramas (kg)</t>
  </si>
  <si>
    <t>1 tonelada métrica (t)</t>
  </si>
  <si>
    <t>1000 quilogramas (kg)</t>
  </si>
  <si>
    <t>1,102 tonelada curta (T / ton)</t>
  </si>
  <si>
    <t>Volume</t>
  </si>
  <si>
    <t>7,4805 galões americanos (gal)</t>
  </si>
  <si>
    <t>0,1730 barril (bbl)</t>
  </si>
  <si>
    <t>28,32 litros (L)</t>
  </si>
  <si>
    <t>1 galão americano (gal)</t>
  </si>
  <si>
    <t>0,0238 barril (bbl)</t>
  </si>
  <si>
    <t>3,785 litros (L)</t>
  </si>
  <si>
    <t>1 barril (bbl)</t>
  </si>
  <si>
    <t>42 galões americanos (gal)</t>
  </si>
  <si>
    <t>158,9873 litros (L)</t>
  </si>
  <si>
    <t>1 litro (L)</t>
  </si>
  <si>
    <t>0,2642 galão americano (gal)</t>
  </si>
  <si>
    <t>6,2897 barris (bbl)</t>
  </si>
  <si>
    <t>264,2 galões americanos (gal)</t>
  </si>
  <si>
    <t>1000 litros (L)</t>
  </si>
  <si>
    <t>1 quilowatt hora (kWh)</t>
  </si>
  <si>
    <t>3412 Btu (Btu)</t>
  </si>
  <si>
    <t>3600 quilojoules (kJ)</t>
  </si>
  <si>
    <t>1 megajoule (MJ)</t>
  </si>
  <si>
    <t>0,001 gigajoule (GJ)</t>
  </si>
  <si>
    <t>1 gigajoule (GJ)</t>
  </si>
  <si>
    <t>0,9478 milhão de Btu (MMBtu)</t>
  </si>
  <si>
    <t>277,8 quilowatt horas (kWh)</t>
  </si>
  <si>
    <t>1 Btu (Btu)</t>
  </si>
  <si>
    <t>1055 joules (J)</t>
  </si>
  <si>
    <t>1 milhão de Btu (MBtu)</t>
  </si>
  <si>
    <t>1055 gigajoules (GJ)</t>
  </si>
  <si>
    <t>293 quilowatt horas (kWh)</t>
  </si>
  <si>
    <t>100 ft³ de gás natural (scf)</t>
  </si>
  <si>
    <t>100 000 Btu (Btu)</t>
  </si>
  <si>
    <t>Distância</t>
  </si>
  <si>
    <t>1 milha terrestre</t>
  </si>
  <si>
    <t>1,609 quilómetro terrestre</t>
  </si>
  <si>
    <t>1 milha náutica</t>
  </si>
  <si>
    <t>1,15 milha terrestre</t>
  </si>
  <si>
    <t>Outros</t>
  </si>
  <si>
    <t>quilo (k)</t>
  </si>
  <si>
    <t>mega (M)</t>
  </si>
  <si>
    <t>giga (G)</t>
  </si>
  <si>
    <t>tera (T)</t>
  </si>
  <si>
    <t>Peso molecular de C</t>
  </si>
  <si>
    <t>Processos Industriais</t>
  </si>
  <si>
    <t>Combustão Estacionária</t>
  </si>
  <si>
    <t>Duração em anos</t>
  </si>
  <si>
    <t>Land-use Category Name</t>
  </si>
  <si>
    <t>UNFCCC Category</t>
  </si>
  <si>
    <t>Forest Land</t>
  </si>
  <si>
    <t>Table 6-1: Land-use categories used in the NIR</t>
  </si>
  <si>
    <t>Cropland</t>
  </si>
  <si>
    <t>Grassland</t>
  </si>
  <si>
    <t>Wetlands</t>
  </si>
  <si>
    <t>Settlements</t>
  </si>
  <si>
    <t>Other Land</t>
  </si>
  <si>
    <t>AGBf</t>
  </si>
  <si>
    <t>BGBf</t>
  </si>
  <si>
    <t>Volf</t>
  </si>
  <si>
    <t>BEFf</t>
  </si>
  <si>
    <t>tdm/m3</t>
  </si>
  <si>
    <t>RTSf</t>
  </si>
  <si>
    <t>ad</t>
  </si>
  <si>
    <t>Cf LB</t>
  </si>
  <si>
    <t>%</t>
  </si>
  <si>
    <t>Cf litter</t>
  </si>
  <si>
    <t>Table 6-10: Mean Annual Increment per Forest Type (in pure and dominant stands)</t>
  </si>
  <si>
    <t>MAIff m3/ha.y</t>
  </si>
  <si>
    <t>Classes Usos do Solo</t>
  </si>
  <si>
    <t>Classes NIR</t>
  </si>
  <si>
    <t>RTS</t>
  </si>
  <si>
    <t>1+RTS</t>
  </si>
  <si>
    <t>Cf</t>
  </si>
  <si>
    <t>Crescimento anual t C/(ha.ano)</t>
  </si>
  <si>
    <t>Crescimento anual t CO2eq/(ha.ano)</t>
  </si>
  <si>
    <t>Table 6-16: Mean Annual Increments used for Other Land Uses</t>
  </si>
  <si>
    <t>Mean Anual Increments
for Other Land uses</t>
  </si>
  <si>
    <t>AGB</t>
  </si>
  <si>
    <t>BGB</t>
  </si>
  <si>
    <t>BEF (tdm/m3)</t>
  </si>
  <si>
    <t>Massa molar CO2</t>
  </si>
  <si>
    <t>Massa molar C</t>
  </si>
  <si>
    <t>transition period
considered</t>
  </si>
  <si>
    <t>MAIff tC/ha.y</t>
  </si>
  <si>
    <t>MAI (MAIff m3/ha.ano)</t>
  </si>
  <si>
    <t>MAI (MAIff tC/ano)</t>
  </si>
  <si>
    <t>Sequestro de Anual C</t>
  </si>
  <si>
    <t>Average Carbon stock (t C/ha)</t>
  </si>
  <si>
    <t>Average Carbon stock 
t CO2 eq/há</t>
  </si>
  <si>
    <t>Table 6-17: Average Carbon Stocks in Living Biomass and Litter per Land Use Type</t>
  </si>
  <si>
    <t>Perdas de Biomassa</t>
  </si>
  <si>
    <t>Above Ground Biomass</t>
  </si>
  <si>
    <t>GgC/1.000ha</t>
  </si>
  <si>
    <t>Below Ground Biomass</t>
  </si>
  <si>
    <t>All years</t>
  </si>
  <si>
    <t>Litter</t>
  </si>
  <si>
    <t>AGB (GgC/1.000ha)</t>
  </si>
  <si>
    <t>BGB (GgC/1.000ha)</t>
  </si>
  <si>
    <t xml:space="preserve">TABLE 3A.2
CH4 MEASURED EMISSIONS FOR FLOODED LAND
</t>
  </si>
  <si>
    <t>Climate</t>
  </si>
  <si>
    <t xml:space="preserve">Diffusive Emissions (ice-free period)
Ef(CH4)diff (kg CH4 ha-1 day-1) </t>
  </si>
  <si>
    <t>Median</t>
  </si>
  <si>
    <t>Min</t>
  </si>
  <si>
    <t>Max</t>
  </si>
  <si>
    <t>Albufeiras</t>
  </si>
  <si>
    <t>Florestas dominadas pelo pinheiro bravo</t>
  </si>
  <si>
    <t>Florestas dominadas pelo sobreiro</t>
  </si>
  <si>
    <t>Florestas dominadas por espécies de eucalipto</t>
  </si>
  <si>
    <t>Florestas dominadas por azinheiras</t>
  </si>
  <si>
    <t>Florestas dominadas por outros carvalhos</t>
  </si>
  <si>
    <t>Florestas dominadas por qualquer outra espécie de folha larga</t>
  </si>
  <si>
    <t>Florestas dominadas por pinheiro-manso</t>
  </si>
  <si>
    <t>Florestas dominadas por qualquer outra espécie de coníferas</t>
  </si>
  <si>
    <t>Inclui todas as terras cultivadas com culturas anuais que se encontram sob irrigação (exceto arroz) e estufas</t>
  </si>
  <si>
    <t>Inclui todas as superfícies utilizadas para o cultivo de uvas de mesa e/ou para vinho</t>
  </si>
  <si>
    <t>Inclui todas as superfícies utilizadas para o cultivo de Oliveira</t>
  </si>
  <si>
    <t>Inclui todas as superfícies utilizadas para o cultivo de todas as outras espécies de culturas lenhosas, incluindo pomares</t>
  </si>
  <si>
    <t>Inclui todas as terras cobertas por um coberto herbáceo permanente</t>
  </si>
  <si>
    <t>Inclui todas as terras permanente ou temporariamente cobertas de água, tais como zonas húmidas naturais, reservatórios de água e lagoas naturais interiores. Lagos e estuários</t>
  </si>
  <si>
    <t>Inclui todos os territórios artificiais, incluindo cidades e aldeias.
aldeias, indústria, estradas e caminhos-de-ferro, portos e aeroportos</t>
  </si>
  <si>
    <t>Inclui todos os terrenos que não se enquadram nas definições anteriores, tais como terrenos cobertos de rochas, dunas de areia, etc.</t>
  </si>
  <si>
    <t>Culturas anuais de sequeiro</t>
  </si>
  <si>
    <t>Culturas anuais irrigadas</t>
  </si>
  <si>
    <t>Inclui todas as terras cultivadas com culturas anuais sem irrigação. Inclui os pousios integrados nas rotações de culturas</t>
  </si>
  <si>
    <t>Arrozais</t>
  </si>
  <si>
    <t>Inclui todas as terras preparadas para a cultura do arroz</t>
  </si>
  <si>
    <t>Vinhas</t>
  </si>
  <si>
    <t>Olivais</t>
  </si>
  <si>
    <t>Outras culturas permanentes</t>
  </si>
  <si>
    <t>Todos os prados/pastagens</t>
  </si>
  <si>
    <t>Zonas húmidas</t>
  </si>
  <si>
    <t>Áreas urbanizadas</t>
  </si>
  <si>
    <t>Arbustos</t>
  </si>
  <si>
    <t>Outros terrenos</t>
  </si>
  <si>
    <t>Terrenos florestais</t>
  </si>
  <si>
    <t>Terras agrícolas</t>
  </si>
  <si>
    <t>Prados e pastagens</t>
  </si>
  <si>
    <t xml:space="preserve">Temperado frio, húmido </t>
  </si>
  <si>
    <t>Temperado quente, húmido</t>
  </si>
  <si>
    <t xml:space="preserve">Temperado quente, seco </t>
  </si>
  <si>
    <t>Categoria de uso do solo</t>
  </si>
  <si>
    <t>Inclui todas as terras cobertas de vegetação lenhosa que não correspondem às definições de floresta ou de cultura permanente</t>
  </si>
  <si>
    <t>Outras coníferas</t>
  </si>
  <si>
    <t>Outras folhosas</t>
  </si>
  <si>
    <t>Categoria de uso do solo que será eliminada</t>
  </si>
  <si>
    <t>Sequestro de Carbono</t>
  </si>
  <si>
    <t>Perda de Biomassa</t>
  </si>
  <si>
    <t>Perda média de carbono armazenado t CO2 eq</t>
  </si>
  <si>
    <t>Ano de Início</t>
  </si>
  <si>
    <t>(A) Esta secção da ferramenta permite calcular as emissões relacionadas ao consumo de energia térmica contratada (i.e., comprada a terceiros).</t>
  </si>
  <si>
    <t>(C) Atente-se para a utilização das unidades corretas nos dados inseridos. Se necessário, converta as unidades utilizando a Folha 'Fatores de Conversão' antes de preencher os campos.</t>
  </si>
  <si>
    <t>(D) O Menu de Navegação, presente na parte superior de todas as Folhas da Calculadora, pode ser utilizado para facilitar a navegação pela ferramenta.</t>
  </si>
  <si>
    <t>Combustível correspondente adotado pelo IPCC</t>
  </si>
  <si>
    <t>Poder Calorífico
Inferior (PCI)</t>
  </si>
  <si>
    <t>Fatores de Emissão</t>
  </si>
  <si>
    <t>Fatores de Emissão (unidades originais) - IPCC (2006)</t>
  </si>
  <si>
    <t>Coal Tar</t>
  </si>
  <si>
    <t>Bitumen</t>
  </si>
  <si>
    <t>Coking Coal</t>
  </si>
  <si>
    <t>Other Bituminous Coal</t>
  </si>
  <si>
    <t>Coke Oven Coke and Lignite Coke</t>
  </si>
  <si>
    <t>Coque de Petróleo</t>
  </si>
  <si>
    <t>Petroleum Coke</t>
  </si>
  <si>
    <t>Ethane</t>
  </si>
  <si>
    <t>Coke Oven Gas</t>
  </si>
  <si>
    <t>Refinery Gas</t>
  </si>
  <si>
    <t>Liquefied Petroleum Gases</t>
  </si>
  <si>
    <t>Natural Gas</t>
  </si>
  <si>
    <t>Motor Gasoline</t>
  </si>
  <si>
    <t>Aviation Gasoline</t>
  </si>
  <si>
    <t>Natural Gas Liquids</t>
  </si>
  <si>
    <t>Lubricants</t>
  </si>
  <si>
    <t>Naphtha</t>
  </si>
  <si>
    <t>Residual Fuel Oil</t>
  </si>
  <si>
    <t>Óleo de Xisto</t>
  </si>
  <si>
    <t>Shale Oil</t>
  </si>
  <si>
    <t>Waste Oils</t>
  </si>
  <si>
    <t>Paraffin Waxes</t>
  </si>
  <si>
    <t>Petróleo Bruto</t>
  </si>
  <si>
    <t>Crude Oil</t>
  </si>
  <si>
    <t>Jet Kerosene</t>
  </si>
  <si>
    <t>Municipal Wastes (non-biomass fraction)</t>
  </si>
  <si>
    <t>Peat</t>
  </si>
  <si>
    <t>Xisto Betuminoso e Areias Betuminosas</t>
  </si>
  <si>
    <t>Oil Shale and Tar Sands</t>
  </si>
  <si>
    <t>Other Liquid Biofuels</t>
  </si>
  <si>
    <t>Other Primary Solid Biomass</t>
  </si>
  <si>
    <t>Biodiesels</t>
  </si>
  <si>
    <t>Carvão Vegetal</t>
  </si>
  <si>
    <t>Charcoal</t>
  </si>
  <si>
    <t>Wood / Wood Waste</t>
  </si>
  <si>
    <t>Municipal Wastes (biomass fraction)</t>
  </si>
  <si>
    <t>Caso a organização atue em mais do que um setor, selecione aquele que melhor representa a atividade exercida pelas fontes de emissão estacionárias.</t>
  </si>
  <si>
    <t xml:space="preserve">Fatores de Emissão do setor: </t>
  </si>
  <si>
    <t>Consumo médio anual de combustível</t>
  </si>
  <si>
    <t>Emissões totais pela utilização de combustíveis fósseis</t>
  </si>
  <si>
    <t>Emissões totais pela utilização de combustíveis de biomassa</t>
  </si>
  <si>
    <t>Betume</t>
  </si>
  <si>
    <t>Gás de Alto Forno</t>
  </si>
  <si>
    <t xml:space="preserve">Gás de Coqueria </t>
  </si>
  <si>
    <t>Gás Natural</t>
  </si>
  <si>
    <t>Gás Natural (superior a 93% de metano)</t>
  </si>
  <si>
    <t>Óleos Usados</t>
  </si>
  <si>
    <t>Orimulsão</t>
  </si>
  <si>
    <t>Outros Carvões Betuminosos</t>
  </si>
  <si>
    <t>Gases de Lamas de Depuração</t>
  </si>
  <si>
    <t>Outra Biomassa Primária Sólida</t>
  </si>
  <si>
    <t>Outros Biocombustíveis Líquidos</t>
  </si>
  <si>
    <t>Resíduos Municipais (fração biodegradável)</t>
  </si>
  <si>
    <t>Anthracite</t>
  </si>
  <si>
    <t>Brown coal briquettes</t>
  </si>
  <si>
    <t>Blast furnace gas</t>
  </si>
  <si>
    <t>Gas Works Gas</t>
  </si>
  <si>
    <t>Oxygen steel furnace gas</t>
  </si>
  <si>
    <t>Gas/ Diesel Oil</t>
  </si>
  <si>
    <t>Jet Gasoline</t>
  </si>
  <si>
    <t>Lignite</t>
  </si>
  <si>
    <t>Lignite Coke</t>
  </si>
  <si>
    <t>Refinery Feedstoks</t>
  </si>
  <si>
    <t>Orimulsion</t>
  </si>
  <si>
    <t>Biogasoline</t>
  </si>
  <si>
    <t>Sludge Gas</t>
  </si>
  <si>
    <t>m3</t>
  </si>
  <si>
    <t>Fase: Exploração</t>
  </si>
  <si>
    <t>Fase: Desativação</t>
  </si>
  <si>
    <t>Relate aqui a compra anual de eletricidade (kWh/ano)</t>
  </si>
  <si>
    <t>Espécie</t>
  </si>
  <si>
    <t>Pinheiro-bravo</t>
  </si>
  <si>
    <t>Sobreiro</t>
  </si>
  <si>
    <t>Azinheira</t>
  </si>
  <si>
    <t>Carvalhos</t>
  </si>
  <si>
    <t>Pinheiro-manso</t>
  </si>
  <si>
    <t>Castanheiro</t>
  </si>
  <si>
    <t>Alfarrobeira</t>
  </si>
  <si>
    <t>Acácias</t>
  </si>
  <si>
    <t>Outras resinosas</t>
  </si>
  <si>
    <r>
      <t>t CO</t>
    </r>
    <r>
      <rPr>
        <b/>
        <vertAlign val="subscript"/>
        <sz val="10"/>
        <color theme="0"/>
        <rFont val="Poppins"/>
      </rPr>
      <t>2eq</t>
    </r>
    <r>
      <rPr>
        <b/>
        <sz val="10"/>
        <color theme="0"/>
        <rFont val="Poppins"/>
      </rPr>
      <t>/ha</t>
    </r>
  </si>
  <si>
    <t>(kg/ano)</t>
  </si>
  <si>
    <t>Manufatura ou Construção</t>
  </si>
  <si>
    <t>Comercial ou Institucional</t>
  </si>
  <si>
    <t>Residencial, Agricultura ou Floresta</t>
  </si>
  <si>
    <t>Fator atual</t>
  </si>
  <si>
    <t>Fator (tCO2 eq/MWh )</t>
  </si>
  <si>
    <t>Fator (tCO2 eq/kWh )</t>
  </si>
  <si>
    <t>Percentagem de renováveis no mix energético Português</t>
  </si>
  <si>
    <t>Tabela 1.  Cálculo de emissões pela distância percorrida</t>
  </si>
  <si>
    <t>Tabela 2.  Cálculo de emissões de gases de efeito estufa emitidos pelo transporte ferroviário</t>
  </si>
  <si>
    <t>Tabela 3.  Cálculo de emissões de gases de efeito estufa emitidos pelo transporte marítimo e fluvial</t>
  </si>
  <si>
    <t>Tabela 4.  Cálculo de emissões de gases de efeito estufa devido ao transporte aéreo</t>
  </si>
  <si>
    <t>Questão</t>
  </si>
  <si>
    <t>Responda ao seguinte questionário para saber quais as folhas que deve preencher para calcular as emissões do projeto em estudo.</t>
  </si>
  <si>
    <t>Tabela 7. Fatores de emissão por frota e tipo de combustível (Fonte: GHG Protocol)</t>
  </si>
  <si>
    <t>Tabela 8. Fatores de emissão por frota e tipo de combustível (Fonte: GHG Protocol)</t>
  </si>
  <si>
    <t>Recálculo das percentagens de renováveis no Mix</t>
  </si>
  <si>
    <t xml:space="preserve">Consumo médio anual esperado </t>
  </si>
  <si>
    <t>Consumo médio anual esperado</t>
  </si>
  <si>
    <t>Emissões médias anuais de GEE (toneladas métricas)</t>
  </si>
  <si>
    <t>Total (toneladas métricas)</t>
  </si>
  <si>
    <t>Ano de fim da fase</t>
  </si>
  <si>
    <t>Resposta</t>
  </si>
  <si>
    <t>Calculadora de GEE para projetos</t>
  </si>
  <si>
    <r>
      <t>Emissões de GEE médias anuais (tCO</t>
    </r>
    <r>
      <rPr>
        <b/>
        <vertAlign val="subscript"/>
        <sz val="9"/>
        <color theme="1"/>
        <rFont val="Poppins"/>
      </rPr>
      <t>2</t>
    </r>
    <r>
      <rPr>
        <b/>
        <sz val="9"/>
        <color theme="1"/>
        <rFont val="Poppins"/>
      </rPr>
      <t>eq/ano)</t>
    </r>
  </si>
  <si>
    <r>
      <t>Sequestro de carbono (tCO</t>
    </r>
    <r>
      <rPr>
        <b/>
        <vertAlign val="subscript"/>
        <sz val="10"/>
        <rFont val="Poppins"/>
      </rPr>
      <t>2</t>
    </r>
    <r>
      <rPr>
        <b/>
        <sz val="10"/>
        <rFont val="Poppins"/>
      </rPr>
      <t>eq/ano)</t>
    </r>
  </si>
  <si>
    <t>Tabela 9. Fatores de emissão por frota e tipo de combustível (Fonte GHG Protocol)</t>
  </si>
  <si>
    <t>Fonte: Inventário Nacional de Emissões por Fontes e Remoção por Sumidouros de Poluentes Atmosféricos 2021</t>
  </si>
  <si>
    <t>Sim</t>
  </si>
  <si>
    <t>Não</t>
  </si>
  <si>
    <t>O veículo é da Empresa?</t>
  </si>
  <si>
    <t>Qual o tipo de transporte</t>
  </si>
  <si>
    <t>Viagens a negócios</t>
  </si>
  <si>
    <t>Tipo de Transporte</t>
  </si>
  <si>
    <t>Transporte a montante da empresa</t>
  </si>
  <si>
    <t>Transporte a jusante da empresa</t>
  </si>
  <si>
    <t>Número de Funcionários envolvidos no projeto</t>
  </si>
  <si>
    <t>Distância média</t>
  </si>
  <si>
    <t>km</t>
  </si>
  <si>
    <t>Fator de emissão</t>
  </si>
  <si>
    <t>unidade</t>
  </si>
  <si>
    <t>Fonte</t>
  </si>
  <si>
    <t>t CO2eq/ m3</t>
  </si>
  <si>
    <t>(1) Gás natural</t>
  </si>
  <si>
    <t xml:space="preserve">Perdas na rede estimadas pela REN. Fator de emissão obtido através da base de dados EcoInvent. </t>
  </si>
  <si>
    <t xml:space="preserve">Sempre que se referir o gás natural no âmbito 1, vai-se calculado este valor à parte, como as emissões referentes à extração, transporte e distribuição do gás. </t>
  </si>
  <si>
    <t>(2) Produtos petrolíferos</t>
  </si>
  <si>
    <t>Este fator aplica-se a todos os produtos petrolíferos usados na combustão móvel. Faz se o cálculo à parte, soma-se com o do gás natural e obtemos a categoria 3</t>
  </si>
  <si>
    <t>Cálculo do fator:</t>
  </si>
  <si>
    <t>Item</t>
  </si>
  <si>
    <t>Valor</t>
  </si>
  <si>
    <t>Nota</t>
  </si>
  <si>
    <t>Emissões Galp 2022</t>
  </si>
  <si>
    <t>MtCO2e</t>
  </si>
  <si>
    <t>(total de todas as caetegorias exceto uso) - Rel. e Contas Galp</t>
  </si>
  <si>
    <t>Venda de produtos petrolíferos</t>
  </si>
  <si>
    <t>Mton</t>
  </si>
  <si>
    <t>Rel. Contas Galp 2022</t>
  </si>
  <si>
    <t>Densidade média do petróleo</t>
  </si>
  <si>
    <t>kg/m3</t>
  </si>
  <si>
    <t>Venda de produtos petrolíferos pela GALP</t>
  </si>
  <si>
    <t>B/C</t>
  </si>
  <si>
    <t>t/Litro</t>
  </si>
  <si>
    <t>A/D</t>
  </si>
  <si>
    <t>Valor assume que as emissões da Galp âmbitos 1, 2 e 3 foram todas para a rpodução de produitos petrolíferos</t>
  </si>
  <si>
    <t>Valor assume que os produtos petrolíferos são todos iguais (produto médio)</t>
  </si>
  <si>
    <t>C3</t>
  </si>
  <si>
    <t>Gasolina</t>
  </si>
  <si>
    <t>Fator de emissão Gás natural (t CO2eq/ m3)</t>
  </si>
  <si>
    <t>% de eletricidade gerada com gás natural</t>
  </si>
  <si>
    <t>% de eletricidade gerada com produtos petrolíferos</t>
  </si>
  <si>
    <t>Conversão de Gás Natural em kWh (m3/kWh)</t>
  </si>
  <si>
    <t>Conversão de Produtos petrolíferos em kWh (L/kWh)</t>
  </si>
  <si>
    <t>(t CO2eq/ kWh)</t>
  </si>
  <si>
    <t>Fator de emissão Produtos petrolíferos (t CO2eq/Litro)</t>
  </si>
  <si>
    <t>Emissões Gás Natural</t>
  </si>
  <si>
    <t>Emissões Produtos Petrolíferos</t>
  </si>
  <si>
    <t xml:space="preserve">Enquadramento
</t>
  </si>
  <si>
    <t>(A) Comece por ler esta folha até ao fim para compreender a estrutura desta ferramenta.</t>
  </si>
  <si>
    <t>Folhas a preencher:</t>
  </si>
  <si>
    <t>Duração em anos (a)</t>
  </si>
  <si>
    <t>Número de colaboradores envolvidos em cada fase de projeto</t>
  </si>
  <si>
    <t>(A) Esta secção da ferramenta calcula as emissões por combustão estacionária para cada fase do projeto.</t>
  </si>
  <si>
    <t>(A) Esta secção da ferramenta calcula as emissões devido à combustão móvel, ou seja, ao transporte de mercadorias, produtos ou passageiros, em meios pertencentes ou não ao projeto/promotor (incluindo modos de transporte rodoviário, ferroviário, marítimo e fluvial e aéreo).</t>
  </si>
  <si>
    <t>Distância média anual (km/ano)</t>
  </si>
  <si>
    <t>Fase do projeto</t>
  </si>
  <si>
    <t xml:space="preserve">(A) Use uma linha para cada deslocação. </t>
  </si>
  <si>
    <t>(A)  Utilize esta secção da folha apenas para relatar as emissões de viiagens ou transporte ferroviário do projeto ou devido ao projeto. Emissões de frotas de outros modos de transporte devem ser estimadas e/ou relatadas nas outras secções desta folha.</t>
  </si>
  <si>
    <t>(F) Por fim, indique se se trata de uma deslocação/transporte em veículos da empresa e que tipo de transporte se refere a linha</t>
  </si>
  <si>
    <t>(A)  Utilize essa secção da folha apenas para relatar as emissões do transporte marítimo. Emissões de frotas de outros modos devem ser estimadas e/ou relatadas nas outras secções desta folha.</t>
  </si>
  <si>
    <t>(A)  Utilize esta secção da folha apenas para relatar dados das viagens / transporte aéreo do projeto. Emissões de frotas de outros modos de transporte devem ser estimadas e/ou relatadas nas outras secções desta folha.</t>
  </si>
  <si>
    <t>Fator de Emissão do modo de transporte</t>
  </si>
  <si>
    <t>(C) No caso dos gases compostos, esta ferramenta considera apenas a parcela referente aos GEE contemplados pelo Protocolo de Quioto.</t>
  </si>
  <si>
    <t>Este método de cálculo é bastante simplificado. A finalidade é produzir uma estimativa expedita de quanto as emissões de RAC podem representar no total do inventário do projeto.</t>
  </si>
  <si>
    <t>Gás natural (metano)</t>
  </si>
  <si>
    <t>Emissões de Processos Industriais - emissões de processos industriais não relacionadas com a queima de combustíveis fósseis</t>
  </si>
  <si>
    <t>Localização</t>
  </si>
  <si>
    <t>Mercado</t>
  </si>
  <si>
    <t>Emissões da produção de combustível</t>
  </si>
  <si>
    <t>FE produção de combustível</t>
  </si>
  <si>
    <t>Emissões da produção</t>
  </si>
  <si>
    <t>Outras emissões indiretas</t>
  </si>
  <si>
    <t>Emissões indiretas da produção de combustíveis</t>
  </si>
  <si>
    <t xml:space="preserve">      Esta folha contém um pequeno questionário que lhe indicará quais as folhas que deve preencher para a correta estimativa de emissões do seu projeto.</t>
  </si>
  <si>
    <t>Dados Gerais</t>
  </si>
  <si>
    <t>Se tiver dúvidas sobre o combustível a utilizar, selecione o combustível abaixo para ter definição deste</t>
  </si>
  <si>
    <t>Biodiesel é um éster metílico produzido a partir de óleo vegetal ou animal, com qualidade de gasóleo.</t>
  </si>
  <si>
    <t>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t>
  </si>
  <si>
    <t>Varável</t>
  </si>
  <si>
    <t xml:space="preserve">Valor </t>
  </si>
  <si>
    <t>% condutor veículo</t>
  </si>
  <si>
    <t>% transporte público</t>
  </si>
  <si>
    <t>Em 2021, percentagem de pessoas que foram de carro para o trabalho como passageiros</t>
  </si>
  <si>
    <t>Em 2021, percentagem de pessoas que foram para o trabalho em transporte público</t>
  </si>
  <si>
    <t>% modos suaves</t>
  </si>
  <si>
    <t>FE condutor de veículo</t>
  </si>
  <si>
    <t>FE transporte público</t>
  </si>
  <si>
    <t>FE modos suaves</t>
  </si>
  <si>
    <t>Distância média viajada</t>
  </si>
  <si>
    <t>Fator de emissão de veículo com dois passageiros</t>
  </si>
  <si>
    <t>Fator de emissão médio de transporte público (autocarro, comboio, metro e barco)</t>
  </si>
  <si>
    <t>Fator de emissão de modos suaves (não elétricos)</t>
  </si>
  <si>
    <t>Distância média de deslocação casa-trabalho</t>
  </si>
  <si>
    <t>Censos 2021</t>
  </si>
  <si>
    <t>Em 2021, percentagem de pessoas que foram para o trabalho em modos suaves e a pé</t>
  </si>
  <si>
    <t>Fator de emissão de veículo com um passageiro</t>
  </si>
  <si>
    <t>Considera-se nulo</t>
  </si>
  <si>
    <t>valor médio assumido pela equipa</t>
  </si>
  <si>
    <t>Deslocações casa-trabalho</t>
  </si>
  <si>
    <t>Passo 1.    Indique o setor de atividade ao qual as atividades de queima de combustíveis em fontes fixas se aplica</t>
  </si>
  <si>
    <t>(B) Esta secção tem dois passos: passo 1 - selecionar o setor de atividade para o qual as atividades de combustão se referem; Passo 2 - indicar os processos de combustão esperados</t>
  </si>
  <si>
    <t>Passo 2.    Complete a informação abaixo referente aos processos de combustão em cada fase do projeto</t>
  </si>
  <si>
    <t>Descrição da fonte</t>
  </si>
  <si>
    <t>Caldeira nº. 1</t>
  </si>
  <si>
    <t>Comece por colocar uma breve descrição da atividade que irá consumir o combustível.</t>
  </si>
  <si>
    <t>(kgGEE/unid)</t>
  </si>
  <si>
    <t>(kgGEE)</t>
  </si>
  <si>
    <t>Despacho n.º 17313/2008</t>
  </si>
  <si>
    <t>Despacho n.º 17313/2008 / IPCC 2006</t>
  </si>
  <si>
    <t>IPCC 2006</t>
  </si>
  <si>
    <t>(kg/TJ)</t>
  </si>
  <si>
    <t>Setores</t>
  </si>
  <si>
    <t>Referente à produção e transformação de energia</t>
  </si>
  <si>
    <t>Emissões decorrentes de processos de manufatura</t>
  </si>
  <si>
    <t>Emissões decorrentes de serviços comerciais ou institucionais</t>
  </si>
  <si>
    <t>Emissões decorrentes de atividades agrícolas ou em espaços residenciais</t>
  </si>
  <si>
    <t>Exemplos</t>
  </si>
  <si>
    <t>Produção de combustíveis ou eletricidade</t>
  </si>
  <si>
    <t>Consumos em estabelecimentos comerciais e escritórios</t>
  </si>
  <si>
    <t>Emissões das explorações pecuárias, agrícolas, florestais, loteamentos urbanos</t>
  </si>
  <si>
    <t>Produção de painéis fotovoltaicos ou parques eólicos; industria esxtrativa, minas e pedreiras. Exploração de centros de mobilidade como portos, aeroportos</t>
  </si>
  <si>
    <t>(kgCO2e)</t>
  </si>
  <si>
    <t>Emissões da produção de combustíveis</t>
  </si>
  <si>
    <t xml:space="preserve">Tabela 1. Apoio à Tabela 1 da combustão estacionária </t>
  </si>
  <si>
    <t>Tabela 2. Apoio à tabela 2 combustão fixa</t>
  </si>
  <si>
    <t>Tabela 3.  apoio à tabela 3 - Emissões estacionárias na fase de Desativação</t>
  </si>
  <si>
    <t xml:space="preserve">O projeto inclui a queima de combustíveis em equipamentos fixos como caldeiras, fornos, fogões, turbinas, câmaras de secagem ou outros equipamentos fixos de combustão pertencentes ao projeto? </t>
  </si>
  <si>
    <t>(B) Esta secção encontra-se dividida em quatro partes:</t>
  </si>
  <si>
    <t>Resultados</t>
  </si>
  <si>
    <t xml:space="preserve">            Emissões de GEE da copmbustão móvel.</t>
  </si>
  <si>
    <t>(C) Em cada tabela de preenchimento, utilize os botões "+" à esquerda para escolher as subsecções da ferramenta em que deseja inserir informações.</t>
  </si>
  <si>
    <t xml:space="preserve">(E) Os valores a preencher referem-se sempre a valores médios anuais para a fase do projeto (construção, exploração, desativação) que indicar em cada linha. </t>
  </si>
  <si>
    <t xml:space="preserve">       1. Transporte rodoviário</t>
  </si>
  <si>
    <t xml:space="preserve">       2. Transporte ferroviário</t>
  </si>
  <si>
    <t xml:space="preserve">       3. Transporte marítimo e fluvial</t>
  </si>
  <si>
    <t xml:space="preserve">       4. Transporte aéreo</t>
  </si>
  <si>
    <t xml:space="preserve">       6. Resultados</t>
  </si>
  <si>
    <t xml:space="preserve">Veículo ligeiro de passageiros - Gasolina </t>
  </si>
  <si>
    <t xml:space="preserve">Veículo ligeiro de passageiros - gasóleo </t>
  </si>
  <si>
    <t xml:space="preserve">Veículo ligeiro de passageiros - GPL </t>
  </si>
  <si>
    <t>Veículo ligeiro de mercadorias - gasolina</t>
  </si>
  <si>
    <t xml:space="preserve">Gasóleo </t>
  </si>
  <si>
    <t xml:space="preserve">Veículo ligeiro de mercadorias - gasóleo </t>
  </si>
  <si>
    <t>Gasóleo</t>
  </si>
  <si>
    <t>GNL</t>
  </si>
  <si>
    <t>Elétricos / tram</t>
  </si>
  <si>
    <t>2. Transporte ferroviário</t>
  </si>
  <si>
    <t>1. Transporte Rodoviário</t>
  </si>
  <si>
    <t>Fase de projeto</t>
  </si>
  <si>
    <t>3. Transporte marítimo e fluvial</t>
  </si>
  <si>
    <t>Voo doméstico (carga)</t>
  </si>
  <si>
    <t>Voo longo (passageiros)</t>
  </si>
  <si>
    <t>Voo curto (passageiros)</t>
  </si>
  <si>
    <t>Voo doméstico (passageiros)</t>
  </si>
  <si>
    <t>Navio grande (tara: entre 18 371t e 99 999t)</t>
  </si>
  <si>
    <t>Navio pequeno (até 18 370t de tara)</t>
  </si>
  <si>
    <t>Navio muito grande (tara igual ou superior a 100 000t)</t>
  </si>
  <si>
    <t>4. Transporte aéreo</t>
  </si>
  <si>
    <t>Transporte dos técnicos</t>
  </si>
  <si>
    <t>Tipo de maquinaria</t>
  </si>
  <si>
    <t>Fator de emissão por tipo de maquinaria móvel</t>
  </si>
  <si>
    <t>Maquinaria industrial</t>
  </si>
  <si>
    <t>Maquinaria agrícola e florestal</t>
  </si>
  <si>
    <t>Maquinaria comercial, institucional</t>
  </si>
  <si>
    <t>kg</t>
  </si>
  <si>
    <t>Unidades do combustível</t>
  </si>
  <si>
    <t>Consumo de combustível (média anual)</t>
  </si>
  <si>
    <t>Fator de Emissão do modo de transporte (kg/unid)</t>
  </si>
  <si>
    <t>(MJ/unid)</t>
  </si>
  <si>
    <t>Corte de vegetação</t>
  </si>
  <si>
    <t>PCI</t>
  </si>
  <si>
    <t>Const não</t>
  </si>
  <si>
    <t>Exp não</t>
  </si>
  <si>
    <t>des Não</t>
  </si>
  <si>
    <t>Transporte a montante do projeto</t>
  </si>
  <si>
    <t>Transporte a jusante do projeto</t>
  </si>
  <si>
    <t>(A) Esta folha possui duas componentes principais</t>
  </si>
  <si>
    <t xml:space="preserve">Fugas de gases de refrigeração usados em equipamentos de climatização e refrigeração como ares condicionados e arcas frigoríficas. </t>
  </si>
  <si>
    <t>B. Outros</t>
  </si>
  <si>
    <t xml:space="preserve">A. Equipamentos de climatização e refrigeração </t>
  </si>
  <si>
    <t xml:space="preserve">B. Outros </t>
  </si>
  <si>
    <t>(E) Utilize os botões "+" à esquerda para escolher as subseções da ferramenta que deseja inserir informações.</t>
  </si>
  <si>
    <t>Conhece o gás de refrigeração?</t>
  </si>
  <si>
    <t>Selecione o gás</t>
  </si>
  <si>
    <t>PAG - padrão</t>
  </si>
  <si>
    <t>Capacidade do equipamento</t>
  </si>
  <si>
    <t>Valor padrão</t>
  </si>
  <si>
    <t>Se não for o valor padrão, indique o valor em baixo</t>
  </si>
  <si>
    <t>Quantos equipamentos tem nestas condições</t>
  </si>
  <si>
    <t>Dióxido de carbono (CO2)</t>
  </si>
  <si>
    <t>Refrigerantes</t>
  </si>
  <si>
    <t>Refrigerante natural</t>
  </si>
  <si>
    <t>Listas</t>
  </si>
  <si>
    <t>Carga padrão</t>
  </si>
  <si>
    <t>Carga utilizador</t>
  </si>
  <si>
    <t>Gás conhecido?</t>
  </si>
  <si>
    <t>Gas</t>
  </si>
  <si>
    <t># equipamentos</t>
  </si>
  <si>
    <t>Duração da fase</t>
  </si>
  <si>
    <t>Emissões unidades novas (kgCO2 total)</t>
  </si>
  <si>
    <t>PAG (kg CO2)</t>
  </si>
  <si>
    <t>Emissões unidades dispensadas (kgCO2 total)</t>
  </si>
  <si>
    <t>carga dispensadas</t>
  </si>
  <si>
    <t>carga operação</t>
  </si>
  <si>
    <t>Emissões unidades operação (kgCO2 total)</t>
  </si>
  <si>
    <t>Emissões anuais (kgCO2 total)</t>
  </si>
  <si>
    <t>Initial charge remaining</t>
  </si>
  <si>
    <t>Recovery efficiency (média)</t>
  </si>
  <si>
    <t>Fonte: Tabela 7.9 do 2006 IPCC Guidelines for National Greenhouse Gas Inventories</t>
  </si>
  <si>
    <t>Perdas na Capacidade</t>
  </si>
  <si>
    <t>Perdas em Carga das unidades novas</t>
  </si>
  <si>
    <t xml:space="preserve">Capacidade máxima equipamentos </t>
  </si>
  <si>
    <t xml:space="preserve">Valores default PAG gás </t>
  </si>
  <si>
    <t>Fonte: Regulamento EU n.°517/2014 /Diretiva MAC (Anexo III)</t>
  </si>
  <si>
    <t>(mas atualmente a usar zero recuperação)</t>
  </si>
  <si>
    <t>- Indique quantos equipamentos espera ter a operar com estas características. Estes equipamentos jã Não precisa de os indicar nas restantes linhas</t>
  </si>
  <si>
    <t>- Utilize uma linha para cada tipo de equipamento.</t>
  </si>
  <si>
    <t>Preenchimento da Tabela 1:</t>
  </si>
  <si>
    <t>Outras emissões</t>
  </si>
  <si>
    <t>Quantidade</t>
  </si>
  <si>
    <t>Substância / processo</t>
  </si>
  <si>
    <t>Nome</t>
  </si>
  <si>
    <t>Indique o PAG - Potencial de aquecimento global</t>
  </si>
  <si>
    <t>Substâncias, processos</t>
  </si>
  <si>
    <t>Extintores - CO2</t>
  </si>
  <si>
    <t>HCFE-235da2</t>
  </si>
  <si>
    <t>Isoflurano</t>
  </si>
  <si>
    <t>HFE-236ea2</t>
  </si>
  <si>
    <t>Desflurano</t>
  </si>
  <si>
    <t>HFE-347mmz1</t>
  </si>
  <si>
    <t>Sevoflurano</t>
  </si>
  <si>
    <t>C2F6(PFC-116)</t>
  </si>
  <si>
    <t>Hexafluoroetano</t>
  </si>
  <si>
    <t>C3F8 (PFC-218)</t>
  </si>
  <si>
    <t>Octofluorpropano</t>
  </si>
  <si>
    <t>Outro</t>
  </si>
  <si>
    <t>Extintores - HCFE-235da2</t>
  </si>
  <si>
    <t>Extintores - HFE-236ea2</t>
  </si>
  <si>
    <t>Extintores - HFE-347mmz1</t>
  </si>
  <si>
    <t>Extintores - C2F6(PFC-116)</t>
  </si>
  <si>
    <t>Extintores - C3F8 (PFC-218)</t>
  </si>
  <si>
    <t>Extintores - outros</t>
  </si>
  <si>
    <t>Equipamento elétrico de pressão, selado</t>
  </si>
  <si>
    <t>Equipamento elétrico de pressão, fechado</t>
  </si>
  <si>
    <t>Produção de semicondutores</t>
  </si>
  <si>
    <t>Produção de TFT-FPDs</t>
  </si>
  <si>
    <t>Gás natural - transmissão</t>
  </si>
  <si>
    <t>Gás natural - distribuição</t>
  </si>
  <si>
    <t>Gás natural - armazenamento</t>
  </si>
  <si>
    <r>
      <t>Óxido Nitroso (N</t>
    </r>
    <r>
      <rPr>
        <vertAlign val="subscript"/>
        <sz val="11"/>
        <color theme="1"/>
        <rFont val="Calibri"/>
        <family val="2"/>
        <scheme val="minor"/>
      </rPr>
      <t>2</t>
    </r>
    <r>
      <rPr>
        <sz val="11"/>
        <color theme="1"/>
        <rFont val="Calibri"/>
        <family val="2"/>
        <scheme val="minor"/>
      </rPr>
      <t>O)</t>
    </r>
  </si>
  <si>
    <t>Outras substâncias (1)</t>
  </si>
  <si>
    <t>Quantidade default (1)</t>
  </si>
  <si>
    <t>(1) Se em branco, é a definir pelo usuário</t>
  </si>
  <si>
    <t>PAG (1)</t>
  </si>
  <si>
    <t>(2)</t>
  </si>
  <si>
    <t>(2) Tabelas fornecidas pela APA, ver abaixo</t>
  </si>
  <si>
    <t>Etapa</t>
  </si>
  <si>
    <t>FE</t>
  </si>
  <si>
    <t>SF6</t>
  </si>
  <si>
    <t>Sealed Pressure Eletrical Equipment</t>
  </si>
  <si>
    <t>Manufacturing</t>
  </si>
  <si>
    <t>Fraction SF6 consumption by Manufactures</t>
  </si>
  <si>
    <t>IPCC 2006 Guidelines; Vol.3 IPPU; Ch8 Other Product Manufacture and Use - Table 8.2</t>
  </si>
  <si>
    <t>Operation</t>
  </si>
  <si>
    <t>Fraction per Year of Namrplate Capacity of All Equipment Installed</t>
  </si>
  <si>
    <t>Disposal</t>
  </si>
  <si>
    <t>Fraction of charge remaining at retirement</t>
  </si>
  <si>
    <t>Lifetime</t>
  </si>
  <si>
    <t>&gt; 35</t>
  </si>
  <si>
    <t>years</t>
  </si>
  <si>
    <t>Closed Pressure Eletrical Equipment</t>
  </si>
  <si>
    <t>IPCC 2006 Guidelines; Vol.3 IPPU; Ch8 Other Product Manufacture and Use - Table 8.3</t>
  </si>
  <si>
    <t>Fraction per Year of Nameplate Capacity of All Equipment Installed</t>
  </si>
  <si>
    <t>NF3</t>
  </si>
  <si>
    <t>Semiconductors</t>
  </si>
  <si>
    <t>Mass per Unit Area of Substrate Processed</t>
  </si>
  <si>
    <t>IPCC 2006 Guidelines; Vol.3 IPPU; Ch6 Electronics Industry - Table 6.2</t>
  </si>
  <si>
    <t>TFT-FPDs</t>
  </si>
  <si>
    <t>Fugitive Emissions from Natural Gas</t>
  </si>
  <si>
    <t>Transmission</t>
  </si>
  <si>
    <t>IPCC 2006 Guidelines; Vol.2 Energy; Ch4 Fugitive Emissions - Table 4.2.4</t>
  </si>
  <si>
    <t>GHGs</t>
  </si>
  <si>
    <t>Storage</t>
  </si>
  <si>
    <t>Distribution</t>
  </si>
  <si>
    <t>Quantidade utilizada (nota: não se refere a perdas)</t>
  </si>
  <si>
    <t>Cálculos totais</t>
  </si>
  <si>
    <t>Substância processo</t>
  </si>
  <si>
    <t>Outras substancias</t>
  </si>
  <si>
    <t>Recarga annual</t>
  </si>
  <si>
    <t>Quantidade utilizada</t>
  </si>
  <si>
    <t>Quantidade (kg)</t>
  </si>
  <si>
    <t>Emissões (kg)</t>
  </si>
  <si>
    <t>Perdas default</t>
  </si>
  <si>
    <t>Manufatura</t>
  </si>
  <si>
    <t>operation</t>
  </si>
  <si>
    <t>disposal</t>
  </si>
  <si>
    <t>Semicondutores</t>
  </si>
  <si>
    <t>SF6 (kg CO2e)</t>
  </si>
  <si>
    <t>NF3 (kg CO2e)</t>
  </si>
  <si>
    <t>Unidades da quantidade</t>
  </si>
  <si>
    <t>kg de SF6 usado</t>
  </si>
  <si>
    <t>m2 de área produzidas</t>
  </si>
  <si>
    <t>m3 de gás transmitido</t>
  </si>
  <si>
    <t>m3 de gás distribuído</t>
  </si>
  <si>
    <t>m3 de gás armazenado</t>
  </si>
  <si>
    <t>kgCO2e</t>
  </si>
  <si>
    <t>(1) No caso de considerar outros gases não incluídos na lista, pode consultar o PAG no capítulo 8 do volume 5 do IPCC (https://www.ipcc.ch/site/assets/uploads/2018/02/WG1AR5_Chapter08_FINAL.pdf)</t>
  </si>
  <si>
    <t>Ar Condicionado de Veículos Ligeiros de Passageiros e ligeiros de Mercadorias</t>
  </si>
  <si>
    <t>(A) Utilize esta secção da ferramenta para relatar outras emissões fugitivas que não as de climatização e refrigeração.</t>
  </si>
  <si>
    <t>Despacho n.º 17313/2009</t>
  </si>
  <si>
    <t xml:space="preserve">PCI - Despacho n.º 17313/2008; densidade - https://www.engineeringtoolbox.com/fuels-densities-specific-volumes-d_166.html </t>
  </si>
  <si>
    <t>Secção 3 - Fatores de emissão para emissões fugitivas</t>
  </si>
  <si>
    <t>Actividade Industrial</t>
  </si>
  <si>
    <t>EF implícito</t>
  </si>
  <si>
    <t>1. Produção de cimento</t>
  </si>
  <si>
    <t>REA/CELE</t>
  </si>
  <si>
    <t>2. Produção de cal</t>
  </si>
  <si>
    <t>3. Produção de vidro</t>
  </si>
  <si>
    <t>4. Produção cerâmica</t>
  </si>
  <si>
    <t>5. Produção de ácido nítrico</t>
  </si>
  <si>
    <t>6. Produção de etileno</t>
  </si>
  <si>
    <t>IPCC 2006 Guidelines; Vol.3 IPPU; Chapter 3: Chemical Industry Emissions - Table 3.14</t>
  </si>
  <si>
    <t>7. Produção de aço</t>
  </si>
  <si>
    <t>8. Produção de chumbo</t>
  </si>
  <si>
    <t>IPCC 2006 Guidelines; Vol.3 IPPU; Chapter 4: Metal Industry Emissions - Table 4.21</t>
  </si>
  <si>
    <t xml:space="preserve">Fase do projeto </t>
  </si>
  <si>
    <t>Designação da fonte (opcional)</t>
  </si>
  <si>
    <t>Setor industrial</t>
  </si>
  <si>
    <t>Processos industriais</t>
  </si>
  <si>
    <t>9. Outros</t>
  </si>
  <si>
    <t>Ala 2 da fábrica</t>
  </si>
  <si>
    <t>Produção média anual do produto</t>
  </si>
  <si>
    <t>t clínquer</t>
  </si>
  <si>
    <t>t cal</t>
  </si>
  <si>
    <t>t vidro</t>
  </si>
  <si>
    <t>t carbonatos consumidos</t>
  </si>
  <si>
    <t>t ácido nítrico</t>
  </si>
  <si>
    <t>t etileno</t>
  </si>
  <si>
    <t>t aço</t>
  </si>
  <si>
    <t>t chumbo</t>
  </si>
  <si>
    <t>(indique a unidade no campo ao lado)</t>
  </si>
  <si>
    <t>Caso tenha selecionado "9. Outros", especifique o setor</t>
  </si>
  <si>
    <t>Fator de emissão (kg CO2e/ unid)</t>
  </si>
  <si>
    <t>Se o seu valor for diferente do valor padrão, por favor indique aqui o seu valor</t>
  </si>
  <si>
    <t>Unid</t>
  </si>
  <si>
    <t>Emissões por gás (indique apenas as colunas que tem informação)</t>
  </si>
  <si>
    <r>
      <t>kg CO</t>
    </r>
    <r>
      <rPr>
        <b/>
        <vertAlign val="subscript"/>
        <sz val="11"/>
        <color theme="1"/>
        <rFont val="Calibri"/>
        <family val="2"/>
        <scheme val="minor"/>
      </rPr>
      <t>2</t>
    </r>
    <r>
      <rPr>
        <b/>
        <sz val="11"/>
        <color theme="1"/>
        <rFont val="Calibri"/>
        <family val="2"/>
        <scheme val="minor"/>
      </rPr>
      <t>e (1)</t>
    </r>
  </si>
  <si>
    <r>
      <t>kg CO</t>
    </r>
    <r>
      <rPr>
        <b/>
        <vertAlign val="subscript"/>
        <sz val="11"/>
        <color theme="1"/>
        <rFont val="Calibri"/>
        <family val="2"/>
        <scheme val="minor"/>
      </rPr>
      <t>2</t>
    </r>
  </si>
  <si>
    <r>
      <t>g CH</t>
    </r>
    <r>
      <rPr>
        <b/>
        <vertAlign val="subscript"/>
        <sz val="11"/>
        <color theme="1"/>
        <rFont val="Calibri"/>
        <family val="2"/>
        <scheme val="minor"/>
      </rPr>
      <t>4</t>
    </r>
  </si>
  <si>
    <r>
      <t>g N</t>
    </r>
    <r>
      <rPr>
        <b/>
        <vertAlign val="subscript"/>
        <sz val="11"/>
        <color theme="1"/>
        <rFont val="Calibri"/>
        <family val="2"/>
        <scheme val="minor"/>
      </rPr>
      <t>2</t>
    </r>
    <r>
      <rPr>
        <b/>
        <sz val="11"/>
        <color theme="1"/>
        <rFont val="Calibri"/>
        <family val="2"/>
        <scheme val="minor"/>
      </rPr>
      <t>O</t>
    </r>
  </si>
  <si>
    <t>Tabela vem dos fatores de emissão</t>
  </si>
  <si>
    <t>Secção 0 - Dados gerais</t>
  </si>
  <si>
    <t>Variável</t>
  </si>
  <si>
    <t>Definido pela equipa, 2023</t>
  </si>
  <si>
    <t>anos</t>
  </si>
  <si>
    <t xml:space="preserve">Emissões elétricas (indiretas) </t>
  </si>
  <si>
    <t>Emissões fósseis</t>
  </si>
  <si>
    <t>Esta parte da ferramenta refere-se a emissões de ferramenta é indicada para utilizadores de equipamentos climatização e refrigeração.</t>
  </si>
  <si>
    <t>Uso / recarga / perdas anuais</t>
  </si>
  <si>
    <t>Equipamentos de climatização e refrigeração</t>
  </si>
  <si>
    <t>Processo</t>
  </si>
  <si>
    <t>Emissões fugitivas - outras</t>
  </si>
  <si>
    <t>Secção 4 - Fatores de emissão para Processos industriais</t>
  </si>
  <si>
    <t xml:space="preserve">(E) Se selecionou "9. Outros", especifique qual o setor na coluna respetiva. </t>
  </si>
  <si>
    <t xml:space="preserve">(C) De seguida, dê uma designação à linha que vai preencher (Opcional) </t>
  </si>
  <si>
    <t>Observações (indique como obteve o valor (fonte, breve descrição metodológica, pressupostos)</t>
  </si>
  <si>
    <t>Observações (indique como obteve os valores (fontes, breve descrição metodológica, pressupostos)</t>
  </si>
  <si>
    <t>Processos</t>
  </si>
  <si>
    <t>Agricultura, usos de solo e pecuária</t>
  </si>
  <si>
    <t>Pecuária - Gestão de estrumes</t>
  </si>
  <si>
    <t>Pecuária - fermentação entérica</t>
  </si>
  <si>
    <t>Pecuária - total (gestão de estrumes e fermentação entérica)</t>
  </si>
  <si>
    <t>Alterações aos usos de solo</t>
  </si>
  <si>
    <t>Sequestro de carbono</t>
  </si>
  <si>
    <t>Agricultura - Uso de cal</t>
  </si>
  <si>
    <t>Agricultura - Uso de Ureia</t>
  </si>
  <si>
    <t>Setor / atividade</t>
  </si>
  <si>
    <t>Emissões (escolha uma das três opções abaixo)</t>
  </si>
  <si>
    <t>Observações</t>
  </si>
  <si>
    <t>kg estrume/ano</t>
  </si>
  <si>
    <t>cabeças de animais/ano</t>
  </si>
  <si>
    <t>cabeças de animais / ano</t>
  </si>
  <si>
    <t>kg de cal usada nos solos/ano</t>
  </si>
  <si>
    <t>kg de ureia usada nos solos/ano</t>
  </si>
  <si>
    <t>unidade do FE</t>
  </si>
  <si>
    <t>Indique a unidade</t>
  </si>
  <si>
    <t>(indicar unidade no campo ao lado)</t>
  </si>
  <si>
    <t>Observações (indique a fonte do fator de emissão, ou método de cálculo e pressupostos)</t>
  </si>
  <si>
    <r>
      <t>m</t>
    </r>
    <r>
      <rPr>
        <vertAlign val="superscript"/>
        <sz val="11"/>
        <color theme="1"/>
        <rFont val="Calibri"/>
        <family val="2"/>
        <scheme val="minor"/>
      </rPr>
      <t>2</t>
    </r>
    <r>
      <rPr>
        <sz val="11"/>
        <color theme="1"/>
        <rFont val="Calibri"/>
        <family val="2"/>
        <scheme val="minor"/>
      </rPr>
      <t xml:space="preserve"> de área alterada / ano</t>
    </r>
  </si>
  <si>
    <r>
      <t>m</t>
    </r>
    <r>
      <rPr>
        <vertAlign val="superscript"/>
        <sz val="11"/>
        <color theme="1"/>
        <rFont val="Calibri"/>
        <family val="2"/>
        <scheme val="minor"/>
      </rPr>
      <t>2</t>
    </r>
    <r>
      <rPr>
        <sz val="11"/>
        <color theme="1"/>
        <rFont val="Calibri"/>
        <family val="2"/>
        <scheme val="minor"/>
      </rPr>
      <t xml:space="preserve"> de área de sequestro /ano</t>
    </r>
  </si>
  <si>
    <r>
      <t>m</t>
    </r>
    <r>
      <rPr>
        <vertAlign val="superscript"/>
        <sz val="11"/>
        <color theme="1"/>
        <rFont val="Calibri"/>
        <family val="2"/>
        <scheme val="minor"/>
      </rPr>
      <t>2</t>
    </r>
    <r>
      <rPr>
        <sz val="11"/>
        <color theme="1"/>
        <rFont val="Calibri"/>
        <family val="2"/>
        <scheme val="minor"/>
      </rPr>
      <t xml:space="preserve"> de área inundada</t>
    </r>
  </si>
  <si>
    <t>Queima de biomassa (queimadas, incêndios) - em área</t>
  </si>
  <si>
    <t>Queima de biomassa (queimadas, incêndios) - em massa queimada</t>
  </si>
  <si>
    <r>
      <t>m</t>
    </r>
    <r>
      <rPr>
        <vertAlign val="superscript"/>
        <sz val="11"/>
        <color theme="1"/>
        <rFont val="Calibri"/>
        <family val="2"/>
        <scheme val="minor"/>
      </rPr>
      <t>2</t>
    </r>
    <r>
      <rPr>
        <sz val="11"/>
        <color theme="1"/>
        <rFont val="Calibri"/>
        <family val="2"/>
        <scheme val="minor"/>
      </rPr>
      <t xml:space="preserve"> de área / ano</t>
    </r>
  </si>
  <si>
    <t>kg de biomassa queimada / ano</t>
  </si>
  <si>
    <t>kg de fertilizante azotado, composto ou estrume / ano</t>
  </si>
  <si>
    <t>Agricultura - gestão de solos  kg de aditivo (fertilizantes, composto, estrume)</t>
  </si>
  <si>
    <t xml:space="preserve">Agricultura - gestão de solos por área lavrada </t>
  </si>
  <si>
    <r>
      <t>m</t>
    </r>
    <r>
      <rPr>
        <vertAlign val="superscript"/>
        <sz val="11"/>
        <color theme="1"/>
        <rFont val="Calibri"/>
        <family val="2"/>
        <scheme val="minor"/>
      </rPr>
      <t>2</t>
    </r>
    <r>
      <rPr>
        <sz val="11"/>
        <color theme="1"/>
        <rFont val="Calibri"/>
        <family val="2"/>
        <scheme val="minor"/>
      </rPr>
      <t xml:space="preserve"> de solo lavrado /ano</t>
    </r>
  </si>
  <si>
    <t>(F) Para o fator de emissão, o utilizador pode consultar FE respeitantes às atividades agrícolas nas Linhas guia do IPCC 2006, disponíveis, por capítulos, no seguinte link: https://www.ipcc-nggip.iges.or.jp/public/2006gl/vol4.html.</t>
  </si>
  <si>
    <t>Manada de vacas leiteiras</t>
  </si>
  <si>
    <t>Número de cabeças de gado: xxx. Valor de produção de estrume/cabeça obtido da seguinte fonte: xxx</t>
  </si>
  <si>
    <t xml:space="preserve">Valor da fonte: xxx. </t>
  </si>
  <si>
    <t>Resíduos e águas residuais</t>
  </si>
  <si>
    <t>Deposição de resíduos em aterro</t>
  </si>
  <si>
    <t>Incineração (sem recuperação de energia)</t>
  </si>
  <si>
    <t>t resíduo sólido enviado para deposição</t>
  </si>
  <si>
    <t>t resíduo sólido enviado para digestão anaeróbia</t>
  </si>
  <si>
    <t>t resíduo enviado para incineração</t>
  </si>
  <si>
    <r>
      <t>m</t>
    </r>
    <r>
      <rPr>
        <vertAlign val="superscript"/>
        <sz val="11"/>
        <color theme="1"/>
        <rFont val="Calibri"/>
        <family val="2"/>
        <scheme val="minor"/>
      </rPr>
      <t>3</t>
    </r>
    <r>
      <rPr>
        <sz val="11"/>
        <color theme="1"/>
        <rFont val="Calibri"/>
        <family val="2"/>
        <scheme val="minor"/>
      </rPr>
      <t xml:space="preserve"> de águas residuais enviadas para tratamento ou descarregadas</t>
    </r>
  </si>
  <si>
    <t>Opção 3 - Emissões não biogénicas, por gás</t>
  </si>
  <si>
    <t>Opção 1 - fator de emissão de GEE não biogénicos</t>
  </si>
  <si>
    <t>Diretas</t>
  </si>
  <si>
    <t>Indiretas</t>
  </si>
  <si>
    <t>Emissões de Resíduos e águas residuais</t>
  </si>
  <si>
    <t>Diretas?</t>
  </si>
  <si>
    <t>Outros (ex.: queima de biogás)</t>
  </si>
  <si>
    <t>Tratamentos biológicos: compostagem</t>
  </si>
  <si>
    <t>Tratamentos biológicos: digestão anaeróbica</t>
  </si>
  <si>
    <t>t resíduo sólido enviado para compostagem</t>
  </si>
  <si>
    <t>NIR 2022</t>
  </si>
  <si>
    <t>Esclarecimentos adicionais</t>
  </si>
  <si>
    <t>Produção de resíduos e águas residuais</t>
  </si>
  <si>
    <t>Secção 5 - Fatores de emissão para resíduos e águas residuais</t>
  </si>
  <si>
    <t>Unidade funcional</t>
  </si>
  <si>
    <t>Unidade do FE</t>
  </si>
  <si>
    <t xml:space="preserve">A. Eletricidade adquirida </t>
  </si>
  <si>
    <t>Estimativa de FE médio para cada fase de projeto</t>
  </si>
  <si>
    <t>Ano i</t>
  </si>
  <si>
    <t>Ano fim</t>
  </si>
  <si>
    <t>FE fim</t>
  </si>
  <si>
    <t>FE médio</t>
  </si>
  <si>
    <t>FE i (tCO2e/kWh)</t>
  </si>
  <si>
    <t>Descrição (opcional)</t>
  </si>
  <si>
    <t>Tabela 1.  Eletricidade adquirida à rede</t>
  </si>
  <si>
    <t>(A) comece por indicar a fase do projeto a que a linha diz respeito.</t>
  </si>
  <si>
    <t>(D) Utilize os botões "+" à esquerda para escolher as subsecções da ferramenta onde deseja inserir informações e para libertar mais linhas nas tabelas de entrada de dados.</t>
  </si>
  <si>
    <t>(E) Os fatores de emissão de GEE para a geração de eletricidade representam uma média anual durante cada fase de projeto, tendo em conta o início e o fim previsto para a fase.</t>
  </si>
  <si>
    <t>Descrição da Fonte (opcional)</t>
  </si>
  <si>
    <t>Média anual de energia térmica adquirida (MWh/ano)</t>
  </si>
  <si>
    <t>Tabela 2.  Energia térmica (quente e frio) comprada</t>
  </si>
  <si>
    <t>Esta folha tem duas partes:</t>
  </si>
  <si>
    <t>A. Eletricidade adquirida</t>
  </si>
  <si>
    <t>B. Energia térmica</t>
  </si>
  <si>
    <t>O projeto envolve a compra de energia elétrica, quente, frio ou vapor a terceiros?</t>
  </si>
  <si>
    <t>Emissões indiretas de eletricidade e calor</t>
  </si>
  <si>
    <r>
      <t>Fator de emissão (kg CO</t>
    </r>
    <r>
      <rPr>
        <vertAlign val="subscript"/>
        <sz val="11"/>
        <color theme="1"/>
        <rFont val="Calibri"/>
        <family val="2"/>
        <scheme val="minor"/>
      </rPr>
      <t>2</t>
    </r>
    <r>
      <rPr>
        <sz val="11"/>
        <color theme="1"/>
        <rFont val="Calibri"/>
        <family val="2"/>
        <scheme val="minor"/>
      </rPr>
      <t>e/km)</t>
    </r>
  </si>
  <si>
    <t>km/ano</t>
  </si>
  <si>
    <t>tonelada</t>
  </si>
  <si>
    <t>tonelada/ano</t>
  </si>
  <si>
    <t>Posterior a 2050</t>
  </si>
  <si>
    <t>Observações (indique a fonte ou o método e pressupostos para a determinação do fator de emissão)</t>
  </si>
  <si>
    <t xml:space="preserve">(1) Pode obter este junto do seu fornecedor de energia térmica. </t>
  </si>
  <si>
    <t>EMISSÕES INDIRETAS DE ELETRICIDADE</t>
  </si>
  <si>
    <t>OUTRAS EMISSÕES INDIRETAS</t>
  </si>
  <si>
    <t>TOTAL</t>
  </si>
  <si>
    <t>Resultados: Sumário de emissões</t>
  </si>
  <si>
    <t>Resultados por categoria de emissões</t>
  </si>
  <si>
    <t>(E) Em caso de dúvida sobre o que responder em cada questão, consulte a figura ao lado. Pode também encontrar mais informações sobre cada questão no Guia e nas restantes folhas desta ferramenta.</t>
  </si>
  <si>
    <t>acumulado</t>
  </si>
  <si>
    <t>Eletricidade em edifícios</t>
  </si>
  <si>
    <t>Energia térmica</t>
  </si>
  <si>
    <t>Eletricidade em ferrovia</t>
  </si>
  <si>
    <t xml:space="preserve">Secção 1 - Fatores de emissão para a combustão estacionária </t>
  </si>
  <si>
    <t>Tabela 10. Fatores de emissão por frota e tipo de combustível (Fonte GHG Protocol)</t>
  </si>
  <si>
    <t>Secção 6 - Fatores para a Permuta casa trabalho de colaboradores</t>
  </si>
  <si>
    <t xml:space="preserve">      Após a leitura desta folha, deve iniciar o preenchimento das folhas de acordo com as indicações fornecidas pela folha Triagem.</t>
  </si>
  <si>
    <t>A preencher:</t>
  </si>
  <si>
    <t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t>
  </si>
  <si>
    <t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t>
  </si>
  <si>
    <t>Combustível composto manufacturado a partir de finos de hulha com adição de um aglomerante. A quantidade de briquetes produzida pode, assim, ser ligeiramente mais elevada que a quantidade efectiva de hulha consumida no processo de transformação.</t>
  </si>
  <si>
    <t>Gás produzido em fábricas</t>
  </si>
  <si>
    <t>Subproduto da fabricação de coque de forno de coque para a produção de ferro e aço.</t>
  </si>
  <si>
    <t>Subproduto da produção de aço numa fornalha de oxigénio, recuperado à saída da fornalha. O gás é igualmente conhecido como gás de conversor, gás LD ou gás BOS</t>
  </si>
  <si>
    <t xml:space="preserve">Tabela 1.  Relato de outras emissões de processo - Agricultura, usos do solo e pecuária </t>
  </si>
  <si>
    <t>Geral</t>
  </si>
  <si>
    <t>Listas de tipo de atividade</t>
  </si>
  <si>
    <t>ha de área alterada / ano</t>
  </si>
  <si>
    <t>ha de área de sequestro /ano</t>
  </si>
  <si>
    <t>ha de área inundada</t>
  </si>
  <si>
    <t>kg CO2e / ha de área alterada / ano</t>
  </si>
  <si>
    <t>kg CO2e / ha de área de sequestro /ano</t>
  </si>
  <si>
    <t>kg CO2e / ha de área inundada</t>
  </si>
  <si>
    <t>Inundação de terrenos (albufeiras)</t>
  </si>
  <si>
    <t>Tipo de clima onde se encontra a albufeira</t>
  </si>
  <si>
    <t xml:space="preserve"> Categoria de uso do solo que será criada (1)</t>
  </si>
  <si>
    <t>Especifique o tipo de uso de solo</t>
  </si>
  <si>
    <t>De seguida, identifique o combustível que será utilizado.</t>
  </si>
  <si>
    <t>Se tiver dúvidas sobre o tipo de combustível da lista apresentada, encontra-se uma caixa à direita onde pode selecionar esse combustível</t>
  </si>
  <si>
    <t xml:space="preserve">Porteriormente, indique a quantidade desse combustível que será usada, em média, por ano. </t>
  </si>
  <si>
    <t>Tenha em atenção em usar as unidades que são apresentadas na coluna unidades. Se tiver os valores em unidades diferentes, terá de as converter para as unidades apresentadas</t>
  </si>
  <si>
    <t>Por favor selecione o Combustível :</t>
  </si>
  <si>
    <t>Operação de aproveitamentos hidroagrícolas, explorações pecuárias, agrícolas ou agroflorestais; operação/gestão de loteamentos urbanos.</t>
  </si>
  <si>
    <t>Perdas na rede</t>
  </si>
  <si>
    <t>FE extração de gás natural da Rússia</t>
  </si>
  <si>
    <t>Base de dados EcoInvent, referente a valor médio Europeu (origem: Rússia). Considera extração e transporte. Ano da recolha de dados: 2013.</t>
  </si>
  <si>
    <t>Notas</t>
  </si>
  <si>
    <t>(1)</t>
  </si>
  <si>
    <t>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t>
  </si>
  <si>
    <t>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t>
  </si>
  <si>
    <t>O gasóleo/óleo diesel é, antes de mais, um destilado médio que destila entre 180 oC e 380 oC. Inclui os componentes para mistura.</t>
  </si>
  <si>
    <t>Gás de Refinaria (não liquefeito)</t>
  </si>
  <si>
    <t xml:space="preserve">Nafta </t>
  </si>
  <si>
    <t>Querosene tipo Jet Fuel</t>
  </si>
  <si>
    <t>Fuelóleo</t>
  </si>
  <si>
    <t>Ceras Parafínicas</t>
  </si>
  <si>
    <t>Construção ou fase preparatória</t>
  </si>
  <si>
    <t xml:space="preserve">            Transporte de passageiros ou mercadorias realizado pelo projeto ou devido ao projeto em veículos como carros, carrinhas, camiões, autocarros. </t>
  </si>
  <si>
    <t xml:space="preserve">Frigorífico / Chiller </t>
  </si>
  <si>
    <t>Os cálculos desta calculadora são baseados em valores de perdas do IPCC que não necessariamente representam a realidade do projeto.</t>
  </si>
  <si>
    <t>Tabela 1.  Emissões de GEE por equipamentos de climatização ou refrigeração</t>
  </si>
  <si>
    <t xml:space="preserve">Inclui: qualquer queima de combustível em equipamentos fixos. Se ocorrer incineração com recuperação de energia de resíduos sólidos, nas próprias instalações do projeto, esta deve ser reportada aqui. A produção de eletricidade deve ser apenas incluída se ocorrer nas instalações do projeto. </t>
  </si>
  <si>
    <t>Inclui: 1. viagens de negócios, transporte e distribuição de produtos; 2. Quando o transporte é ou não efetuado pelo promotor; 3. Inclui transporte rodoviário, ferroviário, marítimo e fluvial (incluindo dragadores, reboques e batelões) ou aéreo; 4. Maquinaria agrícola e florestal ou qualquer outra maquinaria movida a combustível.</t>
  </si>
  <si>
    <t>Definição de Combustão Estacionária - A queima de combustíveis (fósseis) em equipamentos fixos para gerar trabalho mecânico, calor, vapor ou eletricidade, tais como caldeiras, fornos, etc.</t>
  </si>
  <si>
    <t>Operação/exploração de centros industriais; Operação de indústria extrativa, minas e pedreiras, produção de painéis fotovoltaicos ou parques eólicos; Exploração de centros de mobilidade como portos e aeroportos; construção de loteamentos, escritórios e edifícios.</t>
  </si>
  <si>
    <t>Operação/exploração de estabelecimentos comerciais, de escritórios, hoteleiros ou turísticos.</t>
  </si>
  <si>
    <t>Fase: Construção ou fase preparatória</t>
  </si>
  <si>
    <t>(Fonte: Regulamento (CE) N.º 1099/2008 do Parlamento Europeu e do Conselho, de 22 de Outubro de 2008.)</t>
  </si>
  <si>
    <t>Gasolina tipo Jet Fuel (nafta tipo Jet Fuel ou JP4)</t>
  </si>
  <si>
    <t>FE produção de combustível (kgGEE/unid)</t>
  </si>
  <si>
    <t>Definição de Combustão Móvel - refere-se às emissões do transporte de mercadorias e passageiros. Inclui transporte a montante, jusante e viagens a negócios em veículos pertencentes ou não ao promotor e ao projeto.</t>
  </si>
  <si>
    <t>Tipo de transporte</t>
  </si>
  <si>
    <t>5. Maquinaria móvel (tratores, motosserras, dragadores, etc.)</t>
  </si>
  <si>
    <t xml:space="preserve">       5. Maquinaria móvel (tratores, motosserras, etc)</t>
  </si>
  <si>
    <t xml:space="preserve">            Consumo de combustíveis de maquinaria móvel agrícola, florestal, comercial, institucional, industrial (tratores, motosserras, dragadores, etc.), usados pelo projeto.</t>
  </si>
  <si>
    <t>Fator de Emissão (kg/unid)</t>
  </si>
  <si>
    <t>Emissões parciais (t/ano)</t>
  </si>
  <si>
    <t>(t/ano)</t>
  </si>
  <si>
    <t xml:space="preserve">       Transporte a montante</t>
  </si>
  <si>
    <t xml:space="preserve">       Viagens a negócios</t>
  </si>
  <si>
    <t xml:space="preserve">       Transporte a jusante</t>
  </si>
  <si>
    <t>A. Equipamentos de climatização e refrigeração</t>
  </si>
  <si>
    <t>(D) Se selecionou "outros", ser-lhe-á pedido para indicar que substância se refere, bem como o Potencial de Aquecimento Global a 100 anos (PAG) nas respetivas unidades apresentadas. Pode consultar o PAG no capítulo 8 do volume 5 do IPCC (https://www.ipcc.ch/site/assets/uploads/2018/02/WG1AR5_Chapter08_FINAL.pdf)</t>
  </si>
  <si>
    <r>
      <t xml:space="preserve">(B) Preencha somente </t>
    </r>
    <r>
      <rPr>
        <sz val="12"/>
        <color theme="1"/>
        <rFont val="Calibri"/>
        <family val="2"/>
        <scheme val="minor"/>
      </rPr>
      <t>os</t>
    </r>
    <r>
      <rPr>
        <sz val="12"/>
        <rFont val="Calibri"/>
        <family val="2"/>
        <scheme val="minor"/>
      </rPr>
      <t xml:space="preserve">  Campos </t>
    </r>
    <r>
      <rPr>
        <b/>
        <sz val="12"/>
        <color theme="8"/>
        <rFont val="Calibri"/>
        <family val="2"/>
        <scheme val="minor"/>
      </rPr>
      <t>AZUL CLARO</t>
    </r>
    <r>
      <rPr>
        <sz val="12"/>
        <rFont val="Calibri"/>
        <family val="2"/>
        <scheme val="minor"/>
      </rPr>
      <t xml:space="preserve"> da Ferramenta. </t>
    </r>
  </si>
  <si>
    <r>
      <t>(C) No final desta secção são apresentadas as emissões totais por combustão estacionária, em tCO</t>
    </r>
    <r>
      <rPr>
        <vertAlign val="subscript"/>
        <sz val="12"/>
        <rFont val="Calibri"/>
        <family val="2"/>
        <scheme val="minor"/>
      </rPr>
      <t>2</t>
    </r>
    <r>
      <rPr>
        <sz val="12"/>
        <rFont val="Calibri"/>
        <family val="2"/>
        <scheme val="minor"/>
      </rPr>
      <t>e.</t>
    </r>
  </si>
  <si>
    <r>
      <rPr>
        <b/>
        <sz val="12"/>
        <color theme="1"/>
        <rFont val="Calibri"/>
        <family val="2"/>
        <scheme val="minor"/>
      </rPr>
      <t>Em cada secção de fase do projeto, preencha os campos a</t>
    </r>
    <r>
      <rPr>
        <sz val="12"/>
        <color theme="1"/>
        <rFont val="Calibri"/>
        <family val="2"/>
        <scheme val="minor"/>
      </rPr>
      <t xml:space="preserve"> </t>
    </r>
    <r>
      <rPr>
        <b/>
        <sz val="12"/>
        <color theme="8"/>
        <rFont val="Calibri"/>
        <family val="2"/>
        <scheme val="minor"/>
      </rPr>
      <t>Azul Claro</t>
    </r>
    <r>
      <rPr>
        <sz val="12"/>
        <color theme="1"/>
        <rFont val="Calibri"/>
        <family val="2"/>
        <scheme val="minor"/>
      </rPr>
      <t>.</t>
    </r>
  </si>
  <si>
    <r>
      <t>(kg CO</t>
    </r>
    <r>
      <rPr>
        <b/>
        <vertAlign val="subscript"/>
        <sz val="12"/>
        <rFont val="Calibri"/>
        <family val="2"/>
        <scheme val="minor"/>
      </rPr>
      <t>2</t>
    </r>
    <r>
      <rPr>
        <b/>
        <sz val="12"/>
        <rFont val="Calibri"/>
        <family val="2"/>
        <scheme val="minor"/>
      </rPr>
      <t>e /ano)</t>
    </r>
  </si>
  <si>
    <r>
      <t>(kgCO</t>
    </r>
    <r>
      <rPr>
        <b/>
        <vertAlign val="subscript"/>
        <sz val="12"/>
        <rFont val="Calibri"/>
        <family val="2"/>
        <scheme val="minor"/>
      </rPr>
      <t>2</t>
    </r>
    <r>
      <rPr>
        <b/>
        <sz val="12"/>
        <rFont val="Calibri"/>
        <family val="2"/>
        <scheme val="minor"/>
      </rPr>
      <t>e/ano)</t>
    </r>
  </si>
  <si>
    <r>
      <t>Emissões médias anuais de GEE (tCO</t>
    </r>
    <r>
      <rPr>
        <b/>
        <vertAlign val="subscript"/>
        <sz val="12"/>
        <color theme="0"/>
        <rFont val="Calibri"/>
        <family val="2"/>
        <scheme val="minor"/>
      </rPr>
      <t>2</t>
    </r>
    <r>
      <rPr>
        <b/>
        <sz val="12"/>
        <color theme="0"/>
        <rFont val="Calibri"/>
        <family val="2"/>
        <scheme val="minor"/>
      </rPr>
      <t>e/ano)</t>
    </r>
  </si>
  <si>
    <r>
      <t>Emissões médias anuais de CO</t>
    </r>
    <r>
      <rPr>
        <b/>
        <vertAlign val="subscript"/>
        <sz val="12"/>
        <color theme="0"/>
        <rFont val="Calibri"/>
        <family val="2"/>
        <scheme val="minor"/>
      </rPr>
      <t>2</t>
    </r>
    <r>
      <rPr>
        <b/>
        <sz val="12"/>
        <color theme="0"/>
        <rFont val="Calibri"/>
        <family val="2"/>
        <scheme val="minor"/>
      </rPr>
      <t xml:space="preserve"> biogénico (tCO</t>
    </r>
    <r>
      <rPr>
        <b/>
        <vertAlign val="subscript"/>
        <sz val="12"/>
        <color theme="0"/>
        <rFont val="Calibri"/>
        <family val="2"/>
        <scheme val="minor"/>
      </rPr>
      <t>2</t>
    </r>
    <r>
      <rPr>
        <b/>
        <sz val="12"/>
        <color theme="0"/>
        <rFont val="Calibri"/>
        <family val="2"/>
        <scheme val="minor"/>
      </rPr>
      <t>/ano)</t>
    </r>
  </si>
  <si>
    <r>
      <t>Emissões médias anuais de GEE da produção dos combustíveis (tCO</t>
    </r>
    <r>
      <rPr>
        <b/>
        <vertAlign val="subscript"/>
        <sz val="12"/>
        <color theme="0"/>
        <rFont val="Calibri"/>
        <family val="2"/>
        <scheme val="minor"/>
      </rPr>
      <t>2</t>
    </r>
    <r>
      <rPr>
        <b/>
        <sz val="12"/>
        <color theme="0"/>
        <rFont val="Calibri"/>
        <family val="2"/>
        <scheme val="minor"/>
      </rPr>
      <t>e/ano)</t>
    </r>
  </si>
  <si>
    <r>
      <t xml:space="preserve">Tabela 2.  Quantidade de combustível utilizado na fase de </t>
    </r>
    <r>
      <rPr>
        <b/>
        <sz val="12"/>
        <color theme="5"/>
        <rFont val="Calibri"/>
        <family val="2"/>
        <scheme val="minor"/>
      </rPr>
      <t>Exploração</t>
    </r>
  </si>
  <si>
    <r>
      <t xml:space="preserve">Tabela 3.  Quantidade de combustível utilizado na fase de </t>
    </r>
    <r>
      <rPr>
        <b/>
        <sz val="12"/>
        <color theme="5"/>
        <rFont val="Calibri"/>
        <family val="2"/>
        <scheme val="minor"/>
      </rPr>
      <t>Desativação</t>
    </r>
  </si>
  <si>
    <r>
      <t>Emissões médias anuais (tCO</t>
    </r>
    <r>
      <rPr>
        <b/>
        <vertAlign val="subscript"/>
        <sz val="12"/>
        <color theme="0"/>
        <rFont val="Calibri"/>
        <family val="2"/>
        <scheme val="minor"/>
      </rPr>
      <t>2</t>
    </r>
    <r>
      <rPr>
        <b/>
        <sz val="12"/>
        <color theme="0"/>
        <rFont val="Calibri"/>
        <family val="2"/>
        <scheme val="minor"/>
      </rPr>
      <t>e/ano)</t>
    </r>
  </si>
  <si>
    <t>Fósseis</t>
  </si>
  <si>
    <t>O projeto enquadra-se em algum dos seguintes setores e/ou atividades: produção de cimento, cal, vidro, cerâmica, ácido nítrico, etileno, aço ou chumbo? Ou possui outras atividades susceptíveis de produção de emissões de GEE de processos físicos ou químicos (que não resultem de combustão de combustíveis fósseis)?</t>
  </si>
  <si>
    <r>
      <t xml:space="preserve">Outras emissões de GEE de processo (i.e., que não resultam da queima de combustíveis fósseis) que não as industriais já reportadas na folha de </t>
    </r>
    <r>
      <rPr>
        <u/>
        <sz val="12"/>
        <color theme="1"/>
        <rFont val="Calibri"/>
        <family val="2"/>
        <scheme val="minor"/>
      </rPr>
      <t>Processos Industriais</t>
    </r>
    <r>
      <rPr>
        <sz val="12"/>
        <color theme="1"/>
        <rFont val="Calibri"/>
        <family val="2"/>
        <scheme val="minor"/>
      </rPr>
      <t xml:space="preserve">. Incluem emissões devido a alterações de usos de solo, pecuária, agricultura, tratamento e deposição de resíduos sólidos e tratamento de águas residuais e efluentes. </t>
    </r>
  </si>
  <si>
    <t>Área a eliminar no projeto (ha)</t>
  </si>
  <si>
    <t>Área a criar com o projeto (ha)</t>
  </si>
  <si>
    <t>Construção e fase preparatória</t>
  </si>
  <si>
    <t>ACRESCENTAR</t>
  </si>
  <si>
    <t xml:space="preserve">B. </t>
  </si>
  <si>
    <t>C.</t>
  </si>
  <si>
    <t>D.</t>
  </si>
  <si>
    <t>E.</t>
  </si>
  <si>
    <t>C. Resíduos e águas residuais</t>
  </si>
  <si>
    <t>Alterações aos usos do solo</t>
  </si>
  <si>
    <t>Agricultura e pecuária</t>
  </si>
  <si>
    <t>Eliminação de sobreiros para instalação elétrica</t>
  </si>
  <si>
    <t>Esta folha tem três secções:</t>
  </si>
  <si>
    <t>A. Agricultura e pecuária</t>
  </si>
  <si>
    <r>
      <t xml:space="preserve">(A) No preenchimento da tabela, só terá de preencher os campos a </t>
    </r>
    <r>
      <rPr>
        <b/>
        <sz val="12"/>
        <color theme="8" tint="0.39997558519241921"/>
        <rFont val="Calibri"/>
        <family val="2"/>
        <scheme val="minor"/>
      </rPr>
      <t>AZUL CLARO</t>
    </r>
    <r>
      <rPr>
        <sz val="12"/>
        <rFont val="Calibri"/>
        <family val="2"/>
        <scheme val="minor"/>
      </rPr>
      <t xml:space="preserve">. Alguns destes campos irão alterar a cor à medida que vai preenchendo a tabela.  </t>
    </r>
  </si>
  <si>
    <r>
      <t xml:space="preserve">(B) Comece por indicar a que </t>
    </r>
    <r>
      <rPr>
        <u/>
        <sz val="12"/>
        <color theme="1"/>
        <rFont val="Calibri"/>
        <family val="2"/>
        <scheme val="minor"/>
      </rPr>
      <t>fase do projeto</t>
    </r>
    <r>
      <rPr>
        <sz val="12"/>
        <color theme="1"/>
        <rFont val="Calibri"/>
        <family val="2"/>
        <scheme val="minor"/>
      </rPr>
      <t xml:space="preserve"> se refere a linha</t>
    </r>
  </si>
  <si>
    <r>
      <t xml:space="preserve">(E)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</si>
  <si>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r>
      <t>Emissões em CO</t>
    </r>
    <r>
      <rPr>
        <b/>
        <vertAlign val="subscript"/>
        <sz val="12"/>
        <rFont val="Calibri"/>
        <family val="2"/>
        <scheme val="minor"/>
      </rPr>
      <t>2</t>
    </r>
    <r>
      <rPr>
        <b/>
        <sz val="12"/>
        <rFont val="Calibri"/>
        <family val="2"/>
        <scheme val="minor"/>
      </rPr>
      <t>e (t)</t>
    </r>
  </si>
  <si>
    <r>
      <t>Opção 2 - Emissões não biogénicas, em kg CO</t>
    </r>
    <r>
      <rPr>
        <b/>
        <vertAlign val="subscript"/>
        <sz val="12"/>
        <color theme="1"/>
        <rFont val="Calibri"/>
        <family val="2"/>
        <scheme val="minor"/>
      </rPr>
      <t>2</t>
    </r>
    <r>
      <rPr>
        <b/>
        <sz val="12"/>
        <color theme="1"/>
        <rFont val="Calibri"/>
        <family val="2"/>
        <scheme val="minor"/>
      </rPr>
      <t>e</t>
    </r>
  </si>
  <si>
    <r>
      <t>kg CO</t>
    </r>
    <r>
      <rPr>
        <b/>
        <vertAlign val="subscript"/>
        <sz val="12"/>
        <color theme="1"/>
        <rFont val="Calibri"/>
        <family val="2"/>
        <scheme val="minor"/>
      </rPr>
      <t>2</t>
    </r>
    <r>
      <rPr>
        <b/>
        <sz val="12"/>
        <color theme="1"/>
        <rFont val="Calibri"/>
        <family val="2"/>
        <scheme val="minor"/>
      </rPr>
      <t xml:space="preserve"> (média annual)</t>
    </r>
  </si>
  <si>
    <r>
      <t>g CH</t>
    </r>
    <r>
      <rPr>
        <b/>
        <vertAlign val="subscript"/>
        <sz val="12"/>
        <color theme="1"/>
        <rFont val="Calibri"/>
        <family val="2"/>
        <scheme val="minor"/>
      </rPr>
      <t>4</t>
    </r>
    <r>
      <rPr>
        <b/>
        <sz val="12"/>
        <color theme="1"/>
        <rFont val="Calibri"/>
        <family val="2"/>
        <scheme val="minor"/>
      </rPr>
      <t xml:space="preserve"> (média annual)</t>
    </r>
  </si>
  <si>
    <r>
      <t>g N</t>
    </r>
    <r>
      <rPr>
        <b/>
        <vertAlign val="subscript"/>
        <sz val="12"/>
        <color theme="1"/>
        <rFont val="Calibri"/>
        <family val="2"/>
        <scheme val="minor"/>
      </rPr>
      <t>2</t>
    </r>
    <r>
      <rPr>
        <b/>
        <sz val="12"/>
        <color theme="1"/>
        <rFont val="Calibri"/>
        <family val="2"/>
        <scheme val="minor"/>
      </rPr>
      <t>O(média annual)</t>
    </r>
  </si>
  <si>
    <r>
      <t>Perda de carbono armazenado por área (tCO</t>
    </r>
    <r>
      <rPr>
        <b/>
        <vertAlign val="subscript"/>
        <sz val="12"/>
        <color theme="1"/>
        <rFont val="Calibri"/>
        <family val="2"/>
        <scheme val="minor"/>
      </rPr>
      <t>2</t>
    </r>
    <r>
      <rPr>
        <b/>
        <sz val="12"/>
        <color theme="1"/>
        <rFont val="Calibri"/>
        <family val="2"/>
        <scheme val="minor"/>
      </rPr>
      <t>/ha)</t>
    </r>
  </si>
  <si>
    <r>
      <t>Perda de carbono na fase do projeto (tCO</t>
    </r>
    <r>
      <rPr>
        <b/>
        <vertAlign val="subscript"/>
        <sz val="12"/>
        <color theme="1"/>
        <rFont val="Calibri"/>
        <family val="2"/>
        <scheme val="minor"/>
      </rPr>
      <t>2</t>
    </r>
    <r>
      <rPr>
        <b/>
        <sz val="12"/>
        <color theme="1"/>
        <rFont val="Calibri"/>
        <family val="2"/>
        <scheme val="minor"/>
      </rPr>
      <t>/fase)</t>
    </r>
  </si>
  <si>
    <r>
      <t>Ganhos em carbono armazenado por área (tCO</t>
    </r>
    <r>
      <rPr>
        <b/>
        <vertAlign val="subscript"/>
        <sz val="12"/>
        <color theme="1"/>
        <rFont val="Calibri"/>
        <family val="2"/>
        <scheme val="minor"/>
      </rPr>
      <t>2</t>
    </r>
    <r>
      <rPr>
        <b/>
        <sz val="12"/>
        <color theme="1"/>
        <rFont val="Calibri"/>
        <family val="2"/>
        <scheme val="minor"/>
      </rPr>
      <t>/ha.ano)</t>
    </r>
  </si>
  <si>
    <r>
      <t>Ganhos médios anuais de carbono (tCO</t>
    </r>
    <r>
      <rPr>
        <b/>
        <vertAlign val="subscript"/>
        <sz val="12"/>
        <color theme="1"/>
        <rFont val="Calibri"/>
        <family val="2"/>
        <scheme val="minor"/>
      </rPr>
      <t>2</t>
    </r>
    <r>
      <rPr>
        <b/>
        <sz val="12"/>
        <color theme="1"/>
        <rFont val="Calibri"/>
        <family val="2"/>
        <scheme val="minor"/>
      </rPr>
      <t>/ano)</t>
    </r>
  </si>
  <si>
    <r>
      <t>Ganhos acumulados de carbono por fase de projeto (tCO</t>
    </r>
    <r>
      <rPr>
        <b/>
        <vertAlign val="subscript"/>
        <sz val="12"/>
        <color theme="1"/>
        <rFont val="Calibri"/>
        <family val="2"/>
        <scheme val="minor"/>
      </rPr>
      <t>2</t>
    </r>
    <r>
      <rPr>
        <b/>
        <sz val="12"/>
        <color theme="1"/>
        <rFont val="Calibri"/>
        <family val="2"/>
        <scheme val="minor"/>
      </rPr>
      <t>/fase)</t>
    </r>
  </si>
  <si>
    <r>
      <t>Emissões de GEE (tCO</t>
    </r>
    <r>
      <rPr>
        <b/>
        <vertAlign val="subscript"/>
        <sz val="12"/>
        <color theme="1"/>
        <rFont val="Calibri"/>
        <family val="2"/>
        <scheme val="minor"/>
      </rPr>
      <t>2e</t>
    </r>
    <r>
      <rPr>
        <b/>
        <sz val="12"/>
        <color theme="1"/>
        <rFont val="Calibri"/>
        <family val="2"/>
        <scheme val="minor"/>
      </rPr>
      <t>/ha.ano)</t>
    </r>
  </si>
  <si>
    <r>
      <t>Emissões médias anuais de GEE (tCO</t>
    </r>
    <r>
      <rPr>
        <b/>
        <vertAlign val="subscript"/>
        <sz val="12"/>
        <color theme="1"/>
        <rFont val="Calibri"/>
        <family val="2"/>
        <scheme val="minor"/>
      </rPr>
      <t>2e</t>
    </r>
    <r>
      <rPr>
        <b/>
        <sz val="12"/>
        <color theme="1"/>
        <rFont val="Calibri"/>
        <family val="2"/>
        <scheme val="minor"/>
      </rPr>
      <t>/ano)</t>
    </r>
  </si>
  <si>
    <r>
      <t>Emissões acumuladas por fase do projeto (tCO</t>
    </r>
    <r>
      <rPr>
        <b/>
        <vertAlign val="subscript"/>
        <sz val="12"/>
        <color theme="1"/>
        <rFont val="Calibri"/>
        <family val="2"/>
        <scheme val="minor"/>
      </rPr>
      <t>2e</t>
    </r>
    <r>
      <rPr>
        <b/>
        <sz val="12"/>
        <color theme="1"/>
        <rFont val="Calibri"/>
        <family val="2"/>
        <scheme val="minor"/>
      </rPr>
      <t>/fase)</t>
    </r>
  </si>
  <si>
    <r>
      <t>GEE (kg CO</t>
    </r>
    <r>
      <rPr>
        <b/>
        <vertAlign val="subscript"/>
        <sz val="12"/>
        <color theme="1"/>
        <rFont val="Calibri"/>
        <family val="2"/>
        <scheme val="minor"/>
      </rPr>
      <t>2</t>
    </r>
    <r>
      <rPr>
        <b/>
        <sz val="12"/>
        <color theme="1"/>
        <rFont val="Calibri"/>
        <family val="2"/>
        <scheme val="minor"/>
      </rPr>
      <t>e) - média annual</t>
    </r>
  </si>
  <si>
    <t>Table 6-9 - fatores de cálculo INF6</t>
  </si>
  <si>
    <t>Novos calculos Puro e dominantes (arvores vivas)</t>
  </si>
  <si>
    <t>IFN6</t>
  </si>
  <si>
    <t>Mm 3</t>
  </si>
  <si>
    <t>Pb</t>
  </si>
  <si>
    <t>Sb</t>
  </si>
  <si>
    <t>Ec</t>
  </si>
  <si>
    <t>Az</t>
  </si>
  <si>
    <t>Cv</t>
  </si>
  <si>
    <t>Fd</t>
  </si>
  <si>
    <t>Pm</t>
  </si>
  <si>
    <t>Rd</t>
  </si>
  <si>
    <t>Table 6-9: Fatores de cálculo IFN6</t>
  </si>
  <si>
    <t>(G) Todos os valores pedidos dizem respeito a valores médios anuais para a fase em questão</t>
  </si>
  <si>
    <t>Tabela 3.  Relato de outras emissões de processo - residuos e águas residuais</t>
  </si>
  <si>
    <t>Inundação de terrenos (arroz)</t>
  </si>
  <si>
    <t>Outras emissões agro-pecuárias</t>
  </si>
  <si>
    <t>Quantidade da atividade (média anual)</t>
  </si>
  <si>
    <r>
      <t>GEE (kg CO</t>
    </r>
    <r>
      <rPr>
        <b/>
        <vertAlign val="subscript"/>
        <sz val="12"/>
        <color theme="1"/>
        <rFont val="Calibri"/>
        <family val="2"/>
        <scheme val="minor"/>
      </rPr>
      <t>2</t>
    </r>
    <r>
      <rPr>
        <b/>
        <sz val="12"/>
        <color theme="1"/>
        <rFont val="Calibri"/>
        <family val="2"/>
        <scheme val="minor"/>
      </rPr>
      <t>e) (média anual)</t>
    </r>
  </si>
  <si>
    <t xml:space="preserve">Emissões de GEE, distintas das emissões de combustão, que resultam de reações entre substâncias, sua transformação, incluindo reduções químicas e eletrolíticas de metais, a decomposição térmica de substâncias e produção de substâncias. Exemplos incluem a produção de cimento, cal, vidro, cerâmica, ácido nítrico, etileno, aço e chumbo. Estas emissões estão tipicamente associadas à fase de exploração. </t>
  </si>
  <si>
    <t>Especifique a atividade selecionada</t>
  </si>
  <si>
    <t xml:space="preserve">Opção 1 - fator de emissão de GEE </t>
  </si>
  <si>
    <r>
      <t>Opção 2 - Emissões de GEE, em kg CO</t>
    </r>
    <r>
      <rPr>
        <b/>
        <vertAlign val="subscript"/>
        <sz val="12"/>
        <color theme="1"/>
        <rFont val="Calibri"/>
        <family val="2"/>
        <scheme val="minor"/>
      </rPr>
      <t>2</t>
    </r>
    <r>
      <rPr>
        <b/>
        <sz val="12"/>
        <color theme="1"/>
        <rFont val="Calibri"/>
        <family val="2"/>
        <scheme val="minor"/>
      </rPr>
      <t>e</t>
    </r>
  </si>
  <si>
    <t>Opção 3 - Emissões de GEE, por gás</t>
  </si>
  <si>
    <t>Terrenos inundados (albufeiras)</t>
  </si>
  <si>
    <t>Tipo de tratamento / resíduo</t>
  </si>
  <si>
    <t>(D) Selecione o tipo de tratamento/resíduo da lista apresentada e de seguida, indique se o tratamento se efetua nas instalações do projeto (emissões diretas) ou se é efetuado fora das instalações do projeto.</t>
  </si>
  <si>
    <r>
      <t>g CH</t>
    </r>
    <r>
      <rPr>
        <b/>
        <vertAlign val="subscript"/>
        <sz val="12"/>
        <color theme="1"/>
        <rFont val="Calibri"/>
        <family val="2"/>
        <scheme val="minor"/>
      </rPr>
      <t>4</t>
    </r>
    <r>
      <rPr>
        <b/>
        <sz val="12"/>
        <color theme="1"/>
        <rFont val="Calibri"/>
        <family val="2"/>
        <scheme val="minor"/>
      </rPr>
      <t xml:space="preserve"> (média anual)</t>
    </r>
  </si>
  <si>
    <r>
      <t>g N</t>
    </r>
    <r>
      <rPr>
        <b/>
        <vertAlign val="subscript"/>
        <sz val="12"/>
        <color theme="1"/>
        <rFont val="Calibri"/>
        <family val="2"/>
        <scheme val="minor"/>
      </rPr>
      <t>2</t>
    </r>
    <r>
      <rPr>
        <b/>
        <sz val="12"/>
        <color theme="1"/>
        <rFont val="Calibri"/>
        <family val="2"/>
        <scheme val="minor"/>
      </rPr>
      <t>O(média anual)</t>
    </r>
  </si>
  <si>
    <r>
      <t>kg CO</t>
    </r>
    <r>
      <rPr>
        <b/>
        <vertAlign val="subscript"/>
        <sz val="12"/>
        <color theme="1"/>
        <rFont val="Calibri"/>
        <family val="2"/>
        <scheme val="minor"/>
      </rPr>
      <t>2</t>
    </r>
    <r>
      <rPr>
        <b/>
        <sz val="12"/>
        <color theme="1"/>
        <rFont val="Calibri"/>
        <family val="2"/>
        <scheme val="minor"/>
      </rPr>
      <t xml:space="preserve"> (média anual)</t>
    </r>
  </si>
  <si>
    <t>(1)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</si>
  <si>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Tratamento de águas residuais e efluentes (agrícolas, pecuários, industriais, ou outros)</t>
  </si>
  <si>
    <t xml:space="preserve">Para o reporte de emissões ligadas a tratamento e deposição de residuos sólidos (ex.: aterros, tratamentos biológicos, incineração sem recuperação de energia) e tratamento de águas residuais e efluentes agrícolas, industriais ou outros. </t>
  </si>
  <si>
    <r>
      <t xml:space="preserve">Para a incineração com recuperação de energia: (1) quando acontece nas instalações do projeto, deverá reportar na folha </t>
    </r>
    <r>
      <rPr>
        <u/>
        <sz val="12"/>
        <color theme="1"/>
        <rFont val="Calibri"/>
        <family val="2"/>
        <scheme val="minor"/>
      </rPr>
      <t>Combustão Estacionária</t>
    </r>
    <r>
      <rPr>
        <sz val="12"/>
        <color theme="1"/>
        <rFont val="Calibri"/>
        <family val="2"/>
        <scheme val="minor"/>
      </rPr>
      <t xml:space="preserve">; (2) quando acontece noutras instalações, não será reportado, ficando incluído no fator nacional de eletricidade. </t>
    </r>
  </si>
  <si>
    <t xml:space="preserve">B. Florestas e outros usos do solo </t>
  </si>
  <si>
    <t>Eliminação de usos de solo</t>
  </si>
  <si>
    <t>Criação ou manutenção de usos do solo</t>
  </si>
  <si>
    <t>Tipo de atividade</t>
  </si>
  <si>
    <r>
      <t xml:space="preserve">(D) Selecione o </t>
    </r>
    <r>
      <rPr>
        <u/>
        <sz val="12"/>
        <color theme="1"/>
        <rFont val="Calibri"/>
        <family val="2"/>
        <scheme val="minor"/>
      </rPr>
      <t>tipo de atividade</t>
    </r>
    <r>
      <rPr>
        <sz val="12"/>
        <color theme="1"/>
        <rFont val="Calibri"/>
        <family val="2"/>
        <scheme val="minor"/>
      </rPr>
      <t xml:space="preserve"> da lista apresentada: eliminação de usos do solo, criação ou manutenção de usos do solo, ou terrenos inundados (albufeiras). </t>
    </r>
  </si>
  <si>
    <r>
      <t>(E) Se selecionou eliminação de usos do solo, será lhe pedido que indique o tipo de uso de solo que será eliminado e a respetiva área em hectares (ha) - Colunas A.; Se o tipo de usos de solo não constar na lista fornecida ou se tiver um fator de emissão específico para a sua área, selecione a opção "ACRESCENTAR" e ser-lhe-á pedido que indique qual o uso do solo e o fator de emissão em tCO</t>
    </r>
    <r>
      <rPr>
        <vertAlign val="subscript"/>
        <sz val="12"/>
        <color theme="1"/>
        <rFont val="Calibri"/>
        <family val="2"/>
        <scheme val="minor"/>
      </rPr>
      <t>2</t>
    </r>
    <r>
      <rPr>
        <sz val="12"/>
        <color theme="1"/>
        <rFont val="Calibri"/>
        <family val="2"/>
        <scheme val="minor"/>
      </rPr>
      <t xml:space="preserve">e/ha.ano nas colunas C.; Ao preencher as colunas C., indique a fonte de informação, pressupostos ou métodos de cálculos usados para o fator de emissão.  </t>
    </r>
  </si>
  <si>
    <t xml:space="preserve">(F) O cálculo atual não contempla a existência de áreas temporariamente desarborizadas no âmbito dos povoamentos, não integrando parcelas relevantes como a biomassa no sob coberto, biomassa morta e folhada. </t>
  </si>
  <si>
    <t>(I) Se selecionou "terrenos inundados (albufeiras)", ser-lhe-á pedido que indique o tipo de clima na área onde a albufeira será instalada e a área - coluna E.</t>
  </si>
  <si>
    <t>Área inundada (ha)</t>
  </si>
  <si>
    <t>F. Eliminação de usos do solo</t>
  </si>
  <si>
    <t>G. Criação ou manutenção de usos do solo</t>
  </si>
  <si>
    <t>H. Terrenos inundados (albufeiras)</t>
  </si>
  <si>
    <t xml:space="preserve">       Emissões de GEE de florestas e outros usos do solo</t>
  </si>
  <si>
    <t xml:space="preserve">              Criação ou manutenção de usos do solo</t>
  </si>
  <si>
    <t xml:space="preserve">              Eliminação de usos do solo</t>
  </si>
  <si>
    <t xml:space="preserve">       Emissões de GEE de agricultura e pecuária (inclui terrenos inundados)</t>
  </si>
  <si>
    <t xml:space="preserve">              Emissões diretas</t>
  </si>
  <si>
    <t xml:space="preserve">              Emissões indiretas</t>
  </si>
  <si>
    <r>
      <t xml:space="preserve">(C) Preencha somente os campos a </t>
    </r>
    <r>
      <rPr>
        <b/>
        <sz val="12"/>
        <color theme="8" tint="0.39997558519241921"/>
        <rFont val="Calibri"/>
        <family val="2"/>
        <scheme val="minor"/>
      </rPr>
      <t>AZUL CLARO</t>
    </r>
    <r>
      <rPr>
        <sz val="12"/>
        <rFont val="Calibri"/>
        <family val="2"/>
        <scheme val="minor"/>
      </rPr>
      <t xml:space="preserve"> da ferramenta.</t>
    </r>
  </si>
  <si>
    <r>
      <t>Fator de emissão da eletricidade médio para a fase do projeto (t CO</t>
    </r>
    <r>
      <rPr>
        <b/>
        <vertAlign val="subscript"/>
        <sz val="12"/>
        <color theme="1"/>
        <rFont val="Calibri"/>
        <family val="2"/>
        <scheme val="minor"/>
      </rPr>
      <t>2</t>
    </r>
    <r>
      <rPr>
        <b/>
        <sz val="12"/>
        <color theme="1"/>
        <rFont val="Calibri"/>
        <family val="2"/>
        <scheme val="minor"/>
      </rPr>
      <t>e/MWh)</t>
    </r>
  </si>
  <si>
    <r>
      <t>Emissões de GEE médias anuais (tCO</t>
    </r>
    <r>
      <rPr>
        <b/>
        <vertAlign val="subscript"/>
        <sz val="12"/>
        <color theme="1"/>
        <rFont val="Calibri"/>
        <family val="2"/>
        <scheme val="minor"/>
      </rPr>
      <t>2</t>
    </r>
    <r>
      <rPr>
        <b/>
        <sz val="12"/>
        <color theme="1"/>
        <rFont val="Calibri"/>
        <family val="2"/>
        <scheme val="minor"/>
      </rPr>
      <t>eq/ano)</t>
    </r>
  </si>
  <si>
    <r>
      <t xml:space="preserve">(D) Preencha somente os campos a </t>
    </r>
    <r>
      <rPr>
        <b/>
        <sz val="12"/>
        <color theme="8" tint="0.39997558519241921"/>
        <rFont val="Calibri"/>
        <family val="2"/>
        <scheme val="minor"/>
      </rPr>
      <t>AZUL CLARO</t>
    </r>
    <r>
      <rPr>
        <b/>
        <sz val="12"/>
        <color rgb="FFFF6600"/>
        <rFont val="Calibri"/>
        <family val="2"/>
        <scheme val="minor"/>
      </rPr>
      <t xml:space="preserve"> </t>
    </r>
    <r>
      <rPr>
        <sz val="12"/>
        <rFont val="Calibri"/>
        <family val="2"/>
        <scheme val="minor"/>
      </rPr>
      <t>da ferramenta.</t>
    </r>
  </si>
  <si>
    <r>
      <t>Emissões acumuladas do projeto (tCO</t>
    </r>
    <r>
      <rPr>
        <b/>
        <vertAlign val="subscript"/>
        <sz val="12"/>
        <color theme="0"/>
        <rFont val="Calibri"/>
        <family val="2"/>
        <scheme val="minor"/>
      </rPr>
      <t>2</t>
    </r>
    <r>
      <rPr>
        <b/>
        <sz val="12"/>
        <color theme="0"/>
        <rFont val="Calibri"/>
        <family val="2"/>
        <scheme val="minor"/>
      </rPr>
      <t>e)</t>
    </r>
  </si>
  <si>
    <t>Emissões de energia térmica adquirida</t>
  </si>
  <si>
    <t>Emissões de eletricidade adquirida</t>
  </si>
  <si>
    <r>
      <t xml:space="preserve">Tabela 1.  Quantidade de combustível utilizado na fase de </t>
    </r>
    <r>
      <rPr>
        <b/>
        <sz val="12"/>
        <color theme="5"/>
        <rFont val="Calibri"/>
        <family val="2"/>
        <scheme val="minor"/>
      </rPr>
      <t>Construção ou Fase Preparatória</t>
    </r>
  </si>
  <si>
    <t xml:space="preserve">               Fração proveniente do transporte em ferrovia relatado em combustão móvel</t>
  </si>
  <si>
    <t>A. Emissões evitadas de projetos de eletricidade renovável ligados à rede elétrica</t>
  </si>
  <si>
    <t xml:space="preserve">B. Outras emissões evitadas </t>
  </si>
  <si>
    <t xml:space="preserve">Ferramenta de cálculo para projetos de instalação de produção elétrica de origem renovável, desde que ligados à rede. </t>
  </si>
  <si>
    <r>
      <t>Fator de emissão da eletricidade consumida (tCO</t>
    </r>
    <r>
      <rPr>
        <b/>
        <vertAlign val="subscript"/>
        <sz val="12"/>
        <rFont val="Calibri"/>
        <family val="2"/>
        <scheme val="minor"/>
      </rPr>
      <t>2</t>
    </r>
    <r>
      <rPr>
        <b/>
        <sz val="12"/>
        <rFont val="Calibri"/>
        <family val="2"/>
        <scheme val="minor"/>
      </rPr>
      <t>e/MWh)</t>
    </r>
  </si>
  <si>
    <t>Produção média anual esperada com o projeto de produção de eletricidade (MWh/ano)</t>
  </si>
  <si>
    <t>Ano de entrada em funcionamento</t>
  </si>
  <si>
    <r>
      <t xml:space="preserve">(A) Preencha somente os campos a </t>
    </r>
    <r>
      <rPr>
        <b/>
        <sz val="12"/>
        <color theme="8" tint="0.39997558519241921"/>
        <rFont val="Calibri"/>
        <family val="2"/>
        <scheme val="minor"/>
      </rPr>
      <t>AZUL CLARO</t>
    </r>
    <r>
      <rPr>
        <sz val="12"/>
        <rFont val="Calibri"/>
        <family val="2"/>
        <scheme val="minor"/>
      </rPr>
      <t xml:space="preserve"> da ferramenta.</t>
    </r>
  </si>
  <si>
    <r>
      <t>(B) comece por indicar a</t>
    </r>
    <r>
      <rPr>
        <u/>
        <sz val="12"/>
        <rFont val="Calibri"/>
        <family val="2"/>
        <scheme val="minor"/>
      </rPr>
      <t xml:space="preserve"> fase do projeto</t>
    </r>
    <r>
      <rPr>
        <sz val="12"/>
        <rFont val="Calibri"/>
        <family val="2"/>
        <scheme val="minor"/>
      </rPr>
      <t xml:space="preserve"> a que a linha diz respeito.</t>
    </r>
  </si>
  <si>
    <t>(C) Indique o ano em que o projeto estará a funcionar plenamente.</t>
  </si>
  <si>
    <t>(D) Indique a produção média esperada por ano em MWh.</t>
  </si>
  <si>
    <t>Tabela 1 - Emissões evitadas de projetos de eletricidade renovável ligados à rede elétrica</t>
  </si>
  <si>
    <t>B. Outras emissões evitadas (folha de reporte)</t>
  </si>
  <si>
    <t>Designação do projeto</t>
  </si>
  <si>
    <t>Central de digestão anaeróbia</t>
  </si>
  <si>
    <t>Descrição de como foi definido e estimado o contrafactual</t>
  </si>
  <si>
    <t>Definição do contrafactual - cenário sem projeto</t>
  </si>
  <si>
    <t>Os efeitos em termos de emissões considerados foram os efeitos diretos em termos de (…), e os efeitos indiretos em termos de (…). Os cálculos foram efetuados considerando o modelo A, (Peter and Charles, 2022).</t>
  </si>
  <si>
    <r>
      <t>Emissões de GEE acumuladas do contrafactual - (tCO</t>
    </r>
    <r>
      <rPr>
        <b/>
        <vertAlign val="subscript"/>
        <sz val="12"/>
        <rFont val="Calibri"/>
        <family val="2"/>
        <scheme val="minor"/>
      </rPr>
      <t>2</t>
    </r>
    <r>
      <rPr>
        <b/>
        <sz val="12"/>
        <rFont val="Calibri"/>
        <family val="2"/>
        <scheme val="minor"/>
      </rPr>
      <t>e/projeto)</t>
    </r>
  </si>
  <si>
    <r>
      <t>Emissões de GEE acumuladas evitadas (i.e., com o projeto) - (tCO</t>
    </r>
    <r>
      <rPr>
        <b/>
        <vertAlign val="subscript"/>
        <sz val="12"/>
        <rFont val="Calibri"/>
        <family val="2"/>
        <scheme val="minor"/>
      </rPr>
      <t>2</t>
    </r>
    <r>
      <rPr>
        <b/>
        <sz val="12"/>
        <rFont val="Calibri"/>
        <family val="2"/>
        <scheme val="minor"/>
      </rPr>
      <t>e)</t>
    </r>
  </si>
  <si>
    <t>Tabela 2 - Outras emissões evitadas</t>
  </si>
  <si>
    <t>Breve descrição deste projeto (incluir número de anos de funcionamento de projeto)</t>
  </si>
  <si>
    <t xml:space="preserve">Instalação de um digestor anaeróbio para decomposição dos estrumes do gado. Horizonte temporal de 30 anos. </t>
  </si>
  <si>
    <t xml:space="preserve">O cenário considerado para o contrafactual foi (…) que é a alternativa mais comum. Considerou-se 30 anos. A evolução no tempo considera uma melhoria de eficiência de emissões em (…) durante os 30 anos, compatível com o esperado para este tipo de tecnologias (fonte: (…)). </t>
  </si>
  <si>
    <t>Emissões de GEE</t>
  </si>
  <si>
    <t>O projeto envolve a instalação de centrais para produção de energia elétrica por fontes renováveis? Ou qualquer outra fonte de emissões evitadas?</t>
  </si>
  <si>
    <t>EMISSÕES DIRETAS sem usos do solo</t>
  </si>
  <si>
    <r>
      <t>Média anual (tCO</t>
    </r>
    <r>
      <rPr>
        <b/>
        <vertAlign val="subscript"/>
        <sz val="12"/>
        <color theme="0"/>
        <rFont val="Calibri"/>
        <family val="2"/>
        <scheme val="minor"/>
      </rPr>
      <t>2</t>
    </r>
    <r>
      <rPr>
        <b/>
        <sz val="12"/>
        <color theme="0"/>
        <rFont val="Calibri"/>
        <family val="2"/>
        <scheme val="minor"/>
      </rPr>
      <t>e/ano)</t>
    </r>
  </si>
  <si>
    <r>
      <t>Total acumulado (tCO</t>
    </r>
    <r>
      <rPr>
        <b/>
        <vertAlign val="subscript"/>
        <sz val="12"/>
        <color theme="0"/>
        <rFont val="Calibri"/>
        <family val="2"/>
        <scheme val="minor"/>
      </rPr>
      <t>2</t>
    </r>
    <r>
      <rPr>
        <b/>
        <sz val="12"/>
        <color theme="0"/>
        <rFont val="Calibri"/>
        <family val="2"/>
        <scheme val="minor"/>
      </rPr>
      <t>e)</t>
    </r>
  </si>
  <si>
    <t>USOS DO SOLO</t>
  </si>
  <si>
    <t xml:space="preserve">EMISSÕES EVITADAS </t>
  </si>
  <si>
    <t>Emissões evitadas</t>
  </si>
  <si>
    <t>média anual</t>
  </si>
  <si>
    <t>Emissões diretas (sem usos do solo)</t>
  </si>
  <si>
    <t xml:space="preserve">(H) Para a criação e manutenção de usos do solo, e no caso particular de espécies florestais, apenas se deve reportar as área florestais sem uso comercial da sua madeira, ou seja, sem abate previsto durante o projeto. </t>
  </si>
  <si>
    <t xml:space="preserve">       Emissões de resíduos e águas residuais</t>
  </si>
  <si>
    <t>O tratamento do resíduo é efetuado nas instalações do projeto?</t>
  </si>
  <si>
    <t>Compra média anual de eletricidade (MWh/ano)</t>
  </si>
  <si>
    <t xml:space="preserve">Reporte aqui as emissões relacionadas com a produção de quente, frio ou vapor a virem a ser adquiridos para o projeto. Secção de reporte. </t>
  </si>
  <si>
    <t>B. Energia térmica (secção de reporte)</t>
  </si>
  <si>
    <r>
      <t>Fator de emissão de GEE médio anual da produção da energia térmica consumida (kgCO</t>
    </r>
    <r>
      <rPr>
        <b/>
        <vertAlign val="subscript"/>
        <sz val="12"/>
        <color theme="1"/>
        <rFont val="Calibri"/>
        <family val="2"/>
        <scheme val="minor"/>
      </rPr>
      <t>2</t>
    </r>
    <r>
      <rPr>
        <b/>
        <sz val="12"/>
        <color theme="1"/>
        <rFont val="Calibri"/>
        <family val="2"/>
        <scheme val="minor"/>
      </rPr>
      <t>e /kWh) (1)</t>
    </r>
  </si>
  <si>
    <t>Valor cedido pelo fornecedor a contratar</t>
  </si>
  <si>
    <r>
      <t>Emissões médias anuais de GEE (tCO</t>
    </r>
    <r>
      <rPr>
        <b/>
        <vertAlign val="subscript"/>
        <sz val="12"/>
        <color theme="1"/>
        <rFont val="Calibri"/>
        <family val="2"/>
        <scheme val="minor"/>
      </rPr>
      <t>2</t>
    </r>
    <r>
      <rPr>
        <b/>
        <sz val="12"/>
        <color theme="1"/>
        <rFont val="Calibri"/>
        <family val="2"/>
        <scheme val="minor"/>
      </rPr>
      <t xml:space="preserve"> e/ano)</t>
    </r>
  </si>
  <si>
    <t>Veículo elétrico 1</t>
  </si>
  <si>
    <r>
      <t xml:space="preserve">(B) A unidade de entrada para os cálculos é </t>
    </r>
    <r>
      <rPr>
        <b/>
        <sz val="12"/>
        <rFont val="Calibri"/>
        <family val="2"/>
        <scheme val="minor"/>
      </rPr>
      <t>MWh</t>
    </r>
    <r>
      <rPr>
        <sz val="12"/>
        <rFont val="Calibri"/>
        <family val="2"/>
        <scheme val="minor"/>
      </rPr>
      <t xml:space="preserve"> (MegaWatt-hora).</t>
    </r>
  </si>
  <si>
    <r>
      <t>(B) Comece por indicar a</t>
    </r>
    <r>
      <rPr>
        <u/>
        <sz val="12"/>
        <rFont val="Calibri"/>
        <family val="2"/>
        <scheme val="minor"/>
      </rPr>
      <t xml:space="preserve"> fase do projeto</t>
    </r>
    <r>
      <rPr>
        <sz val="12"/>
        <rFont val="Calibri"/>
        <family val="2"/>
        <scheme val="minor"/>
      </rPr>
      <t xml:space="preserve"> a que a linha diz respeito.</t>
    </r>
  </si>
  <si>
    <r>
      <t>Emissões evitadas de projetos de eletricidade ligados à rede elétrica (tCO</t>
    </r>
    <r>
      <rPr>
        <b/>
        <vertAlign val="subscript"/>
        <sz val="12"/>
        <color theme="0"/>
        <rFont val="Calibri"/>
        <family val="2"/>
        <scheme val="minor"/>
      </rPr>
      <t>2</t>
    </r>
    <r>
      <rPr>
        <b/>
        <sz val="12"/>
        <color theme="0"/>
        <rFont val="Calibri"/>
        <family val="2"/>
        <scheme val="minor"/>
      </rPr>
      <t>e)</t>
    </r>
  </si>
  <si>
    <r>
      <t>Emissões evitadas de outros projetos  (tCO</t>
    </r>
    <r>
      <rPr>
        <b/>
        <vertAlign val="subscript"/>
        <sz val="12"/>
        <color theme="0"/>
        <rFont val="Calibri"/>
        <family val="2"/>
        <scheme val="minor"/>
      </rPr>
      <t>2</t>
    </r>
    <r>
      <rPr>
        <b/>
        <sz val="12"/>
        <color theme="0"/>
        <rFont val="Calibri"/>
        <family val="2"/>
        <scheme val="minor"/>
      </rPr>
      <t>e)</t>
    </r>
  </si>
  <si>
    <t>Caso não exista valor padrão ou o seu valor for diferente deste, indique aqui o seu valor</t>
  </si>
  <si>
    <t>Produto</t>
  </si>
  <si>
    <t>Clínquer</t>
  </si>
  <si>
    <t>Cal</t>
  </si>
  <si>
    <t>Vidro</t>
  </si>
  <si>
    <t>Ácido nítrico</t>
  </si>
  <si>
    <t>Etileno</t>
  </si>
  <si>
    <t>Aço</t>
  </si>
  <si>
    <t>Chumbo</t>
  </si>
  <si>
    <t>Fertilizantes</t>
  </si>
  <si>
    <t>Outros bens e serviços</t>
  </si>
  <si>
    <t>Equipamentos e outros bens de capital</t>
  </si>
  <si>
    <r>
      <t>kg CO</t>
    </r>
    <r>
      <rPr>
        <vertAlign val="subscript"/>
        <sz val="11"/>
        <color theme="1"/>
        <rFont val="Calibri"/>
        <family val="2"/>
        <scheme val="minor"/>
      </rPr>
      <t>2</t>
    </r>
    <r>
      <rPr>
        <sz val="11"/>
        <color theme="1"/>
        <rFont val="Calibri"/>
        <family val="2"/>
        <scheme val="minor"/>
      </rPr>
      <t>e / unid</t>
    </r>
  </si>
  <si>
    <t xml:space="preserve">A. Fase do projeto </t>
  </si>
  <si>
    <t>C. Caso esta coluna se encontre azul, especifique o bem que selecionou em B.</t>
  </si>
  <si>
    <t>Opção 2 - Emissões de GEE</t>
  </si>
  <si>
    <t>Opção 3 - Emissões por gás</t>
  </si>
  <si>
    <t>Valor obtido da fábrica x em Aveiro</t>
  </si>
  <si>
    <r>
      <t>Emissões médias anuais de GEE (tCO</t>
    </r>
    <r>
      <rPr>
        <b/>
        <vertAlign val="subscript"/>
        <sz val="12"/>
        <rFont val="Calibri"/>
        <family val="2"/>
        <scheme val="minor"/>
      </rPr>
      <t>2</t>
    </r>
    <r>
      <rPr>
        <b/>
        <sz val="12"/>
        <rFont val="Calibri"/>
        <family val="2"/>
        <scheme val="minor"/>
      </rPr>
      <t>e/ano)</t>
    </r>
  </si>
  <si>
    <r>
      <t>Emissões médias anuais de GEE (t CO</t>
    </r>
    <r>
      <rPr>
        <b/>
        <vertAlign val="subscript"/>
        <sz val="12"/>
        <color theme="0"/>
        <rFont val="Calibri"/>
        <family val="2"/>
        <scheme val="minor"/>
      </rPr>
      <t>2</t>
    </r>
    <r>
      <rPr>
        <b/>
        <sz val="12"/>
        <color theme="0"/>
        <rFont val="Calibri"/>
        <family val="2"/>
        <scheme val="minor"/>
      </rPr>
      <t>e/ano)</t>
    </r>
  </si>
  <si>
    <r>
      <t>Emissões acumuladas de GEE (t CO</t>
    </r>
    <r>
      <rPr>
        <b/>
        <vertAlign val="subscript"/>
        <sz val="12"/>
        <color theme="0"/>
        <rFont val="Calibri"/>
        <family val="2"/>
        <scheme val="minor"/>
      </rPr>
      <t>2</t>
    </r>
    <r>
      <rPr>
        <b/>
        <sz val="12"/>
        <color theme="0"/>
        <rFont val="Calibri"/>
        <family val="2"/>
        <scheme val="minor"/>
      </rPr>
      <t>e)</t>
    </r>
  </si>
  <si>
    <t xml:space="preserve">(C) O tipo de bem a que a linha se refere. </t>
  </si>
  <si>
    <t>D. Consumo médio anual do Bem</t>
  </si>
  <si>
    <r>
      <t>E. Fator de emissão (kg CO</t>
    </r>
    <r>
      <rPr>
        <b/>
        <vertAlign val="subscript"/>
        <sz val="12"/>
        <color theme="1"/>
        <rFont val="Calibri"/>
        <family val="2"/>
        <scheme val="minor"/>
      </rPr>
      <t>2</t>
    </r>
    <r>
      <rPr>
        <b/>
        <sz val="12"/>
        <color theme="1"/>
        <rFont val="Calibri"/>
        <family val="2"/>
        <scheme val="minor"/>
      </rPr>
      <t>e/ unid)</t>
    </r>
  </si>
  <si>
    <t xml:space="preserve">(E) Depois, indique a quantidade de Bem que espera aquirir em média por ano.  Tenha em atenção às unidades. Em certos casos, a ferramenta irá pedir-lhe que indique as unidades do Bem. </t>
  </si>
  <si>
    <r>
      <t xml:space="preserve">(F)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t>
    </r>
  </si>
  <si>
    <t xml:space="preserve">Aquisição de bens e serviços
</t>
  </si>
  <si>
    <t>B. Produto produzido pelo projeto</t>
  </si>
  <si>
    <t>C. Tipologia de emissões a reportar</t>
  </si>
  <si>
    <t>Veículos automóveis a gasóleo</t>
  </si>
  <si>
    <t>Emissões do uso do produto</t>
  </si>
  <si>
    <t>Emissões do tratamento final do produto</t>
  </si>
  <si>
    <t>Emissões do fim de vida do produto</t>
  </si>
  <si>
    <t>Tipologia de emissões a reportar</t>
  </si>
  <si>
    <t>D. Produção média anual do Produto</t>
  </si>
  <si>
    <t>F. Observações (indique como obteve o valor (fonte, breve descrição metodológica, pressupostos)</t>
  </si>
  <si>
    <r>
      <t>G. Emissões médias anuais de GEE (tCO</t>
    </r>
    <r>
      <rPr>
        <b/>
        <vertAlign val="subscript"/>
        <sz val="12"/>
        <rFont val="Calibri"/>
        <family val="2"/>
        <scheme val="minor"/>
      </rPr>
      <t>2</t>
    </r>
    <r>
      <rPr>
        <b/>
        <sz val="12"/>
        <rFont val="Calibri"/>
        <family val="2"/>
        <scheme val="minor"/>
      </rPr>
      <t>e/ano)</t>
    </r>
  </si>
  <si>
    <t>número de veículos</t>
  </si>
  <si>
    <t>Valor teve em conta as distâncias médias percorridas por veículos por ano em Portugal (CENSUS 21), numa condução média urbana.</t>
  </si>
  <si>
    <t>Tabela 1.  Relato para as emissões associadas aos produtos produzidos pelo projeto</t>
  </si>
  <si>
    <r>
      <t xml:space="preserve">(A) No preenchimento da tabela, só terá de preencher os campos a </t>
    </r>
    <r>
      <rPr>
        <b/>
        <sz val="12"/>
        <color theme="8" tint="-0.249977111117893"/>
        <rFont val="Calibri"/>
        <family val="2"/>
        <scheme val="minor"/>
      </rPr>
      <t>AZUL CLARO</t>
    </r>
    <r>
      <rPr>
        <sz val="12"/>
        <rFont val="Calibri"/>
        <family val="2"/>
        <scheme val="minor"/>
      </rPr>
      <t xml:space="preserve">. Alguns destes campos irão alterar a cor à medida que vai preenchendo a tabela.  </t>
    </r>
  </si>
  <si>
    <t xml:space="preserve">(C) Indique o produto que irá produzir com o projeto. </t>
  </si>
  <si>
    <t xml:space="preserve">(D) Indique, da lista selecionada, que tipo de emissões vai reportar em relação ao produto que indicou anteriormente. </t>
  </si>
  <si>
    <t>Tempo de vida do produto (anos) (1)</t>
  </si>
  <si>
    <t xml:space="preserve">(1) Arredondar o valor para cima, por exemplo, se o tempo de vida for inferior a um ano, deverá indicar 1. </t>
  </si>
  <si>
    <t xml:space="preserve">(F) Ser-lhe-á pedido que indique o fator de emissão de GEE, por ano, por produto, que espera ter. Este fator de emissão diz respeito à tipologia de emissões indicada em C. Assim: </t>
  </si>
  <si>
    <t>O fator de emissão "E." refere-se a:</t>
  </si>
  <si>
    <t>Fator de emissão refere-se a:</t>
  </si>
  <si>
    <t>(G) Indique como obteve o fator de emissão, nomeadamente, a fonte do valor, metodologias e pressupostos utilizados</t>
  </si>
  <si>
    <t xml:space="preserve">Uso dos produtos do projeto
</t>
  </si>
  <si>
    <t>Uso dos produtos do projeto</t>
  </si>
  <si>
    <t>Em 2021, percentagem de pessoas que conduziram para o trabalho</t>
  </si>
  <si>
    <t>% passageiro veículo</t>
  </si>
  <si>
    <t>FE passageiro de veículo</t>
  </si>
  <si>
    <t>emissões kg</t>
  </si>
  <si>
    <t xml:space="preserve">Haverá lugar no projeto à produção de produtos? </t>
  </si>
  <si>
    <t>Aquisição de bens e serviços</t>
  </si>
  <si>
    <t>A. Agricultura, e pecuária (Secção apenas para reporte de emissões)</t>
  </si>
  <si>
    <t xml:space="preserve">Esta secção da ferramenta inclui a emissão de GEE associadas à produção de bens, serviços e bens de capital adquiridos para o projeto. Estes incluem matérias-primas, materiais, reagentes, produtos, serviços, equipamentos, infraestruturas. É particularmente relevante se houver a aquisição de clínquer/cimento (para construção de infraestruturas, por exemplo), vidro, cal, carbonatos/cerâmicas, ácido nítrico, etileno, aço, chumbo ou fertilizantes. </t>
  </si>
  <si>
    <t xml:space="preserve">B. Produtos e serviços, bens de capital ou combustíveis adquiridos </t>
  </si>
  <si>
    <t>Tabela 1.  Relato de produtos e serviços ou bens de capital adquiridos</t>
  </si>
  <si>
    <t>Emissões do fim de vida do produto (i.e., emissões de GEE do tratamento e destino final)</t>
  </si>
  <si>
    <r>
      <t xml:space="preserve">(B) Posteriormente, preencha a folha </t>
    </r>
    <r>
      <rPr>
        <i/>
        <u/>
        <sz val="14"/>
        <color theme="1"/>
        <rFont val="Calibri"/>
        <family val="2"/>
        <scheme val="minor"/>
      </rPr>
      <t>Triagem</t>
    </r>
    <r>
      <rPr>
        <sz val="14"/>
        <color theme="1"/>
        <rFont val="Calibri"/>
        <family val="2"/>
        <scheme val="minor"/>
      </rPr>
      <t xml:space="preserve">. </t>
    </r>
  </si>
  <si>
    <r>
      <t xml:space="preserve">(C) Cada folha contém no início instruções específicas para o correto preenchimento da mesma. Estas encontram-se com fundo </t>
    </r>
    <r>
      <rPr>
        <b/>
        <sz val="14"/>
        <color theme="5"/>
        <rFont val="Calibri"/>
        <family val="2"/>
        <scheme val="minor"/>
      </rPr>
      <t>LARANJA</t>
    </r>
    <r>
      <rPr>
        <sz val="14"/>
        <color theme="1"/>
        <rFont val="Calibri"/>
        <family val="2"/>
        <scheme val="minor"/>
      </rPr>
      <t xml:space="preserve">. Deve ler cuidadosamente estas instruções. </t>
    </r>
  </si>
  <si>
    <r>
      <t xml:space="preserve">(E) De seguida, deve preencher a folha </t>
    </r>
    <r>
      <rPr>
        <i/>
        <u/>
        <sz val="14"/>
        <color theme="1"/>
        <rFont val="Calibri"/>
        <family val="2"/>
        <scheme val="minor"/>
      </rPr>
      <t>Dados Gerais</t>
    </r>
    <r>
      <rPr>
        <sz val="14"/>
        <color theme="1"/>
        <rFont val="Calibri"/>
        <family val="2"/>
        <scheme val="minor"/>
      </rPr>
      <t xml:space="preserve">. </t>
    </r>
  </si>
  <si>
    <r>
      <t xml:space="preserve">(D)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</si>
  <si>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(A) Responda às questões da coluna </t>
    </r>
    <r>
      <rPr>
        <i/>
        <u/>
        <sz val="14"/>
        <rFont val="Calibri"/>
        <family val="2"/>
        <scheme val="minor"/>
      </rPr>
      <t>Questão</t>
    </r>
    <r>
      <rPr>
        <sz val="14"/>
        <rFont val="Calibri"/>
        <family val="2"/>
        <scheme val="minor"/>
      </rPr>
      <t xml:space="preserve"> na coluna </t>
    </r>
    <r>
      <rPr>
        <i/>
        <u/>
        <sz val="14"/>
        <rFont val="Calibri"/>
        <family val="2"/>
        <scheme val="minor"/>
      </rPr>
      <t>Resposta</t>
    </r>
    <r>
      <rPr>
        <sz val="14"/>
        <rFont val="Calibri"/>
        <family val="2"/>
        <scheme val="minor"/>
      </rPr>
      <t>, selecionado "Sim" caso se aplique ao projeto ou "Não", caso não se aplique ao projeto.</t>
    </r>
  </si>
  <si>
    <r>
      <t xml:space="preserve">(B) As folhas apresentadas na coluna </t>
    </r>
    <r>
      <rPr>
        <i/>
        <u/>
        <sz val="14"/>
        <rFont val="Calibri"/>
        <family val="2"/>
        <scheme val="minor"/>
      </rPr>
      <t>Folhas a preencher</t>
    </r>
    <r>
      <rPr>
        <sz val="14"/>
        <rFont val="Calibri"/>
        <family val="2"/>
        <scheme val="minor"/>
      </rPr>
      <t xml:space="preserve"> referem-se às folhas da ferramenta que tem de preencher para obter as emissões GEE do projeto</t>
    </r>
  </si>
  <si>
    <r>
      <t xml:space="preserve">(C) Há folhas que serão sempre necessárias preencher, independentemente das respostas que der às questões. Exemplo: </t>
    </r>
    <r>
      <rPr>
        <i/>
        <u/>
        <sz val="14"/>
        <rFont val="Calibri"/>
        <family val="2"/>
        <scheme val="minor"/>
      </rPr>
      <t>Dados gerais</t>
    </r>
    <r>
      <rPr>
        <sz val="14"/>
        <rFont val="Calibri"/>
        <family val="2"/>
        <scheme val="minor"/>
      </rPr>
      <t xml:space="preserve">. </t>
    </r>
  </si>
  <si>
    <r>
      <t xml:space="preserve">(D) Preencha somente as </t>
    </r>
    <r>
      <rPr>
        <sz val="14"/>
        <color theme="1"/>
        <rFont val="Calibri"/>
        <family val="2"/>
        <scheme val="minor"/>
      </rPr>
      <t>campos</t>
    </r>
    <r>
      <rPr>
        <sz val="14"/>
        <rFont val="Calibri"/>
        <family val="2"/>
        <scheme val="minor"/>
      </rPr>
      <t xml:space="preserve"> </t>
    </r>
    <r>
      <rPr>
        <b/>
        <sz val="14"/>
        <color theme="8"/>
        <rFont val="Calibri"/>
        <family val="2"/>
        <scheme val="minor"/>
      </rPr>
      <t>AZUL CLARO</t>
    </r>
    <r>
      <rPr>
        <sz val="14"/>
        <rFont val="Calibri"/>
        <family val="2"/>
        <scheme val="minor"/>
      </rPr>
      <t xml:space="preserve"> da Ferramenta. </t>
    </r>
  </si>
  <si>
    <r>
      <t xml:space="preserve">(A) </t>
    </r>
    <r>
      <rPr>
        <b/>
        <sz val="12"/>
        <rFont val="Calibri"/>
        <family val="2"/>
        <scheme val="minor"/>
      </rPr>
      <t xml:space="preserve">O primeiro passo para a utilização da ferramenta é a definição dos anos de início e da duração de cada fase do projeto (este último, se não souber, deixe por preencher). </t>
    </r>
    <r>
      <rPr>
        <sz val="12"/>
        <rFont val="Calibri"/>
        <family val="2"/>
        <scheme val="minor"/>
      </rPr>
      <t>Esta escolha é essencial, pois há fatores de emissão que variam com base nos anos escolhidos.</t>
    </r>
  </si>
  <si>
    <r>
      <t xml:space="preserve">(B) Preencha somente as Campos </t>
    </r>
    <r>
      <rPr>
        <b/>
        <sz val="12"/>
        <color theme="8"/>
        <rFont val="Calibri"/>
        <family val="2"/>
        <scheme val="minor"/>
      </rPr>
      <t>AZUL CLARO</t>
    </r>
    <r>
      <rPr>
        <sz val="12"/>
        <rFont val="Calibri"/>
        <family val="2"/>
        <scheme val="minor"/>
      </rPr>
      <t xml:space="preserve"> das Folhas da Ferramenta.</t>
    </r>
  </si>
  <si>
    <t>Data/Ano de preenchimento:</t>
  </si>
  <si>
    <t>O projeto envolve a aquisição de bens e serviços, nomeadamente, matérias-primas, materiais, reagentes, produtos, serviços, equipamentos e infraestruturas? Irão ser contratados serviços com consumos de energia associados (ex.: serviços de desmatamento ou desflorestação, não reportados na combustão móvel)?</t>
  </si>
  <si>
    <t xml:space="preserve">O projeto inclui o transporte de mercadorias ou passageiros? O projeto inclui operação de maquinaria como motosserras ou tratores? </t>
  </si>
  <si>
    <t xml:space="preserve">No projeto, haverá lugar a pelo menos uma das seguintes atividades: Produção OU tratamento de resíduos sólidos, águas residuais ou efluentes? Haverá lugar à produção agrícola ou pecuária? Haverão alterações aos usos do solo, eliminação de usos de solo como desflorestação, criação de novos usos de solo, manutenção de áreas florestais, ou alagamento ou drenagem de terrenos?  </t>
  </si>
  <si>
    <t xml:space="preserve">Secção particularmente relevante se houver lugar à aquisição de clínquer/cimento (para construção de infraestruturas, por exemplo), vidro, cal, carbonatos/cerâmicas, ácido nítrico, etileno, aço, chumbo, fertilizantes ou rações. Inclui também: a aquisição de animais de outras proveniências para abate, a aquisição de forragens, a aquisição de minérios de outras proveniências para transformação. </t>
  </si>
  <si>
    <r>
      <t xml:space="preserve">(F) No final desta secção são apresentadas as emissões </t>
    </r>
    <r>
      <rPr>
        <sz val="12"/>
        <color theme="1"/>
        <rFont val="Calibri"/>
        <family val="2"/>
        <scheme val="minor"/>
      </rPr>
      <t>fugitivas</t>
    </r>
    <r>
      <rPr>
        <sz val="12"/>
        <color rgb="FFFF0000"/>
        <rFont val="Calibri"/>
        <family val="2"/>
        <scheme val="minor"/>
      </rPr>
      <t xml:space="preserve"> </t>
    </r>
    <r>
      <rPr>
        <sz val="12"/>
        <rFont val="Calibri"/>
        <family val="2"/>
        <scheme val="minor"/>
      </rPr>
      <t>totais, em tCO</t>
    </r>
    <r>
      <rPr>
        <vertAlign val="subscript"/>
        <sz val="12"/>
        <rFont val="Calibri"/>
        <family val="2"/>
        <scheme val="minor"/>
      </rPr>
      <t>2</t>
    </r>
    <r>
      <rPr>
        <sz val="12"/>
        <rFont val="Calibri"/>
        <family val="2"/>
        <scheme val="minor"/>
      </rPr>
      <t>e.</t>
    </r>
  </si>
  <si>
    <r>
      <t xml:space="preserve">- Selecione a </t>
    </r>
    <r>
      <rPr>
        <u/>
        <sz val="12"/>
        <color theme="1"/>
        <rFont val="Calibri"/>
        <family val="2"/>
        <scheme val="minor"/>
      </rPr>
      <t>Fase de projeto</t>
    </r>
    <r>
      <rPr>
        <sz val="12"/>
        <color theme="1"/>
        <rFont val="Calibri"/>
        <family val="2"/>
        <scheme val="minor"/>
      </rPr>
      <t xml:space="preserve"> do projeto ao qual os dados a introduzir em cada linha se referem.</t>
    </r>
  </si>
  <si>
    <r>
      <t xml:space="preserve">- Selecione o </t>
    </r>
    <r>
      <rPr>
        <u/>
        <sz val="12"/>
        <color theme="1"/>
        <rFont val="Calibri"/>
        <family val="2"/>
        <scheme val="minor"/>
      </rPr>
      <t>Tipo de Equipamento</t>
    </r>
    <r>
      <rPr>
        <sz val="12"/>
        <color theme="1"/>
        <rFont val="Calibri"/>
        <family val="2"/>
        <scheme val="minor"/>
      </rPr>
      <t xml:space="preserve"> (mais próximo).</t>
    </r>
  </si>
  <si>
    <r>
      <t xml:space="preserve">- Indique a capacidade de carga do equipamento. Caso não saiba, será usado o valor padrão indicado na coluna </t>
    </r>
    <r>
      <rPr>
        <u/>
        <sz val="12"/>
        <color theme="1"/>
        <rFont val="Calibri"/>
        <family val="2"/>
        <scheme val="minor"/>
      </rPr>
      <t>Valor padrão</t>
    </r>
    <r>
      <rPr>
        <sz val="12"/>
        <color theme="1"/>
        <rFont val="Calibri"/>
        <family val="2"/>
        <scheme val="minor"/>
      </rPr>
      <t xml:space="preserve">. </t>
    </r>
  </si>
  <si>
    <r>
      <t xml:space="preserve">- Indique o gás refrigerante a utilizar em </t>
    </r>
    <r>
      <rPr>
        <u/>
        <sz val="12"/>
        <color theme="1"/>
        <rFont val="Calibri"/>
        <family val="2"/>
        <scheme val="minor"/>
      </rPr>
      <t>Selecione o gás</t>
    </r>
    <r>
      <rPr>
        <sz val="12"/>
        <color theme="1"/>
        <rFont val="Calibri"/>
        <family val="2"/>
        <scheme val="minor"/>
      </rPr>
      <t xml:space="preserve">. </t>
    </r>
  </si>
  <si>
    <r>
      <t>Emissões de GEE CO</t>
    </r>
    <r>
      <rPr>
        <b/>
        <vertAlign val="subscript"/>
        <sz val="12"/>
        <rFont val="Calibri"/>
        <family val="2"/>
        <scheme val="minor"/>
      </rPr>
      <t>2</t>
    </r>
    <r>
      <rPr>
        <b/>
        <sz val="12"/>
        <rFont val="Calibri"/>
        <family val="2"/>
        <scheme val="minor"/>
      </rPr>
      <t>e (kg/ano)</t>
    </r>
  </si>
  <si>
    <r>
      <t xml:space="preserve">(C) De seguida selecione a substância ou par substância-processo da lista apresentada em </t>
    </r>
    <r>
      <rPr>
        <u/>
        <sz val="12"/>
        <color theme="1"/>
        <rFont val="Calibri"/>
        <family val="2"/>
        <scheme val="minor"/>
      </rPr>
      <t>Substância/ processo</t>
    </r>
    <r>
      <rPr>
        <sz val="12"/>
        <color theme="1"/>
        <rFont val="Calibri"/>
        <family val="2"/>
        <scheme val="minor"/>
      </rPr>
      <t>.</t>
    </r>
  </si>
  <si>
    <r>
      <t xml:space="preserve">(F) Para outras substâncias-processos é necessário indicar a quantidade de material processado/usado, ou área de material produzida. Nessas situações, os campos da coluna </t>
    </r>
    <r>
      <rPr>
        <u/>
        <sz val="12"/>
        <color theme="1"/>
        <rFont val="Calibri"/>
        <family val="2"/>
        <scheme val="minor"/>
      </rPr>
      <t>Quantidade utilizada</t>
    </r>
    <r>
      <rPr>
        <sz val="12"/>
        <color theme="1"/>
        <rFont val="Calibri"/>
        <family val="2"/>
        <scheme val="minor"/>
      </rPr>
      <t xml:space="preserve"> ficarão a azul. Tenha em atenção as unidades apresentadas no quadro. </t>
    </r>
  </si>
  <si>
    <r>
      <t xml:space="preserve"> Emissões de GEE (t CO</t>
    </r>
    <r>
      <rPr>
        <b/>
        <vertAlign val="subscript"/>
        <sz val="12"/>
        <rFont val="Calibri"/>
        <family val="2"/>
        <scheme val="minor"/>
      </rPr>
      <t>2</t>
    </r>
    <r>
      <rPr>
        <b/>
        <sz val="12"/>
        <rFont val="Calibri"/>
        <family val="2"/>
        <scheme val="minor"/>
      </rPr>
      <t>e/ano)</t>
    </r>
  </si>
  <si>
    <r>
      <t>Emissões totais de GEE (t CO</t>
    </r>
    <r>
      <rPr>
        <b/>
        <vertAlign val="subscript"/>
        <sz val="12"/>
        <color theme="0"/>
        <rFont val="Calibri"/>
        <family val="2"/>
        <scheme val="minor"/>
      </rPr>
      <t>2</t>
    </r>
    <r>
      <rPr>
        <b/>
        <sz val="12"/>
        <color theme="0"/>
        <rFont val="Calibri"/>
        <family val="2"/>
        <scheme val="minor"/>
      </rPr>
      <t>e)</t>
    </r>
  </si>
  <si>
    <r>
      <t>Atenção: para os cálculos aqui apresentados não existe a emissão de CO</t>
    </r>
    <r>
      <rPr>
        <vertAlign val="subscript"/>
        <sz val="12"/>
        <rFont val="Calibri"/>
        <family val="2"/>
        <scheme val="minor"/>
      </rPr>
      <t>2</t>
    </r>
    <r>
      <rPr>
        <sz val="12"/>
        <rFont val="Calibri"/>
        <family val="2"/>
        <scheme val="minor"/>
      </rPr>
      <t xml:space="preserve"> biogénico associado.</t>
    </r>
  </si>
  <si>
    <r>
      <t>Tabela 2. Emissões fugitivas de hexafluoreto de enxofre (SF</t>
    </r>
    <r>
      <rPr>
        <vertAlign val="subscript"/>
        <sz val="12"/>
        <color theme="1"/>
        <rFont val="Calibri"/>
        <family val="2"/>
        <scheme val="minor"/>
      </rPr>
      <t>6</t>
    </r>
    <r>
      <rPr>
        <sz val="12"/>
        <color theme="1"/>
        <rFont val="Calibri"/>
        <family val="2"/>
        <scheme val="minor"/>
      </rPr>
      <t>), trifluoreto de azoto (NF</t>
    </r>
    <r>
      <rPr>
        <vertAlign val="subscript"/>
        <sz val="12"/>
        <color theme="1"/>
        <rFont val="Calibri"/>
        <family val="2"/>
        <scheme val="minor"/>
      </rPr>
      <t>3</t>
    </r>
    <r>
      <rPr>
        <sz val="12"/>
        <color theme="1"/>
        <rFont val="Calibri"/>
        <family val="2"/>
        <scheme val="minor"/>
      </rPr>
      <t>) e gás natural</t>
    </r>
  </si>
  <si>
    <r>
      <t xml:space="preserve">(E) Para certas substâncias-processos (ex.: outros) é necessário indicar a quantidade de substância "perdida" ou "recarregada". Nestas situações, os campos da coluna </t>
    </r>
    <r>
      <rPr>
        <u/>
        <sz val="12"/>
        <color theme="1"/>
        <rFont val="Calibri"/>
        <family val="2"/>
        <scheme val="minor"/>
      </rPr>
      <t>Uso / Recarga / Perdas anuais</t>
    </r>
    <r>
      <rPr>
        <sz val="12"/>
        <color theme="1"/>
        <rFont val="Calibri"/>
        <family val="2"/>
        <scheme val="minor"/>
      </rPr>
      <t xml:space="preserve"> ficarão a azul.</t>
    </r>
  </si>
  <si>
    <t>Transformadores de alta tensão, transporte, distribuição e armazenamento de gás natural, gases de anestesia, propulsores e aerosóis, entre outros.</t>
  </si>
  <si>
    <r>
      <t>Esta secção da ferramenta permite o cálculo de emissões de instalações de climatização e refrigeração (ex.: ares condicionados, arcas frigoríficas), transformadores de alta tensão (libertação de hexafluoreto de enxofre - SF</t>
    </r>
    <r>
      <rPr>
        <vertAlign val="subscript"/>
        <sz val="12"/>
        <rFont val="Calibri"/>
        <family val="2"/>
        <scheme val="minor"/>
      </rPr>
      <t>6</t>
    </r>
    <r>
      <rPr>
        <sz val="12"/>
        <rFont val="Calibri"/>
        <family val="2"/>
        <scheme val="minor"/>
      </rPr>
      <t>), transporte, distribuição e armazenamento de gás natural entre outras (ex.: emissões/fugas de N</t>
    </r>
    <r>
      <rPr>
        <vertAlign val="subscript"/>
        <sz val="12"/>
        <rFont val="Calibri"/>
        <family val="2"/>
        <scheme val="minor"/>
      </rPr>
      <t>2</t>
    </r>
    <r>
      <rPr>
        <sz val="12"/>
        <rFont val="Calibri"/>
        <family val="2"/>
        <scheme val="minor"/>
      </rPr>
      <t>O em gases de anestesia geral e produtos alimentares, trifluoreto de azoto - NF</t>
    </r>
    <r>
      <rPr>
        <vertAlign val="subscript"/>
        <sz val="12"/>
        <rFont val="Calibri"/>
        <family val="2"/>
        <scheme val="minor"/>
      </rPr>
      <t>3</t>
    </r>
    <r>
      <rPr>
        <sz val="12"/>
        <rFont val="Calibri"/>
        <family val="2"/>
        <scheme val="minor"/>
      </rPr>
      <t>).</t>
    </r>
  </si>
  <si>
    <t>O projeto inclui atividades susceptíveis de envolver fugas de GEE? Ex.:  instalações de climatização e refrigeração, transformadores de alta tensão, transporte, distribuição e armazenamento de gás natural, entre outras?</t>
  </si>
  <si>
    <r>
      <t>Inclui: ares condicionados, arcas frigoríficas, refrigeração em veículos, transformadores de alta tensão, transporte, distribuição e armazenamento de gás natural, gases de anestesia, emissões de SF</t>
    </r>
    <r>
      <rPr>
        <vertAlign val="subscript"/>
        <sz val="14"/>
        <rFont val="Calibri"/>
        <family val="2"/>
        <scheme val="minor"/>
      </rPr>
      <t>6</t>
    </r>
    <r>
      <rPr>
        <sz val="14"/>
        <rFont val="Calibri"/>
        <family val="2"/>
        <scheme val="minor"/>
      </rPr>
      <t>, N</t>
    </r>
    <r>
      <rPr>
        <vertAlign val="subscript"/>
        <sz val="14"/>
        <rFont val="Calibri"/>
        <family val="2"/>
        <scheme val="minor"/>
      </rPr>
      <t>2</t>
    </r>
    <r>
      <rPr>
        <sz val="14"/>
        <rFont val="Calibri"/>
        <family val="2"/>
        <scheme val="minor"/>
      </rPr>
      <t>O (de fugas) e NF</t>
    </r>
    <r>
      <rPr>
        <vertAlign val="subscript"/>
        <sz val="14"/>
        <rFont val="Calibri"/>
        <family val="2"/>
        <scheme val="minor"/>
      </rPr>
      <t>3</t>
    </r>
    <r>
      <rPr>
        <sz val="14"/>
        <rFont val="Calibri"/>
        <family val="2"/>
        <scheme val="minor"/>
      </rPr>
      <t>.</t>
    </r>
  </si>
  <si>
    <t>Inclui: se o projeto produzir cimento/ clínquer, cal, vidro, cerâmica, ácido nítrico, etileno, aço ou chumbo.</t>
  </si>
  <si>
    <r>
      <rPr>
        <b/>
        <sz val="12"/>
        <color theme="1"/>
        <rFont val="Calibri"/>
        <family val="2"/>
        <scheme val="minor"/>
      </rPr>
      <t>Transporte a montante</t>
    </r>
    <r>
      <rPr>
        <sz val="12"/>
        <color theme="1"/>
        <rFont val="Calibri"/>
        <family val="2"/>
        <scheme val="minor"/>
      </rPr>
      <t xml:space="preserve"> - refere-se ao transporte de bens para o local, ou transporte de resíduos do local do projeto. Inclui transporte de mercadorias, equipamentos e combustíveis para o local, transporte de resíduos para tratamento fora das instalações do projeto.  </t>
    </r>
  </si>
  <si>
    <r>
      <rPr>
        <b/>
        <sz val="12"/>
        <color theme="1"/>
        <rFont val="Calibri"/>
        <family val="2"/>
        <scheme val="minor"/>
      </rPr>
      <t>Transporte a jusante</t>
    </r>
    <r>
      <rPr>
        <sz val="12"/>
        <color theme="1"/>
        <rFont val="Calibri"/>
        <family val="2"/>
        <scheme val="minor"/>
      </rPr>
      <t xml:space="preserve"> - tipicamente, refere-se ao transporte para fora das instalações do projeto, ou transporte pago por outras entidades que não o promotor. Nesta categoria inclua o transporte do produto ou serviço (distribuição do produto), quando há lugar a um produto. </t>
    </r>
  </si>
  <si>
    <r>
      <rPr>
        <b/>
        <sz val="12"/>
        <color theme="1"/>
        <rFont val="Calibri"/>
        <family val="2"/>
        <scheme val="minor"/>
      </rPr>
      <t>Viagens a negócios</t>
    </r>
    <r>
      <rPr>
        <sz val="12"/>
        <color theme="1"/>
        <rFont val="Calibri"/>
        <family val="2"/>
        <scheme val="minor"/>
      </rPr>
      <t xml:space="preserve"> - viagens de colaboradores ou clientes de ou para as instalações do projeto, relacionadas com o projeto/ atividades do projeto. </t>
    </r>
  </si>
  <si>
    <r>
      <rPr>
        <b/>
        <sz val="12"/>
        <color theme="1"/>
        <rFont val="Calibri"/>
        <family val="2"/>
        <scheme val="minor"/>
      </rPr>
      <t>Veículos da empresa ou fora da empresa</t>
    </r>
    <r>
      <rPr>
        <sz val="12"/>
        <color theme="1"/>
        <rFont val="Calibri"/>
        <family val="2"/>
        <scheme val="minor"/>
      </rPr>
      <t xml:space="preserve"> - permite determinar se as emissões de GEE são diretas (i.e., sobre o controlo operacional do operador do projeto) ou indiretas. Tipicamente, modos de transporte coletivos como aviões, barcos, comboios, autocarros, Táxis e afins são fora da empresa. </t>
    </r>
  </si>
  <si>
    <r>
      <t xml:space="preserve">(B) Escolha primeiro a </t>
    </r>
    <r>
      <rPr>
        <u/>
        <sz val="12"/>
        <rFont val="Calibri"/>
        <family val="2"/>
        <scheme val="minor"/>
      </rPr>
      <t>fase do projeto</t>
    </r>
    <r>
      <rPr>
        <sz val="12"/>
        <rFont val="Calibri"/>
        <family val="2"/>
        <scheme val="minor"/>
      </rPr>
      <t xml:space="preserve"> a que se refere o tipo de transporte a reportar</t>
    </r>
  </si>
  <si>
    <r>
      <t xml:space="preserve">(C) Escolha o </t>
    </r>
    <r>
      <rPr>
        <u/>
        <sz val="12"/>
        <rFont val="Calibri"/>
        <family val="2"/>
        <scheme val="minor"/>
      </rPr>
      <t>Tipo de veículo</t>
    </r>
    <r>
      <rPr>
        <sz val="12"/>
        <rFont val="Calibri"/>
        <family val="2"/>
        <scheme val="minor"/>
      </rPr>
      <t xml:space="preserve">. </t>
    </r>
  </si>
  <si>
    <r>
      <t xml:space="preserve">(D) Preencha as </t>
    </r>
    <r>
      <rPr>
        <b/>
        <sz val="12"/>
        <rFont val="Calibri"/>
        <family val="2"/>
        <scheme val="minor"/>
      </rPr>
      <t>distâncias médias anuais</t>
    </r>
    <r>
      <rPr>
        <sz val="12"/>
        <rFont val="Calibri"/>
        <family val="2"/>
        <scheme val="minor"/>
      </rPr>
      <t xml:space="preserve"> que pensa viajar com o referido meio de transporte.  </t>
    </r>
  </si>
  <si>
    <r>
      <t xml:space="preserve">(E) Por fim, indique se se trata de uma </t>
    </r>
    <r>
      <rPr>
        <u/>
        <sz val="12"/>
        <rFont val="Calibri"/>
        <family val="2"/>
        <scheme val="minor"/>
      </rPr>
      <t>deslocação/transporte em veículos da empresa</t>
    </r>
    <r>
      <rPr>
        <sz val="12"/>
        <rFont val="Calibri"/>
        <family val="2"/>
        <scheme val="minor"/>
      </rPr>
      <t xml:space="preserve"> e que </t>
    </r>
    <r>
      <rPr>
        <u/>
        <sz val="12"/>
        <rFont val="Calibri"/>
        <family val="2"/>
        <scheme val="minor"/>
      </rPr>
      <t>tipo de transporte</t>
    </r>
    <r>
      <rPr>
        <sz val="12"/>
        <rFont val="Calibri"/>
        <family val="2"/>
        <scheme val="minor"/>
      </rPr>
      <t xml:space="preserve"> se refere a linha</t>
    </r>
  </si>
  <si>
    <r>
      <t>Emissões de CO</t>
    </r>
    <r>
      <rPr>
        <b/>
        <vertAlign val="subscript"/>
        <sz val="12"/>
        <rFont val="Calibri"/>
        <family val="2"/>
        <scheme val="minor"/>
      </rPr>
      <t>2</t>
    </r>
    <r>
      <rPr>
        <b/>
        <sz val="12"/>
        <rFont val="Calibri"/>
        <family val="2"/>
        <scheme val="minor"/>
      </rPr>
      <t xml:space="preserve"> (t/ano) fóssil</t>
    </r>
  </si>
  <si>
    <r>
      <t>Emissões de CH</t>
    </r>
    <r>
      <rPr>
        <b/>
        <vertAlign val="subscript"/>
        <sz val="12"/>
        <rFont val="Calibri"/>
        <family val="2"/>
        <scheme val="minor"/>
      </rPr>
      <t>4</t>
    </r>
    <r>
      <rPr>
        <b/>
        <sz val="12"/>
        <rFont val="Calibri"/>
        <family val="2"/>
        <scheme val="minor"/>
      </rPr>
      <t xml:space="preserve"> (t/ano)</t>
    </r>
  </si>
  <si>
    <r>
      <t>Emissões de N</t>
    </r>
    <r>
      <rPr>
        <b/>
        <vertAlign val="subscript"/>
        <sz val="12"/>
        <rFont val="Calibri"/>
        <family val="2"/>
        <scheme val="minor"/>
      </rPr>
      <t>2</t>
    </r>
    <r>
      <rPr>
        <b/>
        <sz val="12"/>
        <rFont val="Calibri"/>
        <family val="2"/>
        <scheme val="minor"/>
      </rPr>
      <t>O (t/ano)</t>
    </r>
  </si>
  <si>
    <r>
      <t>Emissões de GEE médias anuais
(t CO</t>
    </r>
    <r>
      <rPr>
        <b/>
        <vertAlign val="subscript"/>
        <sz val="12"/>
        <rFont val="Calibri"/>
        <family val="2"/>
        <scheme val="minor"/>
      </rPr>
      <t>2</t>
    </r>
    <r>
      <rPr>
        <b/>
        <sz val="12"/>
        <rFont val="Calibri"/>
        <family val="2"/>
        <scheme val="minor"/>
      </rPr>
      <t>e / ano)</t>
    </r>
  </si>
  <si>
    <r>
      <t>CO</t>
    </r>
    <r>
      <rPr>
        <b/>
        <vertAlign val="subscript"/>
        <sz val="12"/>
        <rFont val="Calibri"/>
        <family val="2"/>
        <scheme val="minor"/>
      </rPr>
      <t>2</t>
    </r>
    <r>
      <rPr>
        <b/>
        <sz val="12"/>
        <rFont val="Calibri"/>
        <family val="2"/>
        <scheme val="minor"/>
      </rPr>
      <t xml:space="preserve"> </t>
    </r>
  </si>
  <si>
    <r>
      <t>CH</t>
    </r>
    <r>
      <rPr>
        <b/>
        <vertAlign val="subscript"/>
        <sz val="12"/>
        <rFont val="Calibri"/>
        <family val="2"/>
        <scheme val="minor"/>
      </rPr>
      <t>4</t>
    </r>
    <r>
      <rPr>
        <b/>
        <sz val="12"/>
        <rFont val="Calibri"/>
        <family val="2"/>
        <scheme val="minor"/>
      </rPr>
      <t xml:space="preserve"> </t>
    </r>
  </si>
  <si>
    <r>
      <t>N</t>
    </r>
    <r>
      <rPr>
        <b/>
        <vertAlign val="subscript"/>
        <sz val="12"/>
        <rFont val="Calibri"/>
        <family val="2"/>
        <scheme val="minor"/>
      </rPr>
      <t>2</t>
    </r>
    <r>
      <rPr>
        <b/>
        <sz val="12"/>
        <rFont val="Calibri"/>
        <family val="2"/>
        <scheme val="minor"/>
      </rPr>
      <t xml:space="preserve">O </t>
    </r>
  </si>
  <si>
    <r>
      <t xml:space="preserve">(B)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</si>
  <si>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(D) Comece por indicar a </t>
    </r>
    <r>
      <rPr>
        <u/>
        <sz val="12"/>
        <rFont val="Calibri"/>
        <family val="2"/>
        <scheme val="minor"/>
      </rPr>
      <t>fase de projeto</t>
    </r>
    <r>
      <rPr>
        <sz val="12"/>
        <rFont val="Calibri"/>
        <family val="2"/>
        <scheme val="minor"/>
      </rPr>
      <t xml:space="preserve"> a que diz respeito cada linha que preenche.</t>
    </r>
  </si>
  <si>
    <r>
      <t>(E) Para os campos "</t>
    </r>
    <r>
      <rPr>
        <b/>
        <sz val="12"/>
        <rFont val="Calibri"/>
        <family val="2"/>
        <scheme val="minor"/>
      </rPr>
      <t>Número de pessoas do projeto na viagem</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</si>
  <si>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Emissões de CO</t>
    </r>
    <r>
      <rPr>
        <b/>
        <vertAlign val="subscript"/>
        <sz val="12"/>
        <rFont val="Calibri"/>
        <family val="2"/>
        <scheme val="minor"/>
      </rPr>
      <t>2</t>
    </r>
    <r>
      <rPr>
        <b/>
        <sz val="12"/>
        <rFont val="Calibri"/>
        <family val="2"/>
        <scheme val="minor"/>
      </rPr>
      <t xml:space="preserve"> (t) fóssil</t>
    </r>
  </si>
  <si>
    <r>
      <t>Emissões de CH</t>
    </r>
    <r>
      <rPr>
        <b/>
        <vertAlign val="subscript"/>
        <sz val="12"/>
        <rFont val="Calibri"/>
        <family val="2"/>
        <scheme val="minor"/>
      </rPr>
      <t>4</t>
    </r>
    <r>
      <rPr>
        <b/>
        <sz val="12"/>
        <rFont val="Calibri"/>
        <family val="2"/>
        <scheme val="minor"/>
      </rPr>
      <t xml:space="preserve"> (t)</t>
    </r>
  </si>
  <si>
    <r>
      <t>Emissões de N</t>
    </r>
    <r>
      <rPr>
        <b/>
        <vertAlign val="subscript"/>
        <sz val="12"/>
        <rFont val="Calibri"/>
        <family val="2"/>
        <scheme val="minor"/>
      </rPr>
      <t>2</t>
    </r>
    <r>
      <rPr>
        <b/>
        <sz val="12"/>
        <rFont val="Calibri"/>
        <family val="2"/>
        <scheme val="minor"/>
      </rPr>
      <t>O (t)</t>
    </r>
  </si>
  <si>
    <r>
      <t>Emissões totais
(t CO</t>
    </r>
    <r>
      <rPr>
        <b/>
        <vertAlign val="subscript"/>
        <sz val="12"/>
        <rFont val="Calibri"/>
        <family val="2"/>
        <scheme val="minor"/>
      </rPr>
      <t>2</t>
    </r>
    <r>
      <rPr>
        <b/>
        <sz val="12"/>
        <rFont val="Calibri"/>
        <family val="2"/>
        <scheme val="minor"/>
      </rPr>
      <t>e)</t>
    </r>
  </si>
  <si>
    <r>
      <t xml:space="preserve">(D) Comece por indicar a </t>
    </r>
    <r>
      <rPr>
        <u/>
        <sz val="12"/>
        <rFont val="Calibri"/>
        <family val="2"/>
        <scheme val="minor"/>
      </rPr>
      <t>fase do projeto</t>
    </r>
    <r>
      <rPr>
        <sz val="12"/>
        <rFont val="Calibri"/>
        <family val="2"/>
        <scheme val="minor"/>
      </rPr>
      <t xml:space="preserve"> a que a linha diz respeito</t>
    </r>
  </si>
  <si>
    <r>
      <t>(E)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</si>
  <si>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(B)  Preencha os dados nos campos a </t>
    </r>
    <r>
      <rPr>
        <b/>
        <sz val="12"/>
        <color theme="8"/>
        <rFont val="Calibri"/>
        <family val="2"/>
        <scheme val="minor"/>
      </rPr>
      <t>AZUL CLARO</t>
    </r>
    <r>
      <rPr>
        <sz val="12"/>
        <rFont val="Calibri"/>
        <family val="2"/>
        <scheme val="minor"/>
      </rPr>
      <t xml:space="preserve"> na Tabela 5 utilizando as unidades corretas para o cálculo das emissões. Os dados consolidados de emissões de gases de efeito estufa (GEE), incluindo todos os modos de transporte, são apresentados na Tabela 6.</t>
    </r>
  </si>
  <si>
    <r>
      <t xml:space="preserve">(C) Escolha o </t>
    </r>
    <r>
      <rPr>
        <u/>
        <sz val="12"/>
        <rFont val="Calibri"/>
        <family val="2"/>
        <scheme val="minor"/>
      </rPr>
      <t>Tipo de maquinaria/ equipamento</t>
    </r>
    <r>
      <rPr>
        <sz val="12"/>
        <rFont val="Calibri"/>
        <family val="2"/>
        <scheme val="minor"/>
      </rPr>
      <t xml:space="preserve">. Se não encontrar o tipo de equipemtno utilizado, selecione um que use o mesmo tipo de combustível. </t>
    </r>
  </si>
  <si>
    <r>
      <t>(D)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</si>
  <si>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(D) Selecione o </t>
    </r>
    <r>
      <rPr>
        <u/>
        <sz val="12"/>
        <color theme="1"/>
        <rFont val="Calibri"/>
        <family val="2"/>
        <scheme val="minor"/>
      </rPr>
      <t>setor industrial</t>
    </r>
    <r>
      <rPr>
        <sz val="12"/>
        <color theme="1"/>
        <rFont val="Calibri"/>
        <family val="2"/>
        <scheme val="minor"/>
      </rPr>
      <t xml:space="preserve"> da lista apresentada. </t>
    </r>
  </si>
  <si>
    <r>
      <t xml:space="preserve">(F) Depois, indique a quantidade de produto que espera produzir por ano. Tenha em atenção às unidades. Se selecionou "9. Outros" no </t>
    </r>
    <r>
      <rPr>
        <u/>
        <sz val="12"/>
        <color theme="1"/>
        <rFont val="Calibri"/>
        <family val="2"/>
        <scheme val="minor"/>
      </rPr>
      <t>Setor Industrial</t>
    </r>
    <r>
      <rPr>
        <sz val="12"/>
        <color theme="1"/>
        <rFont val="Calibri"/>
        <family val="2"/>
        <scheme val="minor"/>
      </rPr>
      <t xml:space="preserve">, a ferramenta irá pedir-lhe que indique as unidades do seu produto. </t>
    </r>
  </si>
  <si>
    <r>
      <t xml:space="preserve">(G)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O utilizador pode consultar outros FE respeitantes às atividades industriais nas diretrizes do IPCC 2006, disponíveis, por capítulos, no seguinte link: https://www.ipcc-nggip.iges.or.jp/public/2006gl/vol3.html.</t>
    </r>
  </si>
  <si>
    <r>
      <t xml:space="preserve">(H) Ao introduzir o seu próprio fator de emissão,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 fator de emissão indicado, ou seja, a fonte ou os cálculos e pressupostos de base.</t>
    </r>
  </si>
  <si>
    <r>
      <t xml:space="preserve">(I) Se selecionou "9. Outros" no </t>
    </r>
    <r>
      <rPr>
        <u/>
        <sz val="12"/>
        <color theme="1"/>
        <rFont val="Calibri"/>
        <family val="2"/>
        <scheme val="minor"/>
      </rPr>
      <t>setor industrial</t>
    </r>
    <r>
      <rPr>
        <sz val="12"/>
        <color theme="1"/>
        <rFont val="Calibri"/>
        <family val="2"/>
        <scheme val="minor"/>
      </rPr>
      <t>, a ferramenta não lhe irá apresentar um fator de emissão. Em vez disso, ser-lhe-á pedido que introduza ou as emissões de GEE em kgCO</t>
    </r>
    <r>
      <rPr>
        <vertAlign val="subscript"/>
        <sz val="12"/>
        <color theme="1"/>
        <rFont val="Calibri"/>
        <family val="2"/>
        <scheme val="minor"/>
      </rPr>
      <t>2</t>
    </r>
    <r>
      <rPr>
        <sz val="12"/>
        <color theme="1"/>
        <rFont val="Calibri"/>
        <family val="2"/>
        <scheme val="minor"/>
      </rPr>
      <t xml:space="preserve">e, ou as emissões de cada gás nas unidades indicadas. Introduza apenas uma destas opções (GEE ou por gás). </t>
    </r>
  </si>
  <si>
    <r>
      <t xml:space="preserve">(J) Em semelhança ao ponto (H), ao introduzir os valores de emissão de GEE,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os valores de emissões reportados, ou seja, a fonte, cálculos e pressupostos de base.</t>
    </r>
  </si>
  <si>
    <r>
      <t>(K) No final desta secção são apresentadas as emissões médias anuais decorrentes dos processos industriais, em tCO</t>
    </r>
    <r>
      <rPr>
        <vertAlign val="subscript"/>
        <sz val="12"/>
        <rFont val="Calibri"/>
        <family val="2"/>
        <scheme val="minor"/>
      </rPr>
      <t>2</t>
    </r>
    <r>
      <rPr>
        <sz val="12"/>
        <rFont val="Calibri"/>
        <family val="2"/>
        <scheme val="minor"/>
      </rPr>
      <t>e.</t>
    </r>
  </si>
  <si>
    <r>
      <t>Opção 1 - Fator de emissão (kg CO</t>
    </r>
    <r>
      <rPr>
        <b/>
        <vertAlign val="subscript"/>
        <sz val="12"/>
        <color theme="1"/>
        <rFont val="Calibri"/>
        <family val="2"/>
        <scheme val="minor"/>
      </rPr>
      <t>2</t>
    </r>
    <r>
      <rPr>
        <b/>
        <sz val="12"/>
        <color theme="1"/>
        <rFont val="Calibri"/>
        <family val="2"/>
        <scheme val="minor"/>
      </rPr>
      <t>e/ unid)</t>
    </r>
  </si>
  <si>
    <r>
      <t>GEE (kg CO</t>
    </r>
    <r>
      <rPr>
        <b/>
        <vertAlign val="subscript"/>
        <sz val="12"/>
        <color theme="1"/>
        <rFont val="Calibri"/>
        <family val="2"/>
        <scheme val="minor"/>
      </rPr>
      <t>2</t>
    </r>
    <r>
      <rPr>
        <b/>
        <sz val="12"/>
        <color theme="1"/>
        <rFont val="Calibri"/>
        <family val="2"/>
        <scheme val="minor"/>
      </rPr>
      <t>e)</t>
    </r>
  </si>
  <si>
    <r>
      <t xml:space="preserve"> kg CO</t>
    </r>
    <r>
      <rPr>
        <b/>
        <vertAlign val="subscript"/>
        <sz val="12"/>
        <color theme="1"/>
        <rFont val="Calibri"/>
        <family val="2"/>
        <scheme val="minor"/>
      </rPr>
      <t>2</t>
    </r>
  </si>
  <si>
    <r>
      <t xml:space="preserve"> g CH</t>
    </r>
    <r>
      <rPr>
        <b/>
        <vertAlign val="subscript"/>
        <sz val="12"/>
        <color theme="1"/>
        <rFont val="Calibri"/>
        <family val="2"/>
        <scheme val="minor"/>
      </rPr>
      <t>4</t>
    </r>
  </si>
  <si>
    <r>
      <t xml:space="preserve"> g N</t>
    </r>
    <r>
      <rPr>
        <b/>
        <vertAlign val="subscript"/>
        <sz val="12"/>
        <color theme="1"/>
        <rFont val="Calibri"/>
        <family val="2"/>
        <scheme val="minor"/>
      </rPr>
      <t>2</t>
    </r>
    <r>
      <rPr>
        <b/>
        <sz val="12"/>
        <color theme="1"/>
        <rFont val="Calibri"/>
        <family val="2"/>
        <scheme val="minor"/>
      </rPr>
      <t>O</t>
    </r>
  </si>
  <si>
    <t>Reporte aqui apenas as emissões que ocorrem dentro da área do projeto. As emissões associadas à produção de cimento, aço, cal e outros materiais adquiridos pelo promotor deverão ser reportadas na folha Aquisição de bens e serviços.</t>
  </si>
  <si>
    <t xml:space="preserve">Se o projeto produz um produto, as emissões associadas ao fim de vida deste produto deverão ser reportadas na folha "Uso dos Produtos do Projeto". </t>
  </si>
  <si>
    <r>
      <t>m</t>
    </r>
    <r>
      <rPr>
        <vertAlign val="superscript"/>
        <sz val="12"/>
        <rFont val="Calibri"/>
        <family val="2"/>
        <scheme val="minor"/>
      </rPr>
      <t>3</t>
    </r>
  </si>
  <si>
    <r>
      <t>CH</t>
    </r>
    <r>
      <rPr>
        <b/>
        <vertAlign val="subscript"/>
        <sz val="12"/>
        <color theme="0"/>
        <rFont val="Calibri"/>
        <family val="2"/>
        <scheme val="minor"/>
      </rPr>
      <t>4</t>
    </r>
    <r>
      <rPr>
        <b/>
        <sz val="12"/>
        <color theme="0"/>
        <rFont val="Calibri"/>
        <family val="2"/>
        <scheme val="minor"/>
      </rPr>
      <t xml:space="preserve"> (kg/TJ) por setor de atividade</t>
    </r>
  </si>
  <si>
    <r>
      <t>N</t>
    </r>
    <r>
      <rPr>
        <b/>
        <vertAlign val="subscript"/>
        <sz val="12"/>
        <color theme="0"/>
        <rFont val="Calibri"/>
        <family val="2"/>
        <scheme val="minor"/>
      </rPr>
      <t>2</t>
    </r>
    <r>
      <rPr>
        <b/>
        <sz val="12"/>
        <color theme="0"/>
        <rFont val="Calibri"/>
        <family val="2"/>
        <scheme val="minor"/>
      </rPr>
      <t>O (kg/TJ) por setor de atividade</t>
    </r>
  </si>
  <si>
    <r>
      <t>CO</t>
    </r>
    <r>
      <rPr>
        <b/>
        <vertAlign val="subscript"/>
        <sz val="12"/>
        <color theme="0"/>
        <rFont val="Calibri"/>
        <family val="2"/>
        <scheme val="minor"/>
      </rPr>
      <t>2</t>
    </r>
    <r>
      <rPr>
        <b/>
        <sz val="12"/>
        <color theme="0"/>
        <rFont val="Calibri"/>
        <family val="2"/>
        <scheme val="minor"/>
      </rPr>
      <t xml:space="preserve"> (kg/un)</t>
    </r>
  </si>
  <si>
    <r>
      <t>kg/m</t>
    </r>
    <r>
      <rPr>
        <vertAlign val="superscript"/>
        <sz val="12"/>
        <color theme="1"/>
        <rFont val="Calibri"/>
        <family val="2"/>
        <scheme val="minor"/>
      </rPr>
      <t>2</t>
    </r>
  </si>
  <si>
    <r>
      <t>g/m</t>
    </r>
    <r>
      <rPr>
        <vertAlign val="superscript"/>
        <sz val="12"/>
        <color theme="1"/>
        <rFont val="Calibri"/>
        <family val="2"/>
        <scheme val="minor"/>
      </rPr>
      <t>2</t>
    </r>
  </si>
  <si>
    <r>
      <t>kg CO2/m</t>
    </r>
    <r>
      <rPr>
        <vertAlign val="superscript"/>
        <sz val="12"/>
        <color theme="1"/>
        <rFont val="Calibri"/>
        <family val="2"/>
        <scheme val="minor"/>
      </rPr>
      <t>3</t>
    </r>
    <r>
      <rPr>
        <sz val="12"/>
        <color theme="1"/>
        <rFont val="Calibri"/>
        <family val="2"/>
        <scheme val="minor"/>
      </rPr>
      <t xml:space="preserve"> gas</t>
    </r>
  </si>
  <si>
    <r>
      <t>kg CH4/m</t>
    </r>
    <r>
      <rPr>
        <vertAlign val="superscript"/>
        <sz val="12"/>
        <color theme="1"/>
        <rFont val="Calibri"/>
        <family val="2"/>
        <scheme val="minor"/>
      </rPr>
      <t>3</t>
    </r>
    <r>
      <rPr>
        <sz val="12"/>
        <color theme="1"/>
        <rFont val="Calibri"/>
        <family val="2"/>
        <scheme val="minor"/>
      </rPr>
      <t xml:space="preserve"> gas</t>
    </r>
  </si>
  <si>
    <r>
      <t>kg N2O/m</t>
    </r>
    <r>
      <rPr>
        <vertAlign val="superscript"/>
        <sz val="12"/>
        <color theme="1"/>
        <rFont val="Calibri"/>
        <family val="2"/>
        <scheme val="minor"/>
      </rPr>
      <t>3</t>
    </r>
    <r>
      <rPr>
        <sz val="12"/>
        <color theme="1"/>
        <rFont val="Calibri"/>
        <family val="2"/>
        <scheme val="minor"/>
      </rPr>
      <t xml:space="preserve"> gas</t>
    </r>
  </si>
  <si>
    <r>
      <t>kg CO2 eq./m</t>
    </r>
    <r>
      <rPr>
        <vertAlign val="superscript"/>
        <sz val="12"/>
        <color theme="1"/>
        <rFont val="Calibri"/>
        <family val="2"/>
        <scheme val="minor"/>
      </rPr>
      <t>3</t>
    </r>
    <r>
      <rPr>
        <sz val="12"/>
        <color theme="1"/>
        <rFont val="Calibri"/>
        <family val="2"/>
        <scheme val="minor"/>
      </rPr>
      <t xml:space="preserve"> gas</t>
    </r>
  </si>
  <si>
    <r>
      <t>m</t>
    </r>
    <r>
      <rPr>
        <vertAlign val="superscript"/>
        <sz val="12"/>
        <color theme="1"/>
        <rFont val="Calibri"/>
        <family val="2"/>
        <scheme val="minor"/>
      </rPr>
      <t>3</t>
    </r>
    <r>
      <rPr>
        <sz val="12"/>
        <color theme="1"/>
        <rFont val="Calibri"/>
        <family val="2"/>
        <scheme val="minor"/>
      </rPr>
      <t xml:space="preserve"> de águas residuais enviadas para tratamento ou descarregadas</t>
    </r>
  </si>
  <si>
    <r>
      <t>Metano (CH</t>
    </r>
    <r>
      <rPr>
        <vertAlign val="subscript"/>
        <sz val="12"/>
        <rFont val="Calibri"/>
        <family val="2"/>
        <scheme val="minor"/>
      </rPr>
      <t>4</t>
    </r>
    <r>
      <rPr>
        <sz val="12"/>
        <rFont val="Calibri"/>
        <family val="2"/>
        <scheme val="minor"/>
      </rPr>
      <t>)</t>
    </r>
  </si>
  <si>
    <r>
      <t>Óxido nitroso (N</t>
    </r>
    <r>
      <rPr>
        <vertAlign val="subscript"/>
        <sz val="12"/>
        <rFont val="Calibri"/>
        <family val="2"/>
        <scheme val="minor"/>
      </rPr>
      <t>2</t>
    </r>
    <r>
      <rPr>
        <sz val="12"/>
        <rFont val="Calibri"/>
        <family val="2"/>
        <scheme val="minor"/>
      </rPr>
      <t>O)</t>
    </r>
  </si>
  <si>
    <r>
      <t>Hexafluoreto de enxofre (SF</t>
    </r>
    <r>
      <rPr>
        <vertAlign val="subscript"/>
        <sz val="12"/>
        <rFont val="Calibri"/>
        <family val="2"/>
        <scheme val="minor"/>
      </rPr>
      <t>6</t>
    </r>
    <r>
      <rPr>
        <sz val="12"/>
        <rFont val="Calibri"/>
        <family val="2"/>
        <scheme val="minor"/>
      </rPr>
      <t>)</t>
    </r>
  </si>
  <si>
    <r>
      <t>Trifluoreto de azoto (NF</t>
    </r>
    <r>
      <rPr>
        <vertAlign val="subscript"/>
        <sz val="12"/>
        <rFont val="Calibri"/>
        <family val="2"/>
        <scheme val="minor"/>
      </rPr>
      <t>3</t>
    </r>
    <r>
      <rPr>
        <sz val="12"/>
        <rFont val="Calibri"/>
        <family val="2"/>
        <scheme val="minor"/>
      </rPr>
      <t>)</t>
    </r>
  </si>
  <si>
    <r>
      <t>Dióxido de carbono (CO</t>
    </r>
    <r>
      <rPr>
        <vertAlign val="subscript"/>
        <sz val="12"/>
        <rFont val="Calibri"/>
        <family val="2"/>
        <scheme val="minor"/>
      </rPr>
      <t>2</t>
    </r>
    <r>
      <rPr>
        <sz val="12"/>
        <rFont val="Calibri"/>
        <family val="2"/>
        <scheme val="minor"/>
      </rPr>
      <t>)</t>
    </r>
  </si>
  <si>
    <r>
      <t>Tetracloreto de carbono (CCl</t>
    </r>
    <r>
      <rPr>
        <vertAlign val="subscript"/>
        <sz val="12"/>
        <rFont val="Calibri"/>
        <family val="2"/>
        <scheme val="minor"/>
      </rPr>
      <t>4</t>
    </r>
    <r>
      <rPr>
        <sz val="12"/>
        <rFont val="Calibri"/>
        <family val="2"/>
        <scheme val="minor"/>
      </rPr>
      <t>)</t>
    </r>
  </si>
  <si>
    <r>
      <t>Bromometano (CH</t>
    </r>
    <r>
      <rPr>
        <vertAlign val="subscript"/>
        <sz val="12"/>
        <rFont val="Calibri"/>
        <family val="2"/>
        <scheme val="minor"/>
      </rPr>
      <t>3</t>
    </r>
    <r>
      <rPr>
        <sz val="12"/>
        <rFont val="Calibri"/>
        <family val="2"/>
        <scheme val="minor"/>
      </rPr>
      <t>Br)</t>
    </r>
  </si>
  <si>
    <r>
      <t>Methyl chloroform (CH</t>
    </r>
    <r>
      <rPr>
        <vertAlign val="subscript"/>
        <sz val="12"/>
        <rFont val="Calibri"/>
        <family val="2"/>
        <scheme val="minor"/>
      </rPr>
      <t>3</t>
    </r>
    <r>
      <rPr>
        <sz val="12"/>
        <rFont val="Calibri"/>
        <family val="2"/>
        <scheme val="minor"/>
      </rPr>
      <t>CCl</t>
    </r>
    <r>
      <rPr>
        <vertAlign val="subscript"/>
        <sz val="12"/>
        <rFont val="Calibri"/>
        <family val="2"/>
        <scheme val="minor"/>
      </rPr>
      <t>3</t>
    </r>
    <r>
      <rPr>
        <sz val="12"/>
        <rFont val="Calibri"/>
        <family val="2"/>
        <scheme val="minor"/>
      </rPr>
      <t>)</t>
    </r>
  </si>
  <si>
    <r>
      <t>Trifluorometil pentafluoreto de enxofre (SF</t>
    </r>
    <r>
      <rPr>
        <vertAlign val="subscript"/>
        <sz val="12"/>
        <rFont val="Calibri"/>
        <family val="2"/>
        <scheme val="minor"/>
      </rPr>
      <t>5</t>
    </r>
    <r>
      <rPr>
        <sz val="12"/>
        <rFont val="Calibri"/>
        <family val="2"/>
        <scheme val="minor"/>
      </rPr>
      <t>CF</t>
    </r>
    <r>
      <rPr>
        <vertAlign val="subscript"/>
        <sz val="12"/>
        <rFont val="Calibri"/>
        <family val="2"/>
        <scheme val="minor"/>
      </rPr>
      <t>3</t>
    </r>
    <r>
      <rPr>
        <sz val="12"/>
        <rFont val="Calibri"/>
        <family val="2"/>
        <scheme val="minor"/>
      </rPr>
      <t>)</t>
    </r>
  </si>
  <si>
    <r>
      <t>Perfluorociclopropano (c-C</t>
    </r>
    <r>
      <rPr>
        <vertAlign val="subscript"/>
        <sz val="12"/>
        <rFont val="Calibri"/>
        <family val="2"/>
        <scheme val="minor"/>
      </rPr>
      <t>3</t>
    </r>
    <r>
      <rPr>
        <sz val="12"/>
        <rFont val="Calibri"/>
        <family val="2"/>
        <scheme val="minor"/>
      </rPr>
      <t>F</t>
    </r>
    <r>
      <rPr>
        <vertAlign val="subscript"/>
        <sz val="12"/>
        <rFont val="Calibri"/>
        <family val="2"/>
        <scheme val="minor"/>
      </rPr>
      <t>6</t>
    </r>
    <r>
      <rPr>
        <sz val="12"/>
        <rFont val="Calibri"/>
        <family val="2"/>
        <scheme val="minor"/>
      </rPr>
      <t>)</t>
    </r>
  </si>
  <si>
    <r>
      <t>CO</t>
    </r>
    <r>
      <rPr>
        <b/>
        <vertAlign val="subscript"/>
        <sz val="12"/>
        <color theme="0" tint="-4.9989318521683403E-2"/>
        <rFont val="Calibri"/>
        <family val="2"/>
        <scheme val="minor"/>
      </rPr>
      <t>2</t>
    </r>
  </si>
  <si>
    <r>
      <t>CH</t>
    </r>
    <r>
      <rPr>
        <b/>
        <vertAlign val="subscript"/>
        <sz val="12"/>
        <color theme="0" tint="-4.9989318521683403E-2"/>
        <rFont val="Calibri"/>
        <family val="2"/>
        <scheme val="minor"/>
      </rPr>
      <t>4</t>
    </r>
  </si>
  <si>
    <r>
      <t>N</t>
    </r>
    <r>
      <rPr>
        <b/>
        <vertAlign val="subscript"/>
        <sz val="12"/>
        <color theme="0" tint="-4.9989318521683403E-2"/>
        <rFont val="Calibri"/>
        <family val="2"/>
        <scheme val="minor"/>
      </rPr>
      <t>2</t>
    </r>
    <r>
      <rPr>
        <b/>
        <sz val="12"/>
        <color theme="0" tint="-4.9989318521683403E-2"/>
        <rFont val="Calibri"/>
        <family val="2"/>
        <scheme val="minor"/>
      </rPr>
      <t>O</t>
    </r>
  </si>
  <si>
    <t>Valores default PAG gás (kg/kg) (a)</t>
  </si>
  <si>
    <t>(a) Fonte: Regulamento EU n.°517/2014 /Diretiva MAC (Anexo III)</t>
  </si>
  <si>
    <r>
      <t>1 pés cúbicos (ft</t>
    </r>
    <r>
      <rPr>
        <vertAlign val="superscript"/>
        <sz val="12"/>
        <rFont val="Calibri"/>
        <family val="2"/>
        <scheme val="minor"/>
      </rPr>
      <t>3</t>
    </r>
    <r>
      <rPr>
        <sz val="12"/>
        <rFont val="Calibri"/>
        <family val="2"/>
        <scheme val="minor"/>
      </rPr>
      <t>)</t>
    </r>
  </si>
  <si>
    <r>
      <t>0,02832 metro cúbico (m</t>
    </r>
    <r>
      <rPr>
        <vertAlign val="superscript"/>
        <sz val="12"/>
        <rFont val="Calibri"/>
        <family val="2"/>
        <scheme val="minor"/>
      </rPr>
      <t>3</t>
    </r>
    <r>
      <rPr>
        <sz val="12"/>
        <rFont val="Calibri"/>
        <family val="2"/>
        <scheme val="minor"/>
      </rPr>
      <t>)</t>
    </r>
  </si>
  <si>
    <r>
      <t>0,003785 metro cúbico (m</t>
    </r>
    <r>
      <rPr>
        <vertAlign val="superscript"/>
        <sz val="12"/>
        <rFont val="Calibri"/>
        <family val="2"/>
        <scheme val="minor"/>
      </rPr>
      <t>3</t>
    </r>
    <r>
      <rPr>
        <sz val="12"/>
        <rFont val="Calibri"/>
        <family val="2"/>
        <scheme val="minor"/>
      </rPr>
      <t>)</t>
    </r>
  </si>
  <si>
    <r>
      <t>0,1589873 metro cúbico (m</t>
    </r>
    <r>
      <rPr>
        <vertAlign val="superscript"/>
        <sz val="12"/>
        <rFont val="Calibri"/>
        <family val="2"/>
        <scheme val="minor"/>
      </rPr>
      <t>3</t>
    </r>
    <r>
      <rPr>
        <sz val="12"/>
        <rFont val="Calibri"/>
        <family val="2"/>
        <scheme val="minor"/>
      </rPr>
      <t>)</t>
    </r>
  </si>
  <si>
    <r>
      <t>0,001 metro cúbico (m</t>
    </r>
    <r>
      <rPr>
        <vertAlign val="superscript"/>
        <sz val="12"/>
        <rFont val="Calibri"/>
        <family val="2"/>
        <scheme val="minor"/>
      </rPr>
      <t>3</t>
    </r>
    <r>
      <rPr>
        <sz val="12"/>
        <rFont val="Calibri"/>
        <family val="2"/>
        <scheme val="minor"/>
      </rPr>
      <t>)</t>
    </r>
  </si>
  <si>
    <r>
      <t>1 metro cúbico (m</t>
    </r>
    <r>
      <rPr>
        <vertAlign val="superscript"/>
        <sz val="12"/>
        <rFont val="Calibri"/>
        <family val="2"/>
        <scheme val="minor"/>
      </rPr>
      <t>3</t>
    </r>
    <r>
      <rPr>
        <sz val="12"/>
        <rFont val="Calibri"/>
        <family val="2"/>
        <scheme val="minor"/>
      </rPr>
      <t>)</t>
    </r>
  </si>
  <si>
    <r>
      <t>10</t>
    </r>
    <r>
      <rPr>
        <vertAlign val="superscript"/>
        <sz val="12"/>
        <rFont val="Calibri"/>
        <family val="2"/>
        <scheme val="minor"/>
      </rPr>
      <t>3</t>
    </r>
    <r>
      <rPr>
        <sz val="12"/>
        <rFont val="Calibri"/>
        <family val="2"/>
        <scheme val="minor"/>
      </rPr>
      <t xml:space="preserve"> = 1000</t>
    </r>
  </si>
  <si>
    <r>
      <t>10</t>
    </r>
    <r>
      <rPr>
        <vertAlign val="superscript"/>
        <sz val="12"/>
        <rFont val="Calibri"/>
        <family val="2"/>
        <scheme val="minor"/>
      </rPr>
      <t>6</t>
    </r>
    <r>
      <rPr>
        <sz val="12"/>
        <rFont val="Calibri"/>
        <family val="2"/>
        <scheme val="minor"/>
      </rPr>
      <t xml:space="preserve"> = 1 000 000</t>
    </r>
  </si>
  <si>
    <r>
      <t>10</t>
    </r>
    <r>
      <rPr>
        <vertAlign val="superscript"/>
        <sz val="12"/>
        <rFont val="Calibri"/>
        <family val="2"/>
        <scheme val="minor"/>
      </rPr>
      <t>9</t>
    </r>
    <r>
      <rPr>
        <sz val="12"/>
        <rFont val="Calibri"/>
        <family val="2"/>
        <scheme val="minor"/>
      </rPr>
      <t xml:space="preserve"> = 1 000 000 000</t>
    </r>
  </si>
  <si>
    <r>
      <t>10</t>
    </r>
    <r>
      <rPr>
        <vertAlign val="superscript"/>
        <sz val="12"/>
        <rFont val="Calibri"/>
        <family val="2"/>
        <scheme val="minor"/>
      </rPr>
      <t>12</t>
    </r>
    <r>
      <rPr>
        <sz val="12"/>
        <rFont val="Calibri"/>
        <family val="2"/>
        <scheme val="minor"/>
      </rPr>
      <t xml:space="preserve"> = 1 000 000 000 000</t>
    </r>
  </si>
  <si>
    <r>
      <t>Peso molecular de CO</t>
    </r>
    <r>
      <rPr>
        <vertAlign val="subscript"/>
        <sz val="12"/>
        <rFont val="Calibri"/>
        <family val="2"/>
        <scheme val="minor"/>
      </rPr>
      <t>2</t>
    </r>
  </si>
  <si>
    <t>Ficha técnica</t>
  </si>
  <si>
    <t>Autores</t>
  </si>
  <si>
    <t>Novembro 2023</t>
  </si>
  <si>
    <t>Título do documento</t>
  </si>
  <si>
    <t>Entidade Promotora</t>
  </si>
  <si>
    <t>POSEUR</t>
  </si>
  <si>
    <t>Atualizações</t>
  </si>
  <si>
    <t>Versão</t>
  </si>
  <si>
    <t>Publicação web</t>
  </si>
  <si>
    <t>Revisões</t>
  </si>
  <si>
    <t>V0</t>
  </si>
  <si>
    <t>D. Percentagem de renováveis no mix energético Português</t>
  </si>
  <si>
    <t>F. Novos fatores (tCO2 eq/MWh)</t>
  </si>
  <si>
    <t xml:space="preserve">(1) Apenas deverão ser reportadas categorias florestais se não for previsto o abate de árvores regular, nomeadamente, para comercialização da madeira florestal. </t>
  </si>
  <si>
    <r>
      <t>(I) Depois de preencher todas as folhas indicadas na folha Triagem, pode ver as emissões totais do projeto na folha "</t>
    </r>
    <r>
      <rPr>
        <i/>
        <u/>
        <sz val="14"/>
        <color theme="1"/>
        <rFont val="Calibri"/>
        <family val="2"/>
        <scheme val="minor"/>
      </rPr>
      <t>Resultados"</t>
    </r>
    <r>
      <rPr>
        <sz val="14"/>
        <color theme="1"/>
        <rFont val="Calibri"/>
        <family val="2"/>
        <scheme val="minor"/>
      </rPr>
      <t>.</t>
    </r>
  </si>
  <si>
    <r>
      <t xml:space="preserve">(D) Deve preencher apenas as células a </t>
    </r>
    <r>
      <rPr>
        <b/>
        <sz val="14"/>
        <color theme="8"/>
        <rFont val="Calibri"/>
        <family val="2"/>
        <scheme val="minor"/>
      </rPr>
      <t>AZUL CLARO</t>
    </r>
    <r>
      <rPr>
        <sz val="14"/>
        <color theme="1"/>
        <rFont val="Calibri"/>
        <family val="2"/>
        <scheme val="minor"/>
      </rPr>
      <t xml:space="preserve">. </t>
    </r>
  </si>
  <si>
    <t xml:space="preserve">     Não deve alterar nenhuma das outras células, sobre o risco de danificar a integridade da ferramenta e, consequentemente, os resultados apresentados.</t>
  </si>
  <si>
    <t xml:space="preserve">(H) A qualidade dos dados introduzidos pelo utilizador determinam a qualidade dos resultados apresentados por esta ferramenta. </t>
  </si>
  <si>
    <t xml:space="preserve">      Os resultados serão tanto mais próximos da realidade, quanto melhor a qualidade dos dados introduzidos.</t>
  </si>
  <si>
    <t xml:space="preserve">Esta folha deverá ser preenchida se houver lugar à produção de energia elétrica a partir de fontes de energia renovável, como instalação de painéis fotovoltaicos ou aerogeradores, em projetos ligados à rede elétrica. </t>
  </si>
  <si>
    <r>
      <t>(kgCO</t>
    </r>
    <r>
      <rPr>
        <b/>
        <vertAlign val="subscript"/>
        <sz val="12"/>
        <rFont val="Calibri"/>
        <family val="2"/>
        <scheme val="minor"/>
      </rPr>
      <t>2</t>
    </r>
    <r>
      <rPr>
        <b/>
        <sz val="12"/>
        <rFont val="Calibri"/>
        <family val="2"/>
        <scheme val="minor"/>
      </rPr>
      <t>e /ano)</t>
    </r>
  </si>
  <si>
    <t>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t>
  </si>
  <si>
    <t>Briquetes de linhite</t>
  </si>
  <si>
    <t>Coque de forno de coque e coque de linhite</t>
  </si>
  <si>
    <t>Alcatrão de hulha</t>
  </si>
  <si>
    <t>Gás de forno de aciaria de oxigénio</t>
  </si>
  <si>
    <t>LGN - Gás Natural Liquefeito</t>
  </si>
  <si>
    <t>GPL - Gás de Petróleo Liquefeito</t>
  </si>
  <si>
    <t>Gasóleo / óleo diesel (fuelóleo destilado)</t>
  </si>
  <si>
    <t>Resíduos municipais (fração não biodegradável)</t>
  </si>
  <si>
    <t>Madeira, resíduos de madeira e outros resíduos sólidos</t>
  </si>
  <si>
    <t>Linhite preta</t>
  </si>
  <si>
    <r>
      <t>Emissões de CO</t>
    </r>
    <r>
      <rPr>
        <b/>
        <vertAlign val="subscript"/>
        <sz val="12"/>
        <color theme="0"/>
        <rFont val="Calibri"/>
        <family val="2"/>
        <scheme val="minor"/>
      </rPr>
      <t>2</t>
    </r>
    <r>
      <rPr>
        <b/>
        <sz val="12"/>
        <color theme="0"/>
        <rFont val="Calibri"/>
        <family val="2"/>
        <scheme val="minor"/>
      </rPr>
      <t xml:space="preserve"> </t>
    </r>
  </si>
  <si>
    <r>
      <t>Emissões de CH</t>
    </r>
    <r>
      <rPr>
        <b/>
        <vertAlign val="subscript"/>
        <sz val="12"/>
        <color theme="0"/>
        <rFont val="Calibri"/>
        <family val="2"/>
        <scheme val="minor"/>
      </rPr>
      <t>4</t>
    </r>
    <r>
      <rPr>
        <b/>
        <sz val="12"/>
        <color theme="0"/>
        <rFont val="Calibri"/>
        <family val="2"/>
        <scheme val="minor"/>
      </rPr>
      <t xml:space="preserve"> </t>
    </r>
  </si>
  <si>
    <r>
      <t>Emissões de N</t>
    </r>
    <r>
      <rPr>
        <b/>
        <vertAlign val="subscript"/>
        <sz val="12"/>
        <color theme="0"/>
        <rFont val="Calibri"/>
        <family val="2"/>
        <scheme val="minor"/>
      </rPr>
      <t>2</t>
    </r>
    <r>
      <rPr>
        <b/>
        <sz val="12"/>
        <color theme="0"/>
        <rFont val="Calibri"/>
        <family val="2"/>
        <scheme val="minor"/>
      </rPr>
      <t>O</t>
    </r>
  </si>
  <si>
    <r>
      <t>Emissões em CO</t>
    </r>
    <r>
      <rPr>
        <b/>
        <vertAlign val="subscript"/>
        <sz val="12"/>
        <color theme="0"/>
        <rFont val="Calibri"/>
        <family val="2"/>
        <scheme val="minor"/>
      </rPr>
      <t>2</t>
    </r>
    <r>
      <rPr>
        <b/>
        <sz val="12"/>
        <color theme="0"/>
        <rFont val="Calibri"/>
        <family val="2"/>
        <scheme val="minor"/>
      </rPr>
      <t>e</t>
    </r>
  </si>
  <si>
    <r>
      <t>CO</t>
    </r>
    <r>
      <rPr>
        <b/>
        <vertAlign val="subscript"/>
        <sz val="12"/>
        <color theme="0"/>
        <rFont val="Calibri"/>
        <family val="2"/>
        <scheme val="minor"/>
      </rPr>
      <t>2</t>
    </r>
    <r>
      <rPr>
        <b/>
        <sz val="12"/>
        <color theme="0"/>
        <rFont val="Calibri"/>
        <family val="2"/>
        <scheme val="minor"/>
      </rPr>
      <t xml:space="preserve">  (kg/un)</t>
    </r>
  </si>
  <si>
    <r>
      <t>CH</t>
    </r>
    <r>
      <rPr>
        <b/>
        <vertAlign val="subscript"/>
        <sz val="12"/>
        <color theme="0"/>
        <rFont val="Calibri"/>
        <family val="2"/>
        <scheme val="minor"/>
      </rPr>
      <t>4</t>
    </r>
    <r>
      <rPr>
        <b/>
        <sz val="12"/>
        <color theme="0"/>
        <rFont val="Calibri"/>
        <family val="2"/>
        <scheme val="minor"/>
      </rPr>
      <t xml:space="preserve"> (kg/un)</t>
    </r>
  </si>
  <si>
    <r>
      <t>N</t>
    </r>
    <r>
      <rPr>
        <b/>
        <vertAlign val="subscript"/>
        <sz val="12"/>
        <color theme="0"/>
        <rFont val="Calibri"/>
        <family val="2"/>
        <scheme val="minor"/>
      </rPr>
      <t>2</t>
    </r>
    <r>
      <rPr>
        <b/>
        <sz val="12"/>
        <color theme="0"/>
        <rFont val="Calibri"/>
        <family val="2"/>
        <scheme val="minor"/>
      </rPr>
      <t>O (kg/un)</t>
    </r>
  </si>
  <si>
    <t xml:space="preserve">(F) Nas tabelas a preencher em todas as folhas é apresentada uma linha exemplo preenchida, para facilitar o preenchimento das tabelas. </t>
  </si>
  <si>
    <t>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t>
  </si>
  <si>
    <t>Definições dos combustíveis</t>
  </si>
  <si>
    <t>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t>
  </si>
  <si>
    <t>Viagem anual de team building</t>
  </si>
  <si>
    <t>Transporte de equipamentos</t>
  </si>
  <si>
    <t>Maquinaria agrícola e florestal - Gasóleo / óleo diesel (fuelóleo destilado)</t>
  </si>
  <si>
    <t>Tabela 5.  Cálculo de emissões pelo consumo de combustível médio anual esperado</t>
  </si>
  <si>
    <r>
      <t>Emissões de GEE médias anuais (tCO</t>
    </r>
    <r>
      <rPr>
        <b/>
        <vertAlign val="subscript"/>
        <sz val="12"/>
        <color theme="0"/>
        <rFont val="Calibri"/>
        <family val="2"/>
        <scheme val="minor"/>
      </rPr>
      <t>2</t>
    </r>
    <r>
      <rPr>
        <b/>
        <sz val="12"/>
        <color theme="0"/>
        <rFont val="Calibri"/>
        <family val="2"/>
        <scheme val="minor"/>
      </rPr>
      <t>e/ano)</t>
    </r>
  </si>
  <si>
    <r>
      <t>Emissões de GEE acumuladas (tCO</t>
    </r>
    <r>
      <rPr>
        <b/>
        <vertAlign val="subscript"/>
        <sz val="12"/>
        <color theme="0"/>
        <rFont val="Calibri"/>
        <family val="2"/>
        <scheme val="minor"/>
      </rPr>
      <t>2</t>
    </r>
    <r>
      <rPr>
        <b/>
        <sz val="12"/>
        <color theme="0"/>
        <rFont val="Calibri"/>
        <family val="2"/>
        <scheme val="minor"/>
      </rPr>
      <t>e)</t>
    </r>
  </si>
  <si>
    <t>Emissões de GEE da combustão estacionária (diretas)</t>
  </si>
  <si>
    <r>
      <t>Emissões de CO</t>
    </r>
    <r>
      <rPr>
        <b/>
        <vertAlign val="subscript"/>
        <sz val="12"/>
        <color theme="0"/>
        <rFont val="Calibri"/>
        <family val="2"/>
        <scheme val="minor"/>
      </rPr>
      <t>2</t>
    </r>
    <r>
      <rPr>
        <b/>
        <sz val="12"/>
        <color theme="0"/>
        <rFont val="Calibri"/>
        <family val="2"/>
        <scheme val="minor"/>
      </rPr>
      <t xml:space="preserve"> biogénicas da combustão estacionária (diretas)</t>
    </r>
  </si>
  <si>
    <t>Emissões de GEE da produção dos combustíveis (indiretas) (a)</t>
  </si>
  <si>
    <t>Emissões da combustão móvel INDIRETAS</t>
  </si>
  <si>
    <t>Emissões da combustão móvel DIRETAS</t>
  </si>
  <si>
    <t>Hulha betuminosa com uma qualidade que permite a produção de um coque susceptível de utilização em altos-fornos. O seu poder calorífico superior ultrapassa 23 865 kJ/kg (5700 kcal/kg), medido sem cinzas, mas com humidade.</t>
  </si>
  <si>
    <t>Opção 1</t>
  </si>
  <si>
    <t>Opção 2</t>
  </si>
  <si>
    <t>Opção 3</t>
  </si>
  <si>
    <r>
      <t>Emissões médias anuais  (t CO</t>
    </r>
    <r>
      <rPr>
        <b/>
        <vertAlign val="subscript"/>
        <sz val="12"/>
        <color theme="0"/>
        <rFont val="Calibri"/>
        <family val="2"/>
        <scheme val="minor"/>
      </rPr>
      <t>2</t>
    </r>
    <r>
      <rPr>
        <b/>
        <sz val="12"/>
        <color theme="0"/>
        <rFont val="Calibri"/>
        <family val="2"/>
        <scheme val="minor"/>
      </rPr>
      <t>e/ano)</t>
    </r>
  </si>
  <si>
    <r>
      <t>Emissões acumuladas  (t CO</t>
    </r>
    <r>
      <rPr>
        <b/>
        <vertAlign val="subscript"/>
        <sz val="12"/>
        <color theme="0"/>
        <rFont val="Calibri"/>
        <family val="2"/>
        <scheme val="minor"/>
      </rPr>
      <t>2</t>
    </r>
    <r>
      <rPr>
        <b/>
        <sz val="12"/>
        <color theme="0"/>
        <rFont val="Calibri"/>
        <family val="2"/>
        <scheme val="minor"/>
      </rPr>
      <t>e)</t>
    </r>
  </si>
  <si>
    <t>Total de outras emissões de processo</t>
  </si>
  <si>
    <t>Estima-se o envio de 1t por dia.</t>
  </si>
  <si>
    <t>kgCO2e / kg estrume</t>
  </si>
  <si>
    <t>kg CO2e / cabeças de animais/ano</t>
  </si>
  <si>
    <t>kg CO2e / cabeças de animais / ano</t>
  </si>
  <si>
    <t>kg CO2e / m2 de área / ano</t>
  </si>
  <si>
    <t>kg CO2e / kg de biomassa queimada / ano</t>
  </si>
  <si>
    <t>kg CO2e / kg de cal usada nos solos/ano</t>
  </si>
  <si>
    <t>kg CO2e / kg de ureia usada nos solos/ano</t>
  </si>
  <si>
    <t>kg CO2e / kg de fertilizante azotado, composto ou estrume / ano</t>
  </si>
  <si>
    <t>kg CO2e / m2 de solo lavrado /ano</t>
  </si>
  <si>
    <t>kg CO2e / m2 de área inundada</t>
  </si>
  <si>
    <t>kg CO2e / m2 de área alterada / ano</t>
  </si>
  <si>
    <t>kg CO2e / m2 de área de sequestro /ano</t>
  </si>
  <si>
    <t>kg CO2e / cabeças de animais</t>
  </si>
  <si>
    <t xml:space="preserve">kg CO2e / cabeças de animais </t>
  </si>
  <si>
    <t xml:space="preserve">kg CO2e / m2 de área </t>
  </si>
  <si>
    <t>kg CO2e / kg de biomassa queimada</t>
  </si>
  <si>
    <t>kg CO2e / kg de cal usada nos solos</t>
  </si>
  <si>
    <t>kg CO2e / kg de ureia usada nos solos</t>
  </si>
  <si>
    <t xml:space="preserve">kg CO2e / kg de fertilizante azotado, composto ou estrume </t>
  </si>
  <si>
    <t xml:space="preserve">kg CO2e / m2 de solo lavrado </t>
  </si>
  <si>
    <t xml:space="preserve">kg CO2e / m2 de área alterada </t>
  </si>
  <si>
    <t xml:space="preserve">kg CO2e / m2 de área de sequestro </t>
  </si>
  <si>
    <t>kg CO2e / kg estrume</t>
  </si>
  <si>
    <r>
      <t xml:space="preserve">(D) Selecione o </t>
    </r>
    <r>
      <rPr>
        <u/>
        <sz val="12"/>
        <color theme="1"/>
        <rFont val="Calibri"/>
        <family val="2"/>
        <scheme val="minor"/>
      </rPr>
      <t>setor de atividade</t>
    </r>
    <r>
      <rPr>
        <sz val="12"/>
        <color theme="1"/>
        <rFont val="Calibri"/>
        <family val="2"/>
        <scheme val="minor"/>
      </rPr>
      <t xml:space="preserve"> da lista apresentada e de seguida, especifique a que se refere a atividade, por exemplo, se selecionou "Gestão de estrume", especifique indicando o tipo de gado.</t>
    </r>
  </si>
  <si>
    <r>
      <t>(H) No final desta secção são apresentadas as emissões médias anuais e acumuldas, em tCO</t>
    </r>
    <r>
      <rPr>
        <vertAlign val="subscript"/>
        <sz val="12"/>
        <rFont val="Calibri"/>
        <family val="2"/>
        <scheme val="minor"/>
      </rPr>
      <t>2</t>
    </r>
    <r>
      <rPr>
        <sz val="12"/>
        <rFont val="Calibri"/>
        <family val="2"/>
        <scheme val="minor"/>
      </rPr>
      <t>e.</t>
    </r>
  </si>
  <si>
    <r>
      <t>(G) Se selecionou criação ou manutenção de usos do solo, deverá indicar a categoria de usos de solo que será criada ou mantida e a área em hectares (ha) - Colunas B. e D.; Se tiver um uso de solo específico não listado (ex.: pastagens semeadas biodiversas) ou se tiver um fator de sequestro específico para a sua área, selecione a opção "ACRESCENTAR" e ser-lhe-á pedido para indicar o tipo de uso do solo bem como o fator de sequestro em tCO</t>
    </r>
    <r>
      <rPr>
        <vertAlign val="subscript"/>
        <sz val="12"/>
        <color theme="1"/>
        <rFont val="Calibri"/>
        <family val="2"/>
        <scheme val="minor"/>
      </rPr>
      <t>2</t>
    </r>
    <r>
      <rPr>
        <sz val="12"/>
        <color theme="1"/>
        <rFont val="Calibri"/>
        <family val="2"/>
        <scheme val="minor"/>
      </rPr>
      <t xml:space="preserve">e/ha.ano - coluna C.; Ao preencher as colunas C., indique a fonte de informação, pressupostos ou métodos de cálculos usados para o fator de emissão/sequestro.   </t>
    </r>
  </si>
  <si>
    <t>Tabela 2.  Relato de outras emissões de processo - Alterações dos usos do solo e manutenção de áreas florestais</t>
  </si>
  <si>
    <r>
      <t>(E) Se selecionar a opção "Outros (ex.: queima de biogás), ser-lhe-á pedido que indique, para além da quantidade de resíduo enviado para este tipo de tratamento, as unidades (kg, tonelada, m</t>
    </r>
    <r>
      <rPr>
        <vertAlign val="superscript"/>
        <sz val="12"/>
        <color theme="1"/>
        <rFont val="Calibri"/>
        <family val="2"/>
        <scheme val="minor"/>
      </rPr>
      <t>3</t>
    </r>
    <r>
      <rPr>
        <sz val="12"/>
        <color theme="1"/>
        <rFont val="Calibri"/>
        <family val="2"/>
        <scheme val="minor"/>
      </rPr>
      <t>, etc.)</t>
    </r>
  </si>
  <si>
    <r>
      <t xml:space="preserve">(F)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</si>
  <si>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t>(G)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</si>
  <si>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(H) Todos os valores pedidos dizem respeito a valores médios anuais para a fase em questão.</t>
  </si>
  <si>
    <t xml:space="preserve">Emissões de GEE elétricas e térmicas adquiridas </t>
  </si>
  <si>
    <t xml:space="preserve">Esta folha deverá ser preenchida se houver lugar à contratação de eletricidade, calor (quente e frio) e vapor de terceiros. </t>
  </si>
  <si>
    <t xml:space="preserve">Esta folha refere-se às emissões provenientes da produção de eletricidade, quente, frio e vapor contratados pelo projeto. Visto não ocorrerem nas instalações do projeto, tratam-se de emissões de GEE indiretas. </t>
  </si>
  <si>
    <r>
      <t>Fator de emissão eletricidade médio anual (tCO</t>
    </r>
    <r>
      <rPr>
        <b/>
        <vertAlign val="subscript"/>
        <sz val="12"/>
        <rFont val="Calibri"/>
        <family val="2"/>
        <scheme val="minor"/>
      </rPr>
      <t>2</t>
    </r>
    <r>
      <rPr>
        <b/>
        <sz val="12"/>
        <rFont val="Calibri"/>
        <family val="2"/>
        <scheme val="minor"/>
      </rPr>
      <t>e/MWh)</t>
    </r>
  </si>
  <si>
    <r>
      <t>Emissões médias evitadas por ano (tCO</t>
    </r>
    <r>
      <rPr>
        <b/>
        <vertAlign val="subscript"/>
        <sz val="12"/>
        <rFont val="Calibri"/>
        <family val="2"/>
        <scheme val="minor"/>
      </rPr>
      <t>2</t>
    </r>
    <r>
      <rPr>
        <b/>
        <sz val="12"/>
        <rFont val="Calibri"/>
        <family val="2"/>
        <scheme val="minor"/>
      </rPr>
      <t>e/ano)</t>
    </r>
  </si>
  <si>
    <r>
      <t>Emissões de GEE evitadas no primeiro ano (tCO</t>
    </r>
    <r>
      <rPr>
        <b/>
        <vertAlign val="subscript"/>
        <sz val="12"/>
        <rFont val="Calibri"/>
        <family val="2"/>
        <scheme val="minor"/>
      </rPr>
      <t>2</t>
    </r>
    <r>
      <rPr>
        <b/>
        <sz val="12"/>
        <rFont val="Calibri"/>
        <family val="2"/>
        <scheme val="minor"/>
      </rPr>
      <t>e)</t>
    </r>
  </si>
  <si>
    <t xml:space="preserve">(D) Dependendo do tipo de bem que selecionou, poderá ter de preencher a coluna C. Se a coluna C. ficar azul, deverá especificar o Bem em questão. </t>
  </si>
  <si>
    <t xml:space="preserve">Esta secção da ferramenta inclui a emissão de GEE associadas ao produto produzido quando este deixa o projeto. Inclui as emissões de tratamentos e acabamentos dados ao produto (efetuados por terceiros), quando este é um produto secundário (ex.: uma peça); as emissões do uso do produto, quando a sua utilização envolve emissões de GEE, como veículos e eletrodomésticos; e emissões dos tratamentos e fim de vida do produto, quer sejam reciclagem, incineração, compostagem, deposição em aterro. Para o transporte e distribuição do produto, deverá reportar estes na folha "Combustão Móvel", sob a categoria "transporte a jusante". </t>
  </si>
  <si>
    <r>
      <t>Total (tCO</t>
    </r>
    <r>
      <rPr>
        <b/>
        <vertAlign val="subscript"/>
        <sz val="12"/>
        <rFont val="Calibri"/>
        <family val="2"/>
        <scheme val="minor"/>
      </rPr>
      <t>2</t>
    </r>
    <r>
      <rPr>
        <b/>
        <sz val="12"/>
        <rFont val="Calibri"/>
        <family val="2"/>
        <scheme val="minor"/>
      </rPr>
      <t>e)</t>
    </r>
  </si>
  <si>
    <t>TOTAL COM USOS DO SOLO</t>
  </si>
  <si>
    <t>Total sem usos do solo</t>
  </si>
  <si>
    <r>
      <t>(kgCO</t>
    </r>
    <r>
      <rPr>
        <b/>
        <vertAlign val="subscript"/>
        <sz val="12"/>
        <rFont val="Calibri"/>
        <family val="2"/>
        <scheme val="minor"/>
      </rPr>
      <t>2</t>
    </r>
    <r>
      <rPr>
        <b/>
        <sz val="12"/>
        <rFont val="Calibri"/>
        <family val="2"/>
        <scheme val="minor"/>
      </rPr>
      <t>e / unidade)</t>
    </r>
  </si>
  <si>
    <t>Quantidade (média anual)</t>
  </si>
  <si>
    <t>Resíduo enviada para tratamento</t>
  </si>
  <si>
    <t>Fator de emissão de GEE fóssil da combustão</t>
  </si>
  <si>
    <t>Fator de emissão de GEE biogénico da combustão</t>
  </si>
  <si>
    <t>Emissões de GEE biogénicas anuais</t>
  </si>
  <si>
    <r>
      <t>A gasolina para motores é constituída por uma mistura de hidrocarbonetos leves que destilam entre 35</t>
    </r>
    <r>
      <rPr>
        <vertAlign val="superscript"/>
        <sz val="12"/>
        <rFont val="Calibri"/>
        <family val="2"/>
        <scheme val="minor"/>
      </rPr>
      <t>o</t>
    </r>
    <r>
      <rPr>
        <sz val="12"/>
        <rFont val="Calibri"/>
        <family val="2"/>
        <scheme val="minor"/>
      </rPr>
      <t>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t>
    </r>
  </si>
  <si>
    <r>
      <t>Hidrocarboneto (C</t>
    </r>
    <r>
      <rPr>
        <vertAlign val="subscript"/>
        <sz val="12"/>
        <rFont val="Calibri"/>
        <family val="2"/>
        <scheme val="minor"/>
      </rPr>
      <t>2</t>
    </r>
    <r>
      <rPr>
        <sz val="12"/>
        <rFont val="Calibri"/>
        <family val="2"/>
        <scheme val="minor"/>
      </rPr>
      <t>H</t>
    </r>
    <r>
      <rPr>
        <vertAlign val="subscript"/>
        <sz val="12"/>
        <rFont val="Calibri"/>
        <family val="2"/>
        <scheme val="minor"/>
      </rPr>
      <t>6</t>
    </r>
    <r>
      <rPr>
        <sz val="12"/>
        <rFont val="Calibri"/>
        <family val="2"/>
        <scheme val="minor"/>
      </rPr>
      <t>) de cadeia linear, gasosos no estado natural, extraído do gás natural e dos gases de refinaria.</t>
    </r>
  </si>
  <si>
    <r>
      <t>Hidrocarbonetos parafínicos claros obtidos dos processos de refinação e nas instalações de estabilização do petróleo bruto e de transformação de gás natural. São constituídos principalmente por propano (C</t>
    </r>
    <r>
      <rPr>
        <vertAlign val="subscript"/>
        <sz val="12"/>
        <rFont val="Calibri"/>
        <family val="2"/>
        <scheme val="minor"/>
      </rPr>
      <t>3</t>
    </r>
    <r>
      <rPr>
        <sz val="12"/>
        <rFont val="Calibri"/>
        <family val="2"/>
        <scheme val="minor"/>
      </rPr>
      <t>H</t>
    </r>
    <r>
      <rPr>
        <vertAlign val="subscript"/>
        <sz val="12"/>
        <rFont val="Calibri"/>
        <family val="2"/>
        <scheme val="minor"/>
      </rPr>
      <t>8</t>
    </r>
    <r>
      <rPr>
        <sz val="12"/>
        <rFont val="Calibri"/>
        <family val="2"/>
        <scheme val="minor"/>
      </rPr>
      <t>) e butano (C</t>
    </r>
    <r>
      <rPr>
        <vertAlign val="subscript"/>
        <sz val="12"/>
        <rFont val="Calibri"/>
        <family val="2"/>
        <scheme val="minor"/>
      </rPr>
      <t>4</t>
    </r>
    <r>
      <rPr>
        <sz val="12"/>
        <rFont val="Calibri"/>
        <family val="2"/>
        <scheme val="minor"/>
      </rPr>
      <t>H</t>
    </r>
    <r>
      <rPr>
        <vertAlign val="subscript"/>
        <sz val="12"/>
        <rFont val="Calibri"/>
        <family val="2"/>
        <scheme val="minor"/>
      </rPr>
      <t>10</t>
    </r>
    <r>
      <rPr>
        <sz val="12"/>
        <rFont val="Calibri"/>
        <family val="2"/>
        <scheme val="minor"/>
      </rPr>
      <t>) ou por uma combinação dos dois. Podem igualmente incluir propileno, butileno, isopropileno e isobutileno. Os GPL são normalmente liquefeitos sob pressão para o transporte e a armazenagem.</t>
    </r>
  </si>
  <si>
    <r>
      <t>Destilado utilizado para unidades de turbinas de aviação. Tem as mesmas características de destilação, entre 150</t>
    </r>
    <r>
      <rPr>
        <vertAlign val="superscript"/>
        <sz val="12"/>
        <rFont val="Calibri"/>
        <family val="2"/>
        <scheme val="minor"/>
      </rPr>
      <t>o</t>
    </r>
    <r>
      <rPr>
        <sz val="12"/>
        <rFont val="Calibri"/>
        <family val="2"/>
        <scheme val="minor"/>
      </rPr>
      <t>C e 300</t>
    </r>
    <r>
      <rPr>
        <vertAlign val="superscript"/>
        <sz val="12"/>
        <rFont val="Calibri"/>
        <family val="2"/>
        <scheme val="minor"/>
      </rPr>
      <t>o</t>
    </r>
    <r>
      <rPr>
        <sz val="12"/>
        <rFont val="Calibri"/>
        <family val="2"/>
        <scheme val="minor"/>
      </rPr>
      <t>C (em geral, não acima de 250</t>
    </r>
    <r>
      <rPr>
        <vertAlign val="superscript"/>
        <sz val="12"/>
        <rFont val="Calibri"/>
        <family val="2"/>
        <scheme val="minor"/>
      </rPr>
      <t>o</t>
    </r>
    <r>
      <rPr>
        <sz val="12"/>
        <rFont val="Calibri"/>
        <family val="2"/>
        <scheme val="minor"/>
      </rPr>
      <t>C), e o mesmo ponto de inflamação que o querosene. Além disso, tem especificações particulares (como o ponto de congelação) que são estabelecidas pela Associação Internacional do Transporte Aéreo (IATA). Inclui os compostos para mistura com o querosene.</t>
    </r>
  </si>
  <si>
    <t>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t>
  </si>
  <si>
    <r>
      <t>A nafta é uma matéria-prima destinada à indústria petroquímica (por exemplo, fabricação de etileno ou produção de compostos aromáticos) ou à produção de gasolina por reforma ou isomerização na refinaria. A nafta inclui o material que destila entre 30</t>
    </r>
    <r>
      <rPr>
        <vertAlign val="superscript"/>
        <sz val="12"/>
        <rFont val="Calibri"/>
        <family val="2"/>
        <scheme val="minor"/>
      </rPr>
      <t>o</t>
    </r>
    <r>
      <rPr>
        <sz val="12"/>
        <rFont val="Calibri"/>
        <family val="2"/>
        <scheme val="minor"/>
      </rPr>
      <t>C e 210</t>
    </r>
    <r>
      <rPr>
        <vertAlign val="superscript"/>
        <sz val="12"/>
        <rFont val="Calibri"/>
        <family val="2"/>
        <scheme val="minor"/>
      </rPr>
      <t>o</t>
    </r>
    <r>
      <rPr>
        <sz val="12"/>
        <rFont val="Calibri"/>
        <family val="2"/>
        <scheme val="minor"/>
      </rPr>
      <t>C ou parte desta faixa.</t>
    </r>
  </si>
  <si>
    <t>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t>
  </si>
  <si>
    <t>Secção 8 -  Fatores de emissão para geração de eletricidade</t>
  </si>
  <si>
    <t>Secção 9 -  Fatores para Alteração de Uso de Solos</t>
  </si>
  <si>
    <t>Calculadora GEE para projetos</t>
  </si>
  <si>
    <t>Data de conclusão</t>
  </si>
  <si>
    <t xml:space="preserve">Esta calculadora de emissões de gases com efeito de estufa (GEE) destina-se a qualquer entidade que pretenda calcular o balanço de emissões de GEE de um projeto. A ferramenta pode ser aplicada a qualquer tipologia de projeto, independentemente de estes terem como objetivo ou não a redução de emissões de gases com efeito de estufa. A ferramanta foi desenvolvida para ser aplicada a projetos que ainda não ocorreram (i.e., uma avaliação ex-ante). </t>
  </si>
  <si>
    <t>Está particularmente adaptada para: (1) projetos que se enquadrem no procedimento de Avaliação de Impacte Ambiental e (2) projetos que envolvam emissões decorrentes do uso e produção de energia (incluindo o transporte de pessoas e bens).</t>
  </si>
  <si>
    <t xml:space="preserve">Esta calculadora permite obter as emissões de gases com efeito de estufa diretas (dentro da fronteira espacial do projeto e pertencente ao proponente do projeto) e indiretas (fora da fronteira espacial do projeto ou de outra entidade que não o proponente). </t>
  </si>
  <si>
    <t xml:space="preserve">O cálculo realizado com esta calculadora é adequado para entidades que pretendam efetuar o seu Estudo de Impacte Ambiental associados a um procedimento de Avaliação de Impacte Ambiental, podendo ser utilizada por qualquer outra entidade que pretenda efetuar uma estimativa das emissões de um projeto a ser implementado em território português. Esta calculadora aplica-se apenas ao território português uma vez que os fatores utilizados nesta são específicos para Portugal.     </t>
  </si>
  <si>
    <t xml:space="preserve">Esta ferramenta tem por objetivo o cálculo das emissões de Gases com Efeito de Estufa (GEE) geradas pela realização de um projeto em Portugal. Para tal, esta ferramenta possui 10 secções diferentes que calculam emissões provenientes de diferentes atividades. Cada calculadora apresenta as emissões de GEE médias anuais em determinado tipo de atividade e na folha "Resultados" são apresentadas as emissões agregadas por fase do projeto, por ano e o total das emissões geradas pelo projeto. </t>
  </si>
  <si>
    <t xml:space="preserve">Indique também o número de colaboradores que terá em média por ano em cada fase do projeto.  Inclua aqui mesmo os colaboradores subcontratados de outras empresas. Atenção que este valor refere-se à média e não ao valor total de colaboradores. Pode haver períodos no ano em que tenha mais colaboradores e outros períodos que tenha menos. Pretendemos obter aqui o valor médio. Por exemplo, se tiver 10 colaboradores que apenas trabalharão apenas 3 meses do ano, multiplique esse número de colaboradores por 3meses/11 meses de trabalho do ano. Este valor será usado para estimar as emissões de deslocação casa-trabalho efetuada por estes, considerando 2 viagens por dia, 22 dias por mês, 11 meses por ano, em meio de transporte e distâncias médias casa-trabalho obtidas dos Censos 2021. </t>
  </si>
  <si>
    <t xml:space="preserve">Inclui: painéis fotovoltaicos, aerogeradores, ou outras fontes de energia elétrica, térmica (ex.: solar térmico, produção e uso de biomassa, biocombustíveis e biogás), ou mecânica ou as emissões evitadas por via de transferência modal, por exemplo.  </t>
  </si>
  <si>
    <t xml:space="preserve">(a) Apenas considera, para já, emissões da produção de gás natural (extração e transporte) e produtos petrolíferos (refinação). </t>
  </si>
  <si>
    <r>
      <t>Emissões acumuladas (tCO</t>
    </r>
    <r>
      <rPr>
        <b/>
        <vertAlign val="subscript"/>
        <sz val="12"/>
        <color theme="0"/>
        <rFont val="Calibri"/>
        <family val="2"/>
        <scheme val="minor"/>
      </rPr>
      <t>2</t>
    </r>
    <r>
      <rPr>
        <b/>
        <sz val="12"/>
        <color theme="0"/>
        <rFont val="Calibri"/>
        <family val="2"/>
        <scheme val="minor"/>
      </rPr>
      <t>e)</t>
    </r>
  </si>
  <si>
    <t xml:space="preserve">            Transporte de passageiros ou mercadorias realizado pelo projeto, independentemente da atividade principal do projeto não estar associada especificamente ao transporte, como é o caso de comboios ou metro.</t>
  </si>
  <si>
    <t xml:space="preserve">Transporte de passageiros ou mercadorias promovido pelo projeto, independentemente da atividade principal do projeto não estar associada especificamente ao transporte marítimo e fluvial. Inclui  embarcações tanto fluviais como marítimas, desde ferrys, navios de carga, dragadores, rebocadores, batelões, graneleiros e porta-contentores. Necessitará saber qual o peso (tara) da embarcação/navio. </t>
  </si>
  <si>
    <t xml:space="preserve">            Transporte de passageiros ou mercadorias realizado pelo projeto, independentemente da atividade principal do projeto não estar associada especificamente ao transporte aéreo.</t>
  </si>
  <si>
    <t>Veículo pertencente ao proponente/projeto?</t>
  </si>
  <si>
    <t>O veículo pertencente ao proponente / projeto?</t>
  </si>
  <si>
    <t>O veículo pertencente ao proponente/projeto?</t>
  </si>
  <si>
    <t xml:space="preserve">Inclui: (1) produção animal, (2) eliminação de usos de solo, como desflorestação, queimadas, incêndios, (3) criação de novos usos de solo, como a instalação de florestas, culturas agrícolas em novos terrenos, (4)  manutenção de usos de solo como florestas ou albufeiras, (5) gestão de solos (ex.: uso de fertilizantes), uso de corretivos de solo (ex.: cal e ureia), (6) inundação de terrenos (ex.: para produção de arroz ou para formação de albufeiras), (7) produção de resíduos, águas residuais e efluentes, (8) tratamento e deposição de residuos sólidos (ex.: aterros, tratamentos biológicos, incineração sem recuperação de energia) e tratamento de águas residuais e efluentes agrícolas, pecuários, industriais ou outros. </t>
  </si>
  <si>
    <t xml:space="preserve">Para reporte de emissões ligadas à queima de biomassa (queimadas e incêndios), gestão de solos (ex.: uso de fertilizantes), uso de corretivos de solo (ex.: cal e ureia) e inundação de terrenos para produção de arroz e à produção animal (gestão de estrumes, fermentação entérica). </t>
  </si>
  <si>
    <t>B. Florestas e outros usos do solo</t>
  </si>
  <si>
    <t>Para reporte de emissões de GEE e sequestro de carbono ligadas a alterações de usos de solo, nomeadamente eliminação de usos de solo, como a desflorestação, queimadas, incêndios; a criação de novos usos de solo, como a instalação de florestas e culturas agrícolas; a manutenção de florestas e a criação de albufeiras. A criação de terrenos agrícolas é considerada aqui, mas a manutenção de culturas/terrenos agrícolas deverá ser reportado em "A. Agricultura e Pecuária".</t>
  </si>
  <si>
    <t xml:space="preserve">Inclui: eletricidade consumida nas instalações, mas também, eletricidade consumida em carregamentos de veículos do projeto fora do perímetro do mesmo. </t>
  </si>
  <si>
    <t xml:space="preserve">Reporte aqui as emissões relacionadas com a produção de eletricidade a adquirir para consumo do projeto. Consumos elétricos do carregamento de veículos pertencentes ao projeto, mesmo que carregados fora das instalações do projeto deverão ser também indicados aqui. </t>
  </si>
  <si>
    <t xml:space="preserve">Anos em funcionamento </t>
  </si>
  <si>
    <t xml:space="preserve">Reporte aqui as emissões evitadas relacionadas com outros projetos. Esta é apenas uma secção de reporte, o que significa que os valores a introduzir terão de ser calculados fora da calculadora. Para mais informações sobre como estimar estas emissões, recomenda-se a leitura do GHG Protocol Project Protocol, que se encontra no sítio: https://ghgprotocol.org/project-protocol </t>
  </si>
  <si>
    <t>(C) Identifique o projeto dando uma designação e uma breve descrição, incluindo o número de anos de funcionamento do projeto. Se não souber, considere o mesmo indicado da fase de exploração ou então, 30 anos. Este valor deverá ser usado nos cálculos de emissões do contrafactual e emissões evitadas.</t>
  </si>
  <si>
    <t>(D) Defina o contrafactual que irá considerar para as contas. O contrafactual representa o cenário, ao longo do tempo, que existiria se não existisse o projeto. Para mais informações, recomenda-se a leitura do GHG Protocol Project Protocol (https://ghgprotocol.org/sites/default/files/standards/ghg_project_accounting.pdf), nomeadamente dos capítulos 5, 6 e 7.</t>
  </si>
  <si>
    <r>
      <t>(E) Indique as emissões acumuladas do contrafactual, ou seja, do cenário ao longo tdo tempo sem projeto, dividas pelo número de anos do projeto, em tCO</t>
    </r>
    <r>
      <rPr>
        <vertAlign val="subscript"/>
        <sz val="12"/>
        <rFont val="Calibri"/>
        <family val="2"/>
        <scheme val="minor"/>
      </rPr>
      <t>2</t>
    </r>
    <r>
      <rPr>
        <sz val="12"/>
        <rFont val="Calibri"/>
        <family val="2"/>
        <scheme val="minor"/>
      </rPr>
      <t xml:space="preserve">e. Descreva os métodos, pressupostos e fontes para esta estimativa. Recomenda-se a abordagem do GHG Protocol Project Protocol (https://ghgprotocol.org/sites/default/files/standards/ghg_project_accounting.pdf), nomeadamente do capítulo 8. </t>
    </r>
  </si>
  <si>
    <t>(F) Descreva a fronteira de análise - indique as atividades incluídas e os efeitos a considerar na avaliação. Para mais informações recomenda-se a leitura dos capítulos 5, 6, 7 e 8 do GHG Protocol Project Protocol em https://ghgprotocol.org/sites/default/files/standards/ghg_project_accounting.pdf )</t>
  </si>
  <si>
    <t xml:space="preserve">(G) Quando a ferramenta não apresenta um valor, terá de ser o próprio utilizador a introduzir um valor de emissão associado ao Bem a adquirir. Pode obter este valor junto do seu futuro fornecedor, em estudos técnicos ou bases de dados de pegada de carbono e análises de ciclo de vida de produtos. </t>
  </si>
  <si>
    <t xml:space="preserve">Inclui produtos mesmo quando estes são produtos secundários (ex.: uma peça para uso noutra indústria, ou onde os acabamentos do produto (efetuados por terceiros); qualquer produto quando a sua utilização envolve emissões de GEE, como eletrodomésticos e veículos (elétricos ou não), produtos animais e alimentares. </t>
  </si>
  <si>
    <t>Emissões do processo de tratamento do produto (efetuado por terceiros)</t>
  </si>
  <si>
    <t xml:space="preserve">(E) De seguida, indique a produção média anual do produto e o tempo de vida do produto (em anos). O tempo de vida deve ser arredondado para cima, ou seja, se for inferior a um ano, deve indicar 1, se inferior a dois anos, deve indicar 2, etc. </t>
  </si>
  <si>
    <t>Emissões médias anuais e acumuladas por fase do projeto e por emissões diretas / indiretas</t>
  </si>
  <si>
    <t>Secção 7 - Potencial de Aquecimento Global (PAG) dos Gases com Efeito Estufa</t>
  </si>
  <si>
    <t xml:space="preserve">(J) Para o caso particular de um projeto de ampliação ou modificação dos procedimentos numa empresa, instalação ou projeto a fim de se obter as emissões de GEE antes e depois do projeto, recomenda-se utilizar a ferramenta para determinar as emissões antes da implementação do projeto e efetuar uma cópia da ferramenta, onde poderá efetuar as alterações esperadas com a ampliação ou modificação. Comparando os valores gerados por ambas as versões da ferramenta conseguirá ter uma ideia das alterações no balanço de emissões de GEE da instalação com e sem a ampliação ou modificação. </t>
  </si>
  <si>
    <t>Unidade do produto</t>
  </si>
  <si>
    <t>Carbonatos consumidos</t>
  </si>
  <si>
    <t>Emissões de GEE fósseis anuais</t>
  </si>
  <si>
    <r>
      <t>Fator de emissão  (kg CO</t>
    </r>
    <r>
      <rPr>
        <b/>
        <vertAlign val="subscript"/>
        <sz val="12"/>
        <color theme="1"/>
        <rFont val="Calibri"/>
        <family val="2"/>
        <scheme val="minor"/>
      </rPr>
      <t>2</t>
    </r>
    <r>
      <rPr>
        <b/>
        <sz val="12"/>
        <color theme="1"/>
        <rFont val="Calibri"/>
        <family val="2"/>
        <scheme val="minor"/>
      </rPr>
      <t>e/unidade) (1)</t>
    </r>
  </si>
  <si>
    <r>
      <t>t CO</t>
    </r>
    <r>
      <rPr>
        <b/>
        <vertAlign val="subscript"/>
        <sz val="12"/>
        <color theme="0"/>
        <rFont val="Calibri"/>
        <family val="2"/>
        <scheme val="minor"/>
      </rPr>
      <t>2e</t>
    </r>
    <r>
      <rPr>
        <b/>
        <sz val="12"/>
        <color theme="0"/>
        <rFont val="Calibri"/>
        <family val="2"/>
        <scheme val="minor"/>
      </rPr>
      <t>/ha</t>
    </r>
  </si>
  <si>
    <r>
      <t>Tabela 13 - Toneladas de CO</t>
    </r>
    <r>
      <rPr>
        <vertAlign val="subscript"/>
        <sz val="12"/>
        <rFont val="Calibri"/>
        <family val="2"/>
        <scheme val="minor"/>
      </rPr>
      <t>2</t>
    </r>
    <r>
      <rPr>
        <sz val="12"/>
        <rFont val="Calibri"/>
        <family val="2"/>
        <scheme val="minor"/>
      </rPr>
      <t xml:space="preserve">e armazenadas em florestas domindas por uma espécie de árvore, Portugal, 2021 </t>
    </r>
  </si>
  <si>
    <t>Eucalipto</t>
  </si>
  <si>
    <r>
      <t>Indique o fator de</t>
    </r>
    <r>
      <rPr>
        <b/>
        <u/>
        <sz val="12"/>
        <rFont val="Calibri"/>
        <family val="2"/>
        <scheme val="minor"/>
      </rPr>
      <t xml:space="preserve"> sequestro</t>
    </r>
    <r>
      <rPr>
        <b/>
        <sz val="12"/>
        <rFont val="Calibri"/>
        <family val="2"/>
        <scheme val="minor"/>
      </rPr>
      <t xml:space="preserve"> ou de </t>
    </r>
    <r>
      <rPr>
        <b/>
        <u/>
        <sz val="12"/>
        <rFont val="Calibri"/>
        <family val="2"/>
        <scheme val="minor"/>
      </rPr>
      <t>emissão</t>
    </r>
    <r>
      <rPr>
        <b/>
        <sz val="12"/>
        <rFont val="Calibri"/>
        <family val="2"/>
        <scheme val="minor"/>
      </rPr>
      <t xml:space="preserve"> correspondente (tCO</t>
    </r>
    <r>
      <rPr>
        <b/>
        <vertAlign val="subscript"/>
        <sz val="12"/>
        <rFont val="Calibri"/>
        <family val="2"/>
        <scheme val="minor"/>
      </rPr>
      <t>2</t>
    </r>
    <r>
      <rPr>
        <b/>
        <sz val="12"/>
        <rFont val="Calibri"/>
        <family val="2"/>
        <scheme val="minor"/>
      </rPr>
      <t>e/ha.ano)</t>
    </r>
  </si>
  <si>
    <t>Carbono armazenado por área (NIR 2023)</t>
  </si>
  <si>
    <t>Determinação de ganhos em carbono por área por ano</t>
  </si>
  <si>
    <t>kg CO2e / ano.número de veículos</t>
  </si>
  <si>
    <t xml:space="preserve">A folha permite ainda o reporte de emissões de outras emissões evitadas (como projetos de produção de renováveis não ligados à rede elétrica, ou produção de outras formas de energia não elétricas). O PREENCHIMENTO DESTA COMPONENTE É FACULTATIVO. </t>
  </si>
  <si>
    <t xml:space="preserve">Exemplos: Se for um produtor de aço ou de painéis solares, a energia que consome na atividade do projeto para a produção destes deve ser reportada aqui. </t>
  </si>
  <si>
    <t>Instituto Superior Técnico através da ADIST – Associação para o Desenvolvimento do Instituto Superior Técnico</t>
  </si>
  <si>
    <r>
      <t xml:space="preserve">Entidade Patronal </t>
    </r>
    <r>
      <rPr>
        <b/>
        <vertAlign val="superscript"/>
        <sz val="11"/>
        <color theme="1"/>
        <rFont val="Calibri"/>
        <family val="2"/>
        <scheme val="minor"/>
      </rPr>
      <t>(1)</t>
    </r>
    <r>
      <rPr>
        <b/>
        <sz val="11"/>
        <color theme="1"/>
        <rFont val="Calibri"/>
        <family val="2"/>
        <scheme val="minor"/>
      </rPr>
      <t xml:space="preserve">: </t>
    </r>
  </si>
  <si>
    <t xml:space="preserve">Esta ferramenta foi cofinanciada pelo POSEUR tendo sido desenvolvida pelo Instituto Superior Técnico da Universidade de Lisboa para a Autoridade de Gestão daquele programa, em estreita colaboração com a Agência Portuguesa do Ambiente.  </t>
  </si>
  <si>
    <t xml:space="preserve">(1) Ferramenta desenvolvida pelo Instituto Superior Técnico da Universidade de Lisboa para a Autoridade de Gestão do POSEUR, em estreita colaboração com a Agência Portuguesa do Ambiente.  </t>
  </si>
  <si>
    <t>Ricardo da Silva Vieira, Tiago Santos</t>
  </si>
  <si>
    <t>V1</t>
  </si>
  <si>
    <r>
      <t>E. Fator de emissão (kg CO</t>
    </r>
    <r>
      <rPr>
        <b/>
        <vertAlign val="subscript"/>
        <sz val="12"/>
        <color theme="1"/>
        <rFont val="Calibri"/>
        <family val="2"/>
        <scheme val="minor"/>
      </rPr>
      <t>2</t>
    </r>
    <r>
      <rPr>
        <b/>
        <sz val="12"/>
        <color theme="1"/>
        <rFont val="Calibri"/>
        <family val="2"/>
        <scheme val="minor"/>
      </rPr>
      <t>e/ por cada unidade)</t>
    </r>
  </si>
  <si>
    <t>Quantidade média anual</t>
  </si>
  <si>
    <t>(passageiros)</t>
  </si>
  <si>
    <t>Utilização</t>
  </si>
  <si>
    <t>Indique a data e duração de cada fase do projeto, bem como o número de colaboradores total</t>
  </si>
  <si>
    <r>
      <rPr>
        <b/>
        <sz val="12"/>
        <color theme="1"/>
        <rFont val="Calibri"/>
        <family val="2"/>
        <scheme val="minor"/>
      </rPr>
      <t>Tenha em atenção as unidades: a duração deve ser indicada em anos.</t>
    </r>
    <r>
      <rPr>
        <sz val="12"/>
        <color theme="1"/>
        <rFont val="Calibri"/>
        <family val="2"/>
        <scheme val="minor"/>
      </rPr>
      <t xml:space="preserve"> Se tiver a duração noutras unidades (ex.: meses) deverá converter para anos (ex.: número de meses/12) antes de a introduzir na ferramenta </t>
    </r>
  </si>
  <si>
    <t>Setor de atividade a que se refere a queima de combustível:</t>
  </si>
  <si>
    <t xml:space="preserve">Para os cálculos de emissões de combustão estacionária, a escolha dos Fatores de Emissão depende do setor de atividade (da fase de exploração), por isso, o cálculo só é efetuado quando selecionado o setor de atividade que mais se adequa às atividades de combustão. </t>
  </si>
  <si>
    <t>Este setor refere-se ao setor onde a combustão é efetuada. Veja os exemplos abaixo para facilitar a escolha do setor.</t>
  </si>
  <si>
    <t>Produção de energia (elétrica, térmica, mecânica).</t>
  </si>
  <si>
    <t>Média entre fatores para gasóleo e gasolina, dividido pelo fator de utilização</t>
  </si>
  <si>
    <t>Média entre fatores para autocarro, comboio, metro e ferry, dividido pelo fator de utilização (50%) do transporte rodoviário</t>
  </si>
  <si>
    <t>Ano de fim de fase e duração destas, em anos</t>
  </si>
  <si>
    <r>
      <t>Emissões de GEE acumuladas do projeto - (tCO</t>
    </r>
    <r>
      <rPr>
        <b/>
        <vertAlign val="subscript"/>
        <sz val="12"/>
        <rFont val="Calibri"/>
        <family val="2"/>
        <scheme val="minor"/>
      </rPr>
      <t>2</t>
    </r>
    <r>
      <rPr>
        <b/>
        <sz val="12"/>
        <rFont val="Calibri"/>
        <family val="2"/>
        <scheme val="minor"/>
      </rPr>
      <t>e)</t>
    </r>
  </si>
  <si>
    <t xml:space="preserve">Uso da calcluladora de GEE para projetos </t>
  </si>
  <si>
    <t>Descrição de como foram estimadas as emissões do projeto</t>
  </si>
  <si>
    <r>
      <t>(G) Indique as emissões acumuladas do projeto em tCO</t>
    </r>
    <r>
      <rPr>
        <vertAlign val="subscript"/>
        <sz val="12"/>
        <rFont val="Calibri"/>
        <family val="2"/>
        <scheme val="minor"/>
      </rPr>
      <t>2</t>
    </r>
    <r>
      <rPr>
        <sz val="12"/>
        <rFont val="Calibri"/>
        <family val="2"/>
        <scheme val="minor"/>
      </rPr>
      <t xml:space="preserve">e/projeto, no período de tempo definido em “breve descrição do contrafactual”. Pode usar a calculadora de GEE para projetos. </t>
    </r>
  </si>
  <si>
    <t xml:space="preserve">(H) Descreva como foi efetuada a estimativa das emissões acumuladas do projeto. </t>
  </si>
  <si>
    <r>
      <t>(I) Indique as emissões acumuladas evitadas com o projeto em tCO</t>
    </r>
    <r>
      <rPr>
        <vertAlign val="subscript"/>
        <sz val="12"/>
        <rFont val="Calibri"/>
        <family val="2"/>
        <scheme val="minor"/>
      </rPr>
      <t>2</t>
    </r>
    <r>
      <rPr>
        <sz val="12"/>
        <rFont val="Calibri"/>
        <family val="2"/>
        <scheme val="minor"/>
      </rPr>
      <t xml:space="preserve">e/projeto, no período de tempo definido em “breve descrição do contrafactual”, deve ter em conta as emissões do contrafactual e do cenário com projeto. </t>
    </r>
  </si>
  <si>
    <t>Correção nas folhas "Outras emissões de processo", "Energia elétrica e térmica" e "Fatores de Emissão"</t>
  </si>
  <si>
    <t>Tabela 6. Fatores de emissão implícito para 2023 por frota e tipo de combustível (fonte: NID 2025)</t>
  </si>
  <si>
    <t>Veículo pesado de passageiros</t>
  </si>
  <si>
    <t>Tipo de Combustível</t>
  </si>
  <si>
    <t>Híbrido a gasolina - motor desconhecido</t>
  </si>
  <si>
    <t>Ciclomotores - gasolina</t>
  </si>
  <si>
    <t>Categoria L - Ciclomotores</t>
  </si>
  <si>
    <t>Categoria L - Motociclos</t>
  </si>
  <si>
    <t>Motociclos - gasolina</t>
  </si>
  <si>
    <t>Veículo pesado de mercadorias - gasóleo</t>
  </si>
  <si>
    <t>Veículo pesado de mercadorias</t>
  </si>
  <si>
    <t>Veículo pesado de passageiros - gasóleo</t>
  </si>
  <si>
    <t>Veículo pesado de passageiros - gas natural/GNL</t>
  </si>
  <si>
    <t>Veículo ligeiro de passageiros - Híbrido a gasolina</t>
  </si>
  <si>
    <t>NID 2025</t>
  </si>
  <si>
    <t>Meta PNEC: 86% renovável</t>
  </si>
  <si>
    <t>Meta PNEC: 93% renovável</t>
  </si>
  <si>
    <t>Assume-se que 7% é gás natural</t>
  </si>
  <si>
    <t>Assume-se que 14% é gás natural</t>
  </si>
  <si>
    <t>61,5% renovável</t>
  </si>
  <si>
    <t>PFC-31-10</t>
  </si>
  <si>
    <t>PFC-41-12</t>
  </si>
  <si>
    <t>PFC-51-14</t>
  </si>
  <si>
    <t>PFC-91-18</t>
  </si>
  <si>
    <t>IPCC 2021</t>
  </si>
  <si>
    <t>(kg de sunstancia/ano)</t>
  </si>
  <si>
    <t>Linhite castanha</t>
  </si>
  <si>
    <t>Despacho n.º 17313/2008;
Densidade: APA, https://apambiente.pt/sites/default/files/_Clima/CELE/Tabelas_Fatores_Calculo/tabela_densidades_combustiveis_2013.pdf</t>
  </si>
  <si>
    <t>Despacho n.º 17313/2008; 
Desnidade: REPSOL - https://www.repsol.pt/content/dam/repsol-portugal/gas-da-repsol/FDS-GPL-CARBURANTE-rev.5.1_tcm101-201700.pdf</t>
  </si>
  <si>
    <t>Despacho n.º 17313/2008; 
Densidade: APA, https://apambiente.pt/sites/default/files/_Clima/CELE/Tabelas_Fatores_Calculo/tabela_densidades_combustiveis_2013.pdf</t>
  </si>
  <si>
    <t xml:space="preserve">PCI - IPCC 2006; 
Densidade - https://www.engineeringtoolbox.com/fuels-densities-specific-volumes-d_166.html </t>
  </si>
  <si>
    <t>Despacho n.º 17313/2008.
Densidade:  https://chemicalsafety.ilo.org/dyn/icsc/showcard.display?p_lang=en&amp;p_card_id=1380&amp;p_version=2</t>
  </si>
  <si>
    <t>Despacho n.º 17313/2008;
Density:
https://www.transmountain.com/about-petroleum-liquids#:~:text=Crude%20oil%20has%20historically%20been,per%20cent%20that%20of%20water).</t>
  </si>
  <si>
    <t>Despacho n.º 17313/2008; 
Density: 
https://www.engineeringtoolbox.com/fuels-densities-specific-volumes-d_166.html</t>
  </si>
  <si>
    <r>
      <t xml:space="preserve">(AR5) PAG </t>
    </r>
    <r>
      <rPr>
        <b/>
        <vertAlign val="subscript"/>
        <sz val="12"/>
        <color theme="0" tint="-4.9989318521683403E-2"/>
        <rFont val="Calibri"/>
        <family val="2"/>
        <scheme val="minor"/>
      </rPr>
      <t>100 anos</t>
    </r>
  </si>
  <si>
    <r>
      <t>AR5 - PAG</t>
    </r>
    <r>
      <rPr>
        <b/>
        <vertAlign val="subscript"/>
        <sz val="12"/>
        <color theme="0" tint="-4.9989318521683403E-2"/>
        <rFont val="Calibri"/>
        <family val="2"/>
        <scheme val="minor"/>
      </rPr>
      <t>100anos</t>
    </r>
  </si>
  <si>
    <t>V2</t>
  </si>
  <si>
    <t xml:space="preserve">Atualização de fatores de emissão e ajustes em fórmulas de cálculo e formatação.  </t>
  </si>
  <si>
    <t>Duração da fase de projeto (anos)</t>
  </si>
  <si>
    <t>V2.1</t>
  </si>
  <si>
    <t>Reposição da coluna P em "Outras emissões de processo".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</si>
</sst>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0_-;\-* #,##0_-;_-* &quot;-&quot;_-;_-@_-"/>
    <numFmt numFmtId="43" formatCode="_-* #,##0.00_-;\-* #,##0.00_-;_-* &quot;-&quot;??_-;_-@_-"/>
    <numFmt numFmtId="164" formatCode="_(* #,##0.00_);_(* \(#,##0.00\);_(* &quot;-&quot;??_);_(@_)"/>
    <numFmt numFmtId="165" formatCode="_-* #,##0_-;\-* #,##0_-;_-* &quot;-&quot;??_-;_-@_-"/>
    <numFmt numFmtId="166" formatCode="0.000"/>
    <numFmt numFmtId="167" formatCode="0.0000"/>
    <numFmt numFmtId="168" formatCode="0.000000"/>
    <numFmt numFmtId="169" formatCode="#,##0.000"/>
    <numFmt numFmtId="170" formatCode="_(* #,##0.0_);_(* \(#,##0.0\);_(&quot;-&quot;_);_(@_)"/>
    <numFmt numFmtId="171" formatCode="0.0"/>
    <numFmt numFmtId="172" formatCode="_(* #,##0.0_);_(* \(#,##0.0\);_(* &quot;-&quot;??_);_(@_)"/>
    <numFmt numFmtId="173" formatCode="_(* #,##0_);_(* \(#,##0\);_(&quot;-&quot;_);_(@_)"/>
    <numFmt numFmtId="174" formatCode="_-* #,##0.0000_-;\-* #,##0.0000_-;_-* &quot;-&quot;??_-;_-@_-"/>
    <numFmt numFmtId="175" formatCode="_-* #,##0.00000_-;\-* #,##0.00000_-;_-* &quot;-&quot;??_-;_-@_-"/>
    <numFmt numFmtId="176" formatCode="0.0000000"/>
    <numFmt numFmtId="177" formatCode="0.0%"/>
    <numFmt numFmtId="178" formatCode="_-* #,##0.0_-;\-* #,##0.0_-;_-* &quot;-&quot;??_-;_-@_-"/>
    <numFmt numFmtId="179" formatCode="#,##0.0_ ;\-#,##0.0\ "/>
    <numFmt numFmtId="180" formatCode="_-* #,##0.0_-;\-* #,##0.0_-;_-* &quot;-&quot;?_-;_-@_-"/>
    <numFmt numFmtId="181" formatCode="0.0E+00"/>
    <numFmt numFmtId="182" formatCode="#,##0.00_ ;\-#,##0.00\ "/>
    <numFmt numFmtId="183" formatCode="0.0_ ;\-0.0\ "/>
    <numFmt numFmtId="184" formatCode="_-* #,##0.00_-;\-* #,##0.00_-;_-* &quot;-&quot;?_-;_-@_-"/>
    <numFmt numFmtId="185" formatCode="0.00000"/>
  </numFmts>
  <fonts count="125" x14ac:knownFonts="1">
    <font>
      <sz val="11"/>
      <color theme="1"/>
      <name val="Calibri"/>
      <family val="2"/>
      <scheme val="minor"/>
    </font>
    <font>
      <sz val="10"/>
      <color theme="1"/>
      <name val="Poppins"/>
    </font>
    <font>
      <b/>
      <sz val="11"/>
      <color theme="1"/>
      <name val="Calibri"/>
      <family val="2"/>
      <scheme val="minor"/>
    </font>
    <font>
      <sz val="10"/>
      <name val="Arial"/>
      <family val="2"/>
    </font>
    <font>
      <b/>
      <sz val="10"/>
      <name val="Poppins"/>
    </font>
    <font>
      <b/>
      <sz val="10"/>
      <color theme="1"/>
      <name val="Poppins"/>
    </font>
    <font>
      <sz val="11"/>
      <color theme="1"/>
      <name val="Poppins"/>
    </font>
    <font>
      <sz val="9"/>
      <color theme="1"/>
      <name val="Poppins"/>
    </font>
    <font>
      <b/>
      <sz val="9"/>
      <name val="Poppins"/>
    </font>
    <font>
      <b/>
      <sz val="10"/>
      <color theme="0"/>
      <name val="Poppins"/>
    </font>
    <font>
      <sz val="11"/>
      <color theme="1"/>
      <name val="Calibri"/>
      <family val="2"/>
      <scheme val="minor"/>
    </font>
    <font>
      <b/>
      <sz val="11"/>
      <name val="Calibri Light"/>
      <family val="2"/>
    </font>
    <font>
      <sz val="9"/>
      <name val="Poppins"/>
    </font>
    <font>
      <b/>
      <sz val="11"/>
      <color theme="0"/>
      <name val="Poppins"/>
    </font>
    <font>
      <sz val="11"/>
      <color theme="0"/>
      <name val="Poppins"/>
    </font>
    <font>
      <b/>
      <sz val="9"/>
      <color theme="0"/>
      <name val="Poppins"/>
    </font>
    <font>
      <sz val="11"/>
      <color theme="0"/>
      <name val="Calibri"/>
      <family val="2"/>
      <scheme val="minor"/>
    </font>
    <font>
      <u/>
      <sz val="11"/>
      <color theme="10"/>
      <name val="Calibri"/>
      <family val="2"/>
      <scheme val="minor"/>
    </font>
    <font>
      <b/>
      <sz val="14"/>
      <color theme="1"/>
      <name val="Calibri"/>
      <family val="2"/>
      <scheme val="minor"/>
    </font>
    <font>
      <b/>
      <sz val="11"/>
      <color theme="0"/>
      <name val="Calibri"/>
      <family val="2"/>
      <scheme val="minor"/>
    </font>
    <font>
      <b/>
      <vertAlign val="subscript"/>
      <sz val="11"/>
      <name val="Calibri Light"/>
      <family val="2"/>
    </font>
    <font>
      <b/>
      <sz val="9"/>
      <color theme="1"/>
      <name val="Poppins"/>
    </font>
    <font>
      <sz val="10"/>
      <color theme="0"/>
      <name val="Poppins"/>
    </font>
    <font>
      <sz val="9"/>
      <color indexed="81"/>
      <name val="Tahoma"/>
      <family val="2"/>
    </font>
    <font>
      <b/>
      <vertAlign val="subscript"/>
      <sz val="10"/>
      <color theme="0"/>
      <name val="Poppins"/>
    </font>
    <font>
      <b/>
      <sz val="10"/>
      <color rgb="FFFFFFFF"/>
      <name val="Calibri Light"/>
      <family val="2"/>
    </font>
    <font>
      <sz val="10"/>
      <color rgb="FF292934"/>
      <name val="Calibri Light"/>
      <family val="2"/>
    </font>
    <font>
      <i/>
      <sz val="10"/>
      <color indexed="10"/>
      <name val="Arial"/>
      <family val="2"/>
    </font>
    <font>
      <sz val="8"/>
      <name val="Calibri"/>
      <family val="2"/>
      <scheme val="minor"/>
    </font>
    <font>
      <b/>
      <sz val="10"/>
      <color theme="0"/>
      <name val="Arial Narrow"/>
      <family val="2"/>
    </font>
    <font>
      <b/>
      <vertAlign val="subscript"/>
      <sz val="10"/>
      <name val="Poppins"/>
    </font>
    <font>
      <b/>
      <vertAlign val="subscript"/>
      <sz val="9"/>
      <color theme="1"/>
      <name val="Poppins"/>
    </font>
    <font>
      <sz val="11"/>
      <color rgb="FFC00000"/>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vertAlign val="subscript"/>
      <sz val="11"/>
      <color theme="1"/>
      <name val="Calibri"/>
      <family val="2"/>
      <scheme val="minor"/>
    </font>
    <font>
      <b/>
      <sz val="10"/>
      <color theme="1"/>
      <name val="Calibri"/>
      <family val="2"/>
      <scheme val="minor"/>
    </font>
    <font>
      <b/>
      <sz val="9"/>
      <color indexed="81"/>
      <name val="Tahoma"/>
      <family val="2"/>
    </font>
    <font>
      <sz val="11"/>
      <color theme="2"/>
      <name val="Calibri"/>
      <family val="2"/>
      <scheme val="minor"/>
    </font>
    <font>
      <b/>
      <vertAlign val="subscript"/>
      <sz val="11"/>
      <color theme="1"/>
      <name val="Calibri"/>
      <family val="2"/>
      <scheme val="minor"/>
    </font>
    <font>
      <vertAlign val="superscript"/>
      <sz val="11"/>
      <color theme="1"/>
      <name val="Calibri"/>
      <family val="2"/>
      <scheme val="minor"/>
    </font>
    <font>
      <b/>
      <sz val="11"/>
      <name val="Calibri"/>
      <family val="2"/>
      <scheme val="minor"/>
    </font>
    <font>
      <b/>
      <i/>
      <sz val="12"/>
      <name val="Calibri"/>
      <family val="2"/>
      <scheme val="minor"/>
    </font>
    <font>
      <b/>
      <i/>
      <sz val="12"/>
      <color theme="1"/>
      <name val="Calibri"/>
      <family val="2"/>
      <scheme val="minor"/>
    </font>
    <font>
      <b/>
      <sz val="12"/>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2"/>
      <color theme="8"/>
      <name val="Calibri"/>
      <family val="2"/>
      <scheme val="minor"/>
    </font>
    <font>
      <vertAlign val="subscript"/>
      <sz val="12"/>
      <name val="Calibri"/>
      <family val="2"/>
      <scheme val="minor"/>
    </font>
    <font>
      <u/>
      <sz val="12"/>
      <color theme="10"/>
      <name val="Calibri"/>
      <family val="2"/>
      <scheme val="minor"/>
    </font>
    <font>
      <b/>
      <sz val="12"/>
      <color theme="0"/>
      <name val="Calibri"/>
      <family val="2"/>
      <scheme val="minor"/>
    </font>
    <font>
      <i/>
      <sz val="12"/>
      <name val="Calibri"/>
      <family val="2"/>
      <scheme val="minor"/>
    </font>
    <font>
      <sz val="12"/>
      <color theme="0"/>
      <name val="Calibri"/>
      <family val="2"/>
      <scheme val="minor"/>
    </font>
    <font>
      <b/>
      <sz val="12"/>
      <color theme="5"/>
      <name val="Calibri"/>
      <family val="2"/>
      <scheme val="minor"/>
    </font>
    <font>
      <b/>
      <sz val="12"/>
      <color rgb="FFFF0000"/>
      <name val="Calibri"/>
      <family val="2"/>
      <scheme val="minor"/>
    </font>
    <font>
      <b/>
      <vertAlign val="subscript"/>
      <sz val="12"/>
      <name val="Calibri"/>
      <family val="2"/>
      <scheme val="minor"/>
    </font>
    <font>
      <b/>
      <i/>
      <sz val="12"/>
      <color rgb="FF005480"/>
      <name val="Calibri"/>
      <family val="2"/>
      <scheme val="minor"/>
    </font>
    <font>
      <sz val="12"/>
      <color rgb="FF005480"/>
      <name val="Calibri"/>
      <family val="2"/>
      <scheme val="minor"/>
    </font>
    <font>
      <sz val="12"/>
      <color indexed="9"/>
      <name val="Calibri"/>
      <family val="2"/>
      <scheme val="minor"/>
    </font>
    <font>
      <b/>
      <vertAlign val="subscript"/>
      <sz val="12"/>
      <color theme="0"/>
      <name val="Calibri"/>
      <family val="2"/>
      <scheme val="minor"/>
    </font>
    <font>
      <b/>
      <sz val="12"/>
      <color rgb="FF02A39C"/>
      <name val="Calibri"/>
      <family val="2"/>
      <scheme val="minor"/>
    </font>
    <font>
      <b/>
      <vertAlign val="subscript"/>
      <sz val="12"/>
      <color theme="1"/>
      <name val="Calibri"/>
      <family val="2"/>
      <scheme val="minor"/>
    </font>
    <font>
      <sz val="11"/>
      <color theme="2" tint="-9.9978637043366805E-2"/>
      <name val="Calibri"/>
      <family val="2"/>
      <scheme val="minor"/>
    </font>
    <font>
      <u/>
      <sz val="12"/>
      <color theme="1"/>
      <name val="Calibri"/>
      <family val="2"/>
      <scheme val="minor"/>
    </font>
    <font>
      <b/>
      <sz val="12"/>
      <color theme="8" tint="0.39997558519241921"/>
      <name val="Calibri"/>
      <family val="2"/>
      <scheme val="minor"/>
    </font>
    <font>
      <vertAlign val="subscript"/>
      <sz val="12"/>
      <color theme="1"/>
      <name val="Calibri"/>
      <family val="2"/>
      <scheme val="minor"/>
    </font>
    <font>
      <i/>
      <sz val="12"/>
      <color rgb="FF005480"/>
      <name val="Calibri"/>
      <family val="2"/>
      <scheme val="minor"/>
    </font>
    <font>
      <i/>
      <sz val="12"/>
      <color theme="1"/>
      <name val="Calibri"/>
      <family val="2"/>
      <scheme val="minor"/>
    </font>
    <font>
      <sz val="12"/>
      <color rgb="FFFF0000"/>
      <name val="Calibri"/>
      <family val="2"/>
      <scheme val="minor"/>
    </font>
    <font>
      <b/>
      <sz val="12"/>
      <color rgb="FFFF6600"/>
      <name val="Calibri"/>
      <family val="2"/>
      <scheme val="minor"/>
    </font>
    <font>
      <b/>
      <i/>
      <sz val="12"/>
      <color theme="0"/>
      <name val="Calibri"/>
      <family val="2"/>
      <scheme val="minor"/>
    </font>
    <font>
      <u/>
      <sz val="12"/>
      <name val="Calibri"/>
      <family val="2"/>
      <scheme val="minor"/>
    </font>
    <font>
      <b/>
      <sz val="12"/>
      <color theme="2" tint="-0.749992370372631"/>
      <name val="Calibri"/>
      <family val="2"/>
      <scheme val="minor"/>
    </font>
    <font>
      <b/>
      <i/>
      <sz val="14"/>
      <name val="Calibri"/>
      <family val="2"/>
      <scheme val="minor"/>
    </font>
    <font>
      <b/>
      <sz val="14"/>
      <name val="Calibri"/>
      <family val="2"/>
      <scheme val="minor"/>
    </font>
    <font>
      <b/>
      <sz val="12"/>
      <color theme="8" tint="-0.249977111117893"/>
      <name val="Calibri"/>
      <family val="2"/>
      <scheme val="minor"/>
    </font>
    <font>
      <sz val="14"/>
      <color theme="1"/>
      <name val="Calibri"/>
      <family val="2"/>
      <scheme val="minor"/>
    </font>
    <font>
      <i/>
      <u/>
      <sz val="14"/>
      <color theme="1"/>
      <name val="Calibri"/>
      <family val="2"/>
      <scheme val="minor"/>
    </font>
    <font>
      <i/>
      <sz val="14"/>
      <color theme="1"/>
      <name val="Calibri"/>
      <family val="2"/>
      <scheme val="minor"/>
    </font>
    <font>
      <b/>
      <sz val="14"/>
      <color theme="5"/>
      <name val="Calibri"/>
      <family val="2"/>
      <scheme val="minor"/>
    </font>
    <font>
      <b/>
      <sz val="14"/>
      <color theme="8"/>
      <name val="Calibri"/>
      <family val="2"/>
      <scheme val="minor"/>
    </font>
    <font>
      <b/>
      <i/>
      <sz val="16"/>
      <name val="Calibri"/>
      <family val="2"/>
      <scheme val="minor"/>
    </font>
    <font>
      <b/>
      <i/>
      <sz val="18"/>
      <name val="Calibri"/>
      <family val="2"/>
      <scheme val="minor"/>
    </font>
    <font>
      <b/>
      <sz val="16"/>
      <color rgb="FF02A39C"/>
      <name val="Calibri"/>
      <family val="2"/>
      <scheme val="minor"/>
    </font>
    <font>
      <sz val="14"/>
      <color theme="0"/>
      <name val="Calibri"/>
      <family val="2"/>
      <scheme val="minor"/>
    </font>
    <font>
      <sz val="14"/>
      <color theme="9" tint="0.79998168889431442"/>
      <name val="Calibri"/>
      <family val="2"/>
      <scheme val="minor"/>
    </font>
    <font>
      <u/>
      <sz val="14"/>
      <color theme="10"/>
      <name val="Calibri"/>
      <family val="2"/>
      <scheme val="minor"/>
    </font>
    <font>
      <sz val="14"/>
      <name val="Calibri"/>
      <family val="2"/>
      <scheme val="minor"/>
    </font>
    <font>
      <i/>
      <u/>
      <sz val="14"/>
      <name val="Calibri"/>
      <family val="2"/>
      <scheme val="minor"/>
    </font>
    <font>
      <sz val="14"/>
      <color rgb="FFFF0000"/>
      <name val="Calibri"/>
      <family val="2"/>
      <scheme val="minor"/>
    </font>
    <font>
      <vertAlign val="subscript"/>
      <sz val="14"/>
      <name val="Calibri"/>
      <family val="2"/>
      <scheme val="minor"/>
    </font>
    <font>
      <b/>
      <sz val="14"/>
      <color rgb="FF000000"/>
      <name val="Calibri"/>
      <family val="2"/>
      <scheme val="minor"/>
    </font>
    <font>
      <b/>
      <sz val="16"/>
      <name val="Calibri"/>
      <family val="2"/>
      <scheme val="minor"/>
    </font>
    <font>
      <b/>
      <sz val="12"/>
      <color indexed="10"/>
      <name val="Calibri"/>
      <family val="2"/>
      <scheme val="minor"/>
    </font>
    <font>
      <sz val="12"/>
      <color theme="2" tint="-9.9978637043366805E-2"/>
      <name val="Calibri"/>
      <family val="2"/>
      <scheme val="minor"/>
    </font>
    <font>
      <vertAlign val="superscript"/>
      <sz val="12"/>
      <name val="Calibri"/>
      <family val="2"/>
      <scheme val="minor"/>
    </font>
    <font>
      <b/>
      <i/>
      <sz val="12"/>
      <color theme="0" tint="-4.9989318521683403E-2"/>
      <name val="Calibri"/>
      <family val="2"/>
      <scheme val="minor"/>
    </font>
    <font>
      <b/>
      <sz val="12"/>
      <color theme="0" tint="-4.9989318521683403E-2"/>
      <name val="Calibri"/>
      <family val="2"/>
      <scheme val="minor"/>
    </font>
    <font>
      <sz val="12"/>
      <color theme="0" tint="-4.9989318521683403E-2"/>
      <name val="Calibri"/>
      <family val="2"/>
      <scheme val="minor"/>
    </font>
    <font>
      <i/>
      <sz val="12"/>
      <color theme="0" tint="-4.9989318521683403E-2"/>
      <name val="Calibri"/>
      <family val="2"/>
      <scheme val="minor"/>
    </font>
    <font>
      <b/>
      <sz val="12"/>
      <color indexed="50"/>
      <name val="Calibri"/>
      <family val="2"/>
      <scheme val="minor"/>
    </font>
    <font>
      <sz val="12"/>
      <color indexed="10"/>
      <name val="Calibri"/>
      <family val="2"/>
      <scheme val="minor"/>
    </font>
    <font>
      <sz val="12"/>
      <color rgb="FF292934"/>
      <name val="Calibri"/>
      <family val="2"/>
      <scheme val="minor"/>
    </font>
    <font>
      <vertAlign val="superscript"/>
      <sz val="12"/>
      <color theme="1"/>
      <name val="Calibri"/>
      <family val="2"/>
      <scheme val="minor"/>
    </font>
    <font>
      <b/>
      <sz val="12"/>
      <color rgb="FFFFFF00"/>
      <name val="Calibri"/>
      <family val="2"/>
      <scheme val="minor"/>
    </font>
    <font>
      <b/>
      <vertAlign val="subscript"/>
      <sz val="12"/>
      <color theme="0" tint="-4.9989318521683403E-2"/>
      <name val="Calibri"/>
      <family val="2"/>
      <scheme val="minor"/>
    </font>
    <font>
      <b/>
      <sz val="14"/>
      <color theme="0" tint="-4.9989318521683403E-2"/>
      <name val="Calibri"/>
      <family val="2"/>
      <scheme val="minor"/>
    </font>
    <font>
      <sz val="12"/>
      <color rgb="FFC00000"/>
      <name val="Calibri"/>
      <family val="2"/>
      <scheme val="minor"/>
    </font>
    <font>
      <sz val="12"/>
      <color indexed="23"/>
      <name val="Calibri"/>
      <family val="2"/>
      <scheme val="minor"/>
    </font>
    <font>
      <i/>
      <sz val="12"/>
      <color theme="0"/>
      <name val="Calibri"/>
      <family val="2"/>
      <scheme val="minor"/>
    </font>
    <font>
      <b/>
      <sz val="11"/>
      <color theme="6"/>
      <name val="Calibri"/>
      <family val="2"/>
      <scheme val="minor"/>
    </font>
    <font>
      <b/>
      <sz val="16"/>
      <color theme="0"/>
      <name val="Calibri"/>
      <family val="2"/>
      <scheme val="minor"/>
    </font>
    <font>
      <sz val="11"/>
      <name val="Calibri"/>
      <family val="2"/>
      <scheme val="minor"/>
    </font>
    <font>
      <b/>
      <sz val="14"/>
      <color rgb="FF005480"/>
      <name val="Calibri"/>
      <family val="2"/>
      <scheme val="minor"/>
    </font>
    <font>
      <b/>
      <i/>
      <sz val="14"/>
      <color theme="0" tint="-4.9989318521683403E-2"/>
      <name val="Calibri"/>
      <family val="2"/>
      <scheme val="minor"/>
    </font>
    <font>
      <sz val="14"/>
      <color theme="0" tint="-4.9989318521683403E-2"/>
      <name val="Calibri"/>
      <family val="2"/>
      <scheme val="minor"/>
    </font>
    <font>
      <b/>
      <sz val="14"/>
      <color rgb="FFFF0000"/>
      <name val="Calibri"/>
      <family val="2"/>
      <scheme val="minor"/>
    </font>
    <font>
      <b/>
      <sz val="12"/>
      <color rgb="FFC00000"/>
      <name val="Calibri"/>
      <family val="2"/>
      <scheme val="minor"/>
    </font>
    <font>
      <b/>
      <u/>
      <sz val="12"/>
      <name val="Calibri"/>
      <family val="2"/>
      <scheme val="minor"/>
    </font>
    <font>
      <sz val="16"/>
      <color theme="0"/>
      <name val="Calibri"/>
      <family val="2"/>
      <scheme val="minor"/>
    </font>
    <font>
      <b/>
      <vertAlign val="superscript"/>
      <sz val="11"/>
      <color theme="1"/>
      <name val="Calibri"/>
      <family val="2"/>
      <scheme val="minor"/>
    </font>
    <font>
      <sz val="9"/>
      <color indexed="81"/>
      <name val="Tahoma"/>
      <charset val="1"/>
    </font>
    <font>
      <b/>
      <sz val="9"/>
      <color indexed="81"/>
      <name val="Tahoma"/>
      <charset val="1"/>
    </font>
  </fonts>
  <fills count="39">
    <fill>
      <patternFill patternType="none"/>
    </fill>
    <fill>
      <patternFill patternType="gray125"/>
    </fill>
    <fill>
      <patternFill patternType="solid">
        <fgColor indexed="9"/>
        <bgColor indexed="64"/>
      </patternFill>
    </fill>
    <fill>
      <patternFill patternType="solid">
        <fgColor rgb="FF58D4CC"/>
        <bgColor indexed="64"/>
      </patternFill>
    </fill>
    <fill>
      <patternFill patternType="solid">
        <fgColor rgb="FF02A39C"/>
        <bgColor indexed="64"/>
      </patternFill>
    </fill>
    <fill>
      <patternFill patternType="solid">
        <fgColor rgb="FFA3D961"/>
        <bgColor indexed="64"/>
      </patternFill>
    </fill>
    <fill>
      <patternFill patternType="solid">
        <fgColor theme="7" tint="0.79998168889431442"/>
        <bgColor indexed="64"/>
      </patternFill>
    </fill>
    <fill>
      <patternFill patternType="solid">
        <fgColor rgb="FFA3D9FF"/>
        <bgColor indexed="64"/>
      </patternFill>
    </fill>
    <fill>
      <patternFill patternType="solid">
        <fgColor theme="9" tint="0.79998168889431442"/>
        <bgColor indexed="64"/>
      </patternFill>
    </fill>
    <fill>
      <patternFill patternType="solid">
        <fgColor theme="2"/>
        <bgColor indexed="64"/>
      </patternFill>
    </fill>
    <fill>
      <patternFill patternType="solid">
        <fgColor rgb="FF005480"/>
        <bgColor indexed="64"/>
      </patternFill>
    </fill>
    <fill>
      <patternFill patternType="solid">
        <fgColor rgb="FFFFFF00"/>
        <bgColor indexed="64"/>
      </patternFill>
    </fill>
    <fill>
      <patternFill patternType="solid">
        <fgColor rgb="FFFFFFFF"/>
        <bgColor rgb="FF000000"/>
      </patternFill>
    </fill>
    <fill>
      <patternFill patternType="solid">
        <fgColor theme="0"/>
        <bgColor indexed="64"/>
      </patternFill>
    </fill>
    <fill>
      <patternFill patternType="solid">
        <fgColor indexed="44"/>
        <bgColor indexed="64"/>
      </patternFill>
    </fill>
    <fill>
      <patternFill patternType="solid">
        <fgColor theme="9" tint="0.59996337778862885"/>
        <bgColor indexed="64"/>
      </patternFill>
    </fill>
    <fill>
      <patternFill patternType="solid">
        <fgColor theme="0" tint="-0.34998626667073579"/>
        <bgColor indexed="64"/>
      </patternFill>
    </fill>
    <fill>
      <patternFill patternType="solid">
        <fgColor rgb="FF808DA0"/>
        <bgColor indexed="64"/>
      </patternFill>
    </fill>
    <fill>
      <patternFill patternType="solid">
        <fgColor rgb="FFEDEEF0"/>
        <bgColor indexed="64"/>
      </patternFill>
    </fill>
    <fill>
      <patternFill patternType="solid">
        <fgColor theme="9"/>
        <bgColor indexed="64"/>
      </patternFill>
    </fill>
    <fill>
      <patternFill patternType="solid">
        <fgColor theme="5" tint="0.39997558519241921"/>
        <bgColor indexed="65"/>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7"/>
        <bgColor indexed="64"/>
      </patternFill>
    </fill>
    <fill>
      <patternFill patternType="solid">
        <fgColor theme="6"/>
        <bgColor indexed="64"/>
      </patternFill>
    </fill>
    <fill>
      <patternFill patternType="solid">
        <fgColor theme="9" tint="0.59999389629810485"/>
        <bgColor indexed="64"/>
      </patternFill>
    </fill>
    <fill>
      <patternFill patternType="solid">
        <fgColor theme="4"/>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theme="3"/>
        <bgColor indexed="64"/>
      </patternFill>
    </fill>
    <fill>
      <patternFill patternType="solid">
        <fgColor theme="1" tint="0.499984740745262"/>
        <bgColor indexed="64"/>
      </patternFill>
    </fill>
    <fill>
      <patternFill patternType="darkUp">
        <bgColor theme="0"/>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0.499984740745262"/>
        <bgColor indexed="64"/>
      </patternFill>
    </fill>
  </fills>
  <borders count="8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9"/>
      </left>
      <right/>
      <top/>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indexed="9"/>
      </left>
      <right/>
      <top style="thin">
        <color indexed="9"/>
      </top>
      <bottom/>
      <diagonal/>
    </border>
    <border>
      <left/>
      <right style="thin">
        <color indexed="9"/>
      </right>
      <top style="thin">
        <color indexed="9"/>
      </top>
      <bottom style="thin">
        <color indexed="9"/>
      </bottom>
      <diagonal/>
    </border>
    <border>
      <left/>
      <right/>
      <top/>
      <bottom style="thin">
        <color indexed="9"/>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medium">
        <color rgb="FFFFFFFF"/>
      </left>
      <right style="medium">
        <color rgb="FFFFFFFF"/>
      </right>
      <top/>
      <bottom style="thick">
        <color rgb="FFFFFFFF"/>
      </bottom>
      <diagonal/>
    </border>
    <border>
      <left style="medium">
        <color rgb="FFFFFFFF"/>
      </left>
      <right/>
      <top style="medium">
        <color rgb="FFFFFFFF"/>
      </top>
      <bottom style="thick">
        <color rgb="FFFFFFFF"/>
      </bottom>
      <diagonal/>
    </border>
    <border>
      <left style="thick">
        <color rgb="FFFFFFFF"/>
      </left>
      <right style="medium">
        <color rgb="FFFFFFFF"/>
      </right>
      <top style="thick">
        <color rgb="FFFFFFFF"/>
      </top>
      <bottom/>
      <diagonal/>
    </border>
    <border>
      <left style="thick">
        <color rgb="FFFFFFFF"/>
      </left>
      <right style="medium">
        <color rgb="FFFFFFFF"/>
      </right>
      <top/>
      <bottom style="medium">
        <color rgb="FFFFFFFF"/>
      </bottom>
      <diagonal/>
    </border>
    <border>
      <left style="medium">
        <color rgb="FFFFFFFF"/>
      </left>
      <right style="medium">
        <color rgb="FFFFFFFF"/>
      </right>
      <top style="thick">
        <color rgb="FFFFFFFF"/>
      </top>
      <bottom style="medium">
        <color rgb="FFFFFFFF"/>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rgb="FFFFFFFF"/>
      </top>
      <bottom style="thick">
        <color rgb="FFFFFFFF"/>
      </bottom>
      <diagonal/>
    </border>
    <border>
      <left style="medium">
        <color rgb="FFFFFFFF"/>
      </left>
      <right/>
      <top style="thick">
        <color rgb="FFFFFFFF"/>
      </top>
      <bottom/>
      <diagonal/>
    </border>
    <border>
      <left style="medium">
        <color rgb="FFFFFFFF"/>
      </left>
      <right/>
      <top/>
      <bottom style="medium">
        <color rgb="FFFFFFFF"/>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top style="thin">
        <color indexed="64"/>
      </top>
      <bottom style="double">
        <color indexed="64"/>
      </bottom>
      <diagonal/>
    </border>
    <border>
      <left/>
      <right/>
      <top style="double">
        <color indexed="64"/>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medium">
        <color rgb="FFFFFFFF"/>
      </left>
      <right style="thick">
        <color rgb="FFFFFFFF"/>
      </right>
      <top/>
      <bottom/>
      <diagonal/>
    </border>
    <border>
      <left style="medium">
        <color rgb="FFFFFFFF"/>
      </left>
      <right style="thick">
        <color rgb="FFFFFFFF"/>
      </right>
      <top/>
      <bottom style="thick">
        <color rgb="FFFFFFFF"/>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right/>
      <top style="thick">
        <color rgb="FF02A39C"/>
      </top>
      <bottom style="thick">
        <color rgb="FF02A39C"/>
      </bottom>
      <diagonal/>
    </border>
    <border>
      <left style="thin">
        <color theme="0"/>
      </left>
      <right style="thin">
        <color theme="0"/>
      </right>
      <top style="thin">
        <color theme="0"/>
      </top>
      <bottom/>
      <diagonal/>
    </border>
    <border>
      <left/>
      <right/>
      <top style="thin">
        <color indexed="9"/>
      </top>
      <bottom style="thin">
        <color indexed="9"/>
      </bottom>
      <diagonal/>
    </border>
    <border>
      <left/>
      <right/>
      <top style="thick">
        <color rgb="FF02A39C"/>
      </top>
      <bottom/>
      <diagonal/>
    </border>
  </borders>
  <cellStyleXfs count="12">
    <xf numFmtId="0" fontId="0" fillId="0" borderId="0"/>
    <xf numFmtId="164" fontId="3" fillId="0" borderId="0" applyFont="0" applyFill="0" applyBorder="0" applyAlignment="0" applyProtection="0"/>
    <xf numFmtId="43" fontId="10" fillId="0" borderId="0" applyFont="0" applyFill="0" applyBorder="0" applyAlignment="0" applyProtection="0"/>
    <xf numFmtId="0" fontId="17" fillId="0" borderId="0" applyNumberFormat="0" applyFill="0" applyBorder="0" applyAlignment="0" applyProtection="0"/>
    <xf numFmtId="0" fontId="3" fillId="14" borderId="0" applyNumberFormat="0" applyFont="0" applyBorder="0" applyAlignment="0" applyProtection="0"/>
    <xf numFmtId="9" fontId="10" fillId="0" borderId="0" applyFont="0" applyFill="0" applyBorder="0" applyAlignment="0" applyProtection="0"/>
    <xf numFmtId="0" fontId="3" fillId="15" borderId="0" applyNumberFormat="0" applyFont="0" applyBorder="0" applyAlignment="0">
      <protection locked="0"/>
    </xf>
    <xf numFmtId="170" fontId="27" fillId="13" borderId="0" applyNumberFormat="0" applyBorder="0" applyAlignment="0">
      <alignment horizontal="left" vertical="center"/>
    </xf>
    <xf numFmtId="0" fontId="10" fillId="20" borderId="0" applyNumberFormat="0" applyBorder="0" applyAlignment="0" applyProtection="0"/>
    <xf numFmtId="0" fontId="3" fillId="0" borderId="0"/>
    <xf numFmtId="43" fontId="3" fillId="0" borderId="0" applyFont="0" applyFill="0" applyBorder="0" applyAlignment="0" applyProtection="0"/>
    <xf numFmtId="43" fontId="10" fillId="0" borderId="0" applyFont="0" applyFill="0" applyBorder="0" applyAlignment="0" applyProtection="0"/>
  </cellStyleXfs>
  <cellXfs count="1320">
    <xf numFmtId="0" fontId="0" fillId="0" borderId="0" xfId="0"/>
    <xf numFmtId="0" fontId="0" fillId="0" borderId="0" xfId="0" applyAlignment="1">
      <alignment horizontal="center" vertical="center"/>
    </xf>
    <xf numFmtId="0" fontId="1" fillId="0" borderId="0" xfId="0" applyFont="1"/>
    <xf numFmtId="0" fontId="2" fillId="0" borderId="7" xfId="0" applyFont="1"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9" fontId="0" fillId="0" borderId="7" xfId="0" applyNumberFormat="1" applyBorder="1" applyAlignment="1">
      <alignment horizontal="center" vertical="center"/>
    </xf>
    <xf numFmtId="0" fontId="16" fillId="10" borderId="0" xfId="0" applyFont="1" applyFill="1"/>
    <xf numFmtId="0" fontId="9" fillId="10" borderId="0" xfId="0" applyFont="1" applyFill="1"/>
    <xf numFmtId="0" fontId="9" fillId="3" borderId="7" xfId="0" applyFont="1" applyFill="1" applyBorder="1" applyAlignment="1">
      <alignment horizontal="center" vertical="center"/>
    </xf>
    <xf numFmtId="0" fontId="9" fillId="4" borderId="7" xfId="0" applyFont="1" applyFill="1" applyBorder="1" applyAlignment="1">
      <alignment horizontal="center" vertical="center"/>
    </xf>
    <xf numFmtId="0" fontId="9" fillId="5" borderId="7" xfId="0" applyFont="1" applyFill="1" applyBorder="1" applyAlignment="1">
      <alignment horizontal="center" vertical="center"/>
    </xf>
    <xf numFmtId="0" fontId="0" fillId="0" borderId="17" xfId="0" applyBorder="1" applyAlignment="1">
      <alignment horizontal="center" vertical="center"/>
    </xf>
    <xf numFmtId="0" fontId="2" fillId="0" borderId="0" xfId="0" applyFont="1" applyAlignment="1">
      <alignment horizontal="center" vertical="center"/>
    </xf>
    <xf numFmtId="2" fontId="6" fillId="0" borderId="6" xfId="0" applyNumberFormat="1" applyFont="1" applyBorder="1" applyAlignment="1">
      <alignment horizontal="center" vertical="center"/>
    </xf>
    <xf numFmtId="2" fontId="6" fillId="0" borderId="7" xfId="0" applyNumberFormat="1" applyFont="1" applyBorder="1" applyAlignment="1">
      <alignment horizontal="center" vertical="center"/>
    </xf>
    <xf numFmtId="0" fontId="6" fillId="0" borderId="7" xfId="0" applyFont="1" applyBorder="1" applyAlignment="1">
      <alignment horizontal="center" vertical="center"/>
    </xf>
    <xf numFmtId="0" fontId="8" fillId="5" borderId="15" xfId="0" applyFont="1" applyFill="1" applyBorder="1" applyAlignment="1">
      <alignment horizontal="center" vertical="center" wrapText="1"/>
    </xf>
    <xf numFmtId="0" fontId="0" fillId="0" borderId="7" xfId="0" applyBorder="1"/>
    <xf numFmtId="0" fontId="9" fillId="3" borderId="15" xfId="0" applyFont="1" applyFill="1" applyBorder="1" applyAlignment="1">
      <alignment horizontal="center" vertical="center"/>
    </xf>
    <xf numFmtId="0" fontId="9" fillId="4" borderId="15" xfId="0" applyFont="1" applyFill="1" applyBorder="1" applyAlignment="1">
      <alignment horizontal="center" vertical="center"/>
    </xf>
    <xf numFmtId="0" fontId="9" fillId="5" borderId="15" xfId="0" applyFont="1" applyFill="1" applyBorder="1" applyAlignment="1">
      <alignment horizontal="center" vertical="center"/>
    </xf>
    <xf numFmtId="0" fontId="2" fillId="0" borderId="20" xfId="0" applyFont="1" applyBorder="1" applyAlignment="1">
      <alignment horizontal="center" vertical="center"/>
    </xf>
    <xf numFmtId="0" fontId="2" fillId="0" borderId="8" xfId="0" applyFont="1" applyBorder="1" applyAlignment="1">
      <alignment horizontal="center" vertical="center"/>
    </xf>
    <xf numFmtId="0" fontId="8" fillId="5" borderId="17" xfId="0" applyFont="1" applyFill="1" applyBorder="1" applyAlignment="1">
      <alignment horizontal="center" vertical="center"/>
    </xf>
    <xf numFmtId="0" fontId="22" fillId="4" borderId="4" xfId="0" applyFont="1" applyFill="1" applyBorder="1" applyAlignment="1">
      <alignment horizontal="left" vertical="center" indent="1"/>
    </xf>
    <xf numFmtId="0" fontId="14" fillId="10" borderId="0" xfId="0" applyFont="1" applyFill="1"/>
    <xf numFmtId="165" fontId="21" fillId="8" borderId="7" xfId="2" applyNumberFormat="1"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0" borderId="7" xfId="0" applyFont="1" applyBorder="1" applyAlignment="1">
      <alignment horizontal="center" vertical="center"/>
    </xf>
    <xf numFmtId="0" fontId="0" fillId="0" borderId="7" xfId="0" applyBorder="1" applyAlignment="1">
      <alignment horizontal="center"/>
    </xf>
    <xf numFmtId="2" fontId="0" fillId="0" borderId="7" xfId="0" applyNumberFormat="1" applyBorder="1" applyAlignment="1">
      <alignment horizontal="center"/>
    </xf>
    <xf numFmtId="0" fontId="0" fillId="0" borderId="24" xfId="0" applyBorder="1" applyAlignment="1">
      <alignment horizontal="center"/>
    </xf>
    <xf numFmtId="0" fontId="0" fillId="0" borderId="24" xfId="0" applyBorder="1" applyAlignment="1">
      <alignment horizontal="center" vertical="center"/>
    </xf>
    <xf numFmtId="0" fontId="9" fillId="5" borderId="14" xfId="0" applyFont="1" applyFill="1" applyBorder="1" applyAlignment="1">
      <alignment horizontal="center" vertical="center"/>
    </xf>
    <xf numFmtId="2" fontId="0" fillId="0" borderId="7" xfId="0" applyNumberFormat="1" applyBorder="1" applyAlignment="1">
      <alignment horizontal="center" vertical="center"/>
    </xf>
    <xf numFmtId="0" fontId="0" fillId="0" borderId="23" xfId="0" applyBorder="1" applyAlignment="1">
      <alignment horizontal="center" vertical="center"/>
    </xf>
    <xf numFmtId="2" fontId="0" fillId="0" borderId="34" xfId="0" applyNumberFormat="1" applyBorder="1" applyAlignment="1">
      <alignment horizontal="center" vertical="center"/>
    </xf>
    <xf numFmtId="0" fontId="0" fillId="7" borderId="7" xfId="0" applyFill="1" applyBorder="1" applyAlignment="1">
      <alignment horizontal="center" vertical="center"/>
    </xf>
    <xf numFmtId="0" fontId="25" fillId="17" borderId="48" xfId="0" applyFont="1" applyFill="1" applyBorder="1" applyAlignment="1">
      <alignment horizontal="left" vertical="center" wrapText="1" readingOrder="1"/>
    </xf>
    <xf numFmtId="0" fontId="25" fillId="17" borderId="49" xfId="0" applyFont="1" applyFill="1" applyBorder="1" applyAlignment="1">
      <alignment horizontal="left" vertical="center" wrapText="1" readingOrder="1"/>
    </xf>
    <xf numFmtId="0" fontId="0" fillId="17" borderId="50" xfId="0" applyFill="1" applyBorder="1" applyAlignment="1">
      <alignment vertical="center" wrapText="1"/>
    </xf>
    <xf numFmtId="9" fontId="26" fillId="18" borderId="54" xfId="0" applyNumberFormat="1" applyFont="1" applyFill="1" applyBorder="1" applyAlignment="1">
      <alignment horizontal="left" vertical="center" wrapText="1" readingOrder="1"/>
    </xf>
    <xf numFmtId="0" fontId="9" fillId="10" borderId="7" xfId="0" applyFont="1" applyFill="1" applyBorder="1" applyAlignment="1">
      <alignment horizontal="center" vertical="center"/>
    </xf>
    <xf numFmtId="0" fontId="2" fillId="0" borderId="7" xfId="0" applyFont="1" applyBorder="1"/>
    <xf numFmtId="0" fontId="9" fillId="10" borderId="7" xfId="0" applyFont="1" applyFill="1" applyBorder="1" applyAlignment="1">
      <alignment horizontal="center" vertical="center" wrapText="1"/>
    </xf>
    <xf numFmtId="0" fontId="19" fillId="10" borderId="7" xfId="0" applyFont="1" applyFill="1" applyBorder="1" applyAlignment="1">
      <alignment horizontal="center" vertical="center"/>
    </xf>
    <xf numFmtId="0" fontId="2" fillId="0" borderId="0" xfId="0" applyFont="1"/>
    <xf numFmtId="9" fontId="0" fillId="0" borderId="7" xfId="0" applyNumberFormat="1" applyBorder="1" applyAlignment="1">
      <alignment horizontal="center"/>
    </xf>
    <xf numFmtId="0" fontId="9" fillId="4"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0" fillId="0" borderId="25" xfId="0" applyBorder="1" applyAlignment="1">
      <alignment horizontal="center"/>
    </xf>
    <xf numFmtId="0" fontId="2" fillId="0" borderId="15" xfId="0" applyFont="1" applyBorder="1" applyAlignment="1">
      <alignment horizontal="center" vertical="center"/>
    </xf>
    <xf numFmtId="0" fontId="12" fillId="0" borderId="7" xfId="0" applyFont="1" applyBorder="1" applyAlignment="1">
      <alignment horizontal="center" vertical="center"/>
    </xf>
    <xf numFmtId="0" fontId="7" fillId="0" borderId="7" xfId="0" applyFont="1" applyBorder="1" applyAlignment="1">
      <alignment horizontal="center" vertical="center" wrapText="1"/>
    </xf>
    <xf numFmtId="0" fontId="15" fillId="10" borderId="7" xfId="0" applyFont="1" applyFill="1" applyBorder="1" applyAlignment="1">
      <alignment horizontal="center" vertical="center" wrapText="1"/>
    </xf>
    <xf numFmtId="166" fontId="12" fillId="0" borderId="7" xfId="0" applyNumberFormat="1" applyFont="1" applyBorder="1" applyAlignment="1">
      <alignment horizontal="center" vertical="center"/>
    </xf>
    <xf numFmtId="43" fontId="0" fillId="0" borderId="7" xfId="0" applyNumberFormat="1" applyBorder="1"/>
    <xf numFmtId="0" fontId="21" fillId="5" borderId="7"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0" fillId="0" borderId="4" xfId="0" applyBorder="1" applyAlignment="1">
      <alignment horizontal="center" vertical="center"/>
    </xf>
    <xf numFmtId="1" fontId="0" fillId="0" borderId="24" xfId="0" applyNumberFormat="1" applyBorder="1" applyAlignment="1">
      <alignment horizontal="center" vertical="center"/>
    </xf>
    <xf numFmtId="1" fontId="0" fillId="0" borderId="27" xfId="0" applyNumberForma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8" fillId="5" borderId="17" xfId="0" applyFont="1" applyFill="1" applyBorder="1" applyAlignment="1">
      <alignment horizontal="center" vertical="center" wrapText="1"/>
    </xf>
    <xf numFmtId="168" fontId="0" fillId="0" borderId="0" xfId="0" applyNumberFormat="1"/>
    <xf numFmtId="11" fontId="0" fillId="0" borderId="7" xfId="0" applyNumberFormat="1" applyBorder="1" applyAlignment="1">
      <alignment horizontal="center" vertical="center"/>
    </xf>
    <xf numFmtId="168" fontId="0" fillId="0" borderId="7" xfId="0" applyNumberFormat="1" applyBorder="1" applyAlignment="1">
      <alignment horizontal="center" vertical="center"/>
    </xf>
    <xf numFmtId="0" fontId="0" fillId="0" borderId="0" xfId="0" quotePrefix="1"/>
    <xf numFmtId="171" fontId="0" fillId="0" borderId="0" xfId="0" applyNumberFormat="1"/>
    <xf numFmtId="0" fontId="21" fillId="11" borderId="7" xfId="0" applyFont="1" applyFill="1" applyBorder="1" applyAlignment="1">
      <alignment horizontal="center" vertical="center" wrapText="1"/>
    </xf>
    <xf numFmtId="0" fontId="0" fillId="11" borderId="7" xfId="0" applyFill="1" applyBorder="1"/>
    <xf numFmtId="43" fontId="1" fillId="0" borderId="5" xfId="0" applyNumberFormat="1" applyFont="1" applyBorder="1" applyAlignment="1">
      <alignment vertical="center"/>
    </xf>
    <xf numFmtId="43" fontId="1" fillId="0" borderId="6" xfId="0" applyNumberFormat="1" applyFont="1" applyBorder="1" applyAlignment="1">
      <alignment vertical="center"/>
    </xf>
    <xf numFmtId="43" fontId="1" fillId="0" borderId="15" xfId="2" applyFont="1" applyBorder="1" applyAlignment="1">
      <alignment horizontal="center" vertical="center"/>
    </xf>
    <xf numFmtId="0" fontId="0" fillId="0" borderId="5" xfId="0" applyBorder="1"/>
    <xf numFmtId="0" fontId="8" fillId="5" borderId="19" xfId="0" applyFont="1" applyFill="1" applyBorder="1" applyAlignment="1">
      <alignment horizontal="center" vertical="center" wrapText="1"/>
    </xf>
    <xf numFmtId="0" fontId="19" fillId="10" borderId="0" xfId="0" applyFont="1" applyFill="1"/>
    <xf numFmtId="0" fontId="0" fillId="5" borderId="7" xfId="0" applyFill="1" applyBorder="1"/>
    <xf numFmtId="0" fontId="7" fillId="21" borderId="7" xfId="0" applyFont="1" applyFill="1" applyBorder="1" applyAlignment="1">
      <alignment horizontal="center" vertical="center" wrapText="1"/>
    </xf>
    <xf numFmtId="171" fontId="0" fillId="0" borderId="30" xfId="0" applyNumberFormat="1" applyBorder="1" applyAlignment="1">
      <alignment horizontal="center" vertical="center"/>
    </xf>
    <xf numFmtId="0" fontId="21" fillId="8" borderId="7" xfId="2" applyNumberFormat="1" applyFont="1" applyFill="1" applyBorder="1" applyAlignment="1">
      <alignment horizontal="center" vertical="center" wrapText="1"/>
    </xf>
    <xf numFmtId="0" fontId="0" fillId="5" borderId="0" xfId="0" applyFill="1"/>
    <xf numFmtId="0" fontId="0" fillId="25" borderId="0" xfId="0" applyFill="1"/>
    <xf numFmtId="3" fontId="0" fillId="0" borderId="7" xfId="0" applyNumberFormat="1" applyBorder="1"/>
    <xf numFmtId="0" fontId="0" fillId="25" borderId="64" xfId="0" applyFill="1" applyBorder="1" applyAlignment="1">
      <alignment vertical="top"/>
    </xf>
    <xf numFmtId="0" fontId="0" fillId="25" borderId="65" xfId="0" applyFill="1" applyBorder="1" applyAlignment="1">
      <alignment vertical="top"/>
    </xf>
    <xf numFmtId="0" fontId="0" fillId="25" borderId="66" xfId="0" applyFill="1" applyBorder="1" applyAlignment="1">
      <alignment vertical="top"/>
    </xf>
    <xf numFmtId="0" fontId="35" fillId="10" borderId="0" xfId="0" applyFont="1" applyFill="1"/>
    <xf numFmtId="0" fontId="0" fillId="0" borderId="0" xfId="0" quotePrefix="1" applyAlignment="1">
      <alignment horizontal="right"/>
    </xf>
    <xf numFmtId="0" fontId="37" fillId="0" borderId="67" xfId="0" applyFont="1" applyBorder="1"/>
    <xf numFmtId="0" fontId="34" fillId="0" borderId="0" xfId="0" applyFont="1" applyAlignment="1">
      <alignment horizontal="center"/>
    </xf>
    <xf numFmtId="0" fontId="34" fillId="0" borderId="12" xfId="0" applyFont="1" applyBorder="1" applyAlignment="1">
      <alignment horizontal="center"/>
    </xf>
    <xf numFmtId="0" fontId="34" fillId="26" borderId="67" xfId="0" applyFont="1" applyFill="1" applyBorder="1" applyAlignment="1">
      <alignment horizontal="center"/>
    </xf>
    <xf numFmtId="0" fontId="2" fillId="4" borderId="0" xfId="0" applyFont="1" applyFill="1"/>
    <xf numFmtId="0" fontId="0" fillId="4" borderId="0" xfId="0" applyFill="1"/>
    <xf numFmtId="0" fontId="0" fillId="5" borderId="15" xfId="0" applyFill="1" applyBorder="1"/>
    <xf numFmtId="0" fontId="0" fillId="5" borderId="17" xfId="0" applyFill="1" applyBorder="1"/>
    <xf numFmtId="0" fontId="0" fillId="5" borderId="4" xfId="0" applyFill="1" applyBorder="1"/>
    <xf numFmtId="0" fontId="0" fillId="5" borderId="6" xfId="0" applyFill="1" applyBorder="1"/>
    <xf numFmtId="0" fontId="0" fillId="5" borderId="14" xfId="0" applyFill="1" applyBorder="1"/>
    <xf numFmtId="0" fontId="0" fillId="5" borderId="5" xfId="0" applyFill="1" applyBorder="1"/>
    <xf numFmtId="0" fontId="0" fillId="5" borderId="19" xfId="0" applyFill="1" applyBorder="1"/>
    <xf numFmtId="0" fontId="0" fillId="21" borderId="7" xfId="0" applyFill="1" applyBorder="1"/>
    <xf numFmtId="0" fontId="2" fillId="5" borderId="15" xfId="0" applyFont="1" applyFill="1" applyBorder="1"/>
    <xf numFmtId="0" fontId="0" fillId="5" borderId="9" xfId="0" applyFill="1" applyBorder="1"/>
    <xf numFmtId="0" fontId="0" fillId="5" borderId="10" xfId="0" applyFill="1" applyBorder="1"/>
    <xf numFmtId="0" fontId="2" fillId="5" borderId="19" xfId="0" applyFont="1" applyFill="1" applyBorder="1"/>
    <xf numFmtId="0" fontId="0" fillId="8" borderId="7" xfId="0" applyFill="1" applyBorder="1"/>
    <xf numFmtId="0" fontId="0" fillId="8" borderId="0" xfId="0" applyFill="1"/>
    <xf numFmtId="0" fontId="0" fillId="27" borderId="0" xfId="0" applyFill="1"/>
    <xf numFmtId="0" fontId="0" fillId="27" borderId="15" xfId="0" applyFill="1" applyBorder="1"/>
    <xf numFmtId="0" fontId="2" fillId="5" borderId="7" xfId="0" applyFont="1" applyFill="1" applyBorder="1"/>
    <xf numFmtId="0" fontId="2" fillId="5" borderId="7" xfId="0" applyFont="1" applyFill="1" applyBorder="1" applyAlignment="1">
      <alignment horizontal="center" vertical="center"/>
    </xf>
    <xf numFmtId="0" fontId="2" fillId="5" borderId="7" xfId="0" applyFont="1" applyFill="1" applyBorder="1" applyAlignment="1">
      <alignment horizontal="center" vertical="center" wrapText="1"/>
    </xf>
    <xf numFmtId="2" fontId="0" fillId="0" borderId="7" xfId="0" applyNumberFormat="1" applyBorder="1"/>
    <xf numFmtId="1" fontId="26" fillId="18" borderId="54" xfId="0" applyNumberFormat="1" applyFont="1" applyFill="1" applyBorder="1" applyAlignment="1">
      <alignment horizontal="right" vertical="center" wrapText="1" readingOrder="1"/>
    </xf>
    <xf numFmtId="0" fontId="34" fillId="0" borderId="0" xfId="0" applyFont="1" applyAlignment="1">
      <alignment horizontal="left"/>
    </xf>
    <xf numFmtId="0" fontId="34" fillId="0" borderId="68" xfId="0" applyFont="1" applyBorder="1" applyAlignment="1">
      <alignment horizontal="center"/>
    </xf>
    <xf numFmtId="0" fontId="34" fillId="0" borderId="68" xfId="0" applyFont="1" applyBorder="1" applyAlignment="1">
      <alignment horizontal="left"/>
    </xf>
    <xf numFmtId="0" fontId="34" fillId="0" borderId="12" xfId="0" applyFont="1" applyBorder="1" applyAlignment="1">
      <alignment horizontal="left"/>
    </xf>
    <xf numFmtId="0" fontId="34" fillId="0" borderId="18" xfId="0" applyFont="1" applyBorder="1" applyAlignment="1">
      <alignment horizontal="center"/>
    </xf>
    <xf numFmtId="0" fontId="34" fillId="0" borderId="18" xfId="0" applyFont="1" applyBorder="1" applyAlignment="1">
      <alignment horizontal="left"/>
    </xf>
    <xf numFmtId="0" fontId="0" fillId="0" borderId="12" xfId="0" applyBorder="1"/>
    <xf numFmtId="0" fontId="34" fillId="26" borderId="67" xfId="0" applyFont="1" applyFill="1" applyBorder="1" applyAlignment="1">
      <alignment horizontal="left"/>
    </xf>
    <xf numFmtId="0" fontId="33" fillId="0" borderId="0" xfId="0" applyFont="1"/>
    <xf numFmtId="0" fontId="2" fillId="0" borderId="7" xfId="0" applyFont="1" applyBorder="1" applyAlignment="1">
      <alignment horizontal="left" vertical="center"/>
    </xf>
    <xf numFmtId="0" fontId="0" fillId="0" borderId="7" xfId="0" applyBorder="1" applyAlignment="1">
      <alignment horizontal="left" vertical="center"/>
    </xf>
    <xf numFmtId="2" fontId="0" fillId="0" borderId="0" xfId="0" applyNumberFormat="1"/>
    <xf numFmtId="2" fontId="0" fillId="6" borderId="0" xfId="0" applyNumberFormat="1" applyFill="1"/>
    <xf numFmtId="0" fontId="15" fillId="10" borderId="9" xfId="0" applyFont="1" applyFill="1" applyBorder="1" applyAlignment="1">
      <alignment horizontal="center" vertical="center" wrapText="1"/>
    </xf>
    <xf numFmtId="181" fontId="0" fillId="0" borderId="7" xfId="0" applyNumberFormat="1" applyBorder="1"/>
    <xf numFmtId="171" fontId="0" fillId="0" borderId="7" xfId="0" applyNumberFormat="1" applyBorder="1" applyAlignment="1">
      <alignment horizontal="center" vertical="center"/>
    </xf>
    <xf numFmtId="171" fontId="0" fillId="0" borderId="7" xfId="0" applyNumberFormat="1" applyBorder="1" applyAlignment="1">
      <alignment horizontal="right" vertical="center"/>
    </xf>
    <xf numFmtId="9" fontId="0" fillId="0" borderId="7" xfId="5" applyFont="1" applyBorder="1" applyAlignment="1">
      <alignment horizontal="center" vertical="center"/>
    </xf>
    <xf numFmtId="9" fontId="42" fillId="0" borderId="7" xfId="5" applyFont="1" applyBorder="1" applyAlignment="1">
      <alignment horizontal="center" vertical="center"/>
    </xf>
    <xf numFmtId="0" fontId="0" fillId="0" borderId="15" xfId="0" applyBorder="1" applyAlignment="1">
      <alignment horizontal="center" vertical="center"/>
    </xf>
    <xf numFmtId="0" fontId="0" fillId="0" borderId="7" xfId="0" quotePrefix="1" applyBorder="1" applyAlignment="1">
      <alignment horizontal="center" vertical="center"/>
    </xf>
    <xf numFmtId="0" fontId="0" fillId="6" borderId="7" xfId="0" applyFill="1" applyBorder="1" applyAlignment="1">
      <alignment horizontal="center" vertical="center"/>
    </xf>
    <xf numFmtId="0" fontId="0" fillId="6" borderId="4" xfId="0" applyFill="1" applyBorder="1" applyAlignment="1">
      <alignment horizontal="center" vertical="center"/>
    </xf>
    <xf numFmtId="0" fontId="0" fillId="6" borderId="0" xfId="0" applyFill="1"/>
    <xf numFmtId="0" fontId="0" fillId="6" borderId="7" xfId="0" applyFill="1" applyBorder="1" applyAlignment="1">
      <alignment horizontal="center" vertical="center" wrapText="1"/>
    </xf>
    <xf numFmtId="181" fontId="0" fillId="0" borderId="24" xfId="0" applyNumberFormat="1" applyBorder="1" applyAlignment="1">
      <alignment horizontal="center"/>
    </xf>
    <xf numFmtId="181" fontId="0" fillId="16" borderId="25" xfId="0" applyNumberFormat="1" applyFill="1" applyBorder="1" applyAlignment="1">
      <alignment horizontal="center"/>
    </xf>
    <xf numFmtId="181" fontId="0" fillId="0" borderId="25" xfId="0" applyNumberFormat="1" applyBorder="1" applyAlignment="1">
      <alignment horizontal="center" vertical="center"/>
    </xf>
    <xf numFmtId="181" fontId="0" fillId="0" borderId="58" xfId="0" applyNumberFormat="1" applyBorder="1" applyAlignment="1">
      <alignment horizontal="center" vertical="center"/>
    </xf>
    <xf numFmtId="181" fontId="0" fillId="16" borderId="7" xfId="0" applyNumberFormat="1" applyFill="1" applyBorder="1" applyAlignment="1">
      <alignment horizontal="center"/>
    </xf>
    <xf numFmtId="181" fontId="0" fillId="0" borderId="7" xfId="0" applyNumberFormat="1" applyBorder="1" applyAlignment="1">
      <alignment horizontal="center" vertical="center"/>
    </xf>
    <xf numFmtId="181" fontId="0" fillId="0" borderId="29" xfId="0" applyNumberFormat="1" applyBorder="1" applyAlignment="1">
      <alignment horizontal="center" vertical="center"/>
    </xf>
    <xf numFmtId="181" fontId="0" fillId="16" borderId="31" xfId="0" applyNumberFormat="1" applyFill="1" applyBorder="1" applyAlignment="1">
      <alignment horizontal="center"/>
    </xf>
    <xf numFmtId="181" fontId="0" fillId="0" borderId="31" xfId="0" applyNumberFormat="1" applyBorder="1" applyAlignment="1">
      <alignment horizontal="center" vertical="center"/>
    </xf>
    <xf numFmtId="181" fontId="0" fillId="0" borderId="32" xfId="0" applyNumberFormat="1" applyBorder="1" applyAlignment="1">
      <alignment horizontal="center" vertical="center"/>
    </xf>
    <xf numFmtId="181" fontId="0" fillId="0" borderId="34" xfId="0" applyNumberFormat="1" applyBorder="1" applyAlignment="1">
      <alignment horizontal="center" vertical="center"/>
    </xf>
    <xf numFmtId="181" fontId="0" fillId="0" borderId="24" xfId="0" applyNumberFormat="1" applyBorder="1" applyAlignment="1">
      <alignment horizontal="center" vertical="center"/>
    </xf>
    <xf numFmtId="181" fontId="0" fillId="0" borderId="4" xfId="0" applyNumberFormat="1" applyBorder="1" applyAlignment="1">
      <alignment horizontal="center" vertical="center"/>
    </xf>
    <xf numFmtId="181" fontId="0" fillId="0" borderId="35" xfId="0" applyNumberFormat="1" applyBorder="1" applyAlignment="1">
      <alignment horizontal="center" vertical="center"/>
    </xf>
    <xf numFmtId="181" fontId="0" fillId="0" borderId="7" xfId="0" applyNumberFormat="1" applyBorder="1" applyAlignment="1">
      <alignment horizontal="center"/>
    </xf>
    <xf numFmtId="181" fontId="0" fillId="0" borderId="31" xfId="0" applyNumberFormat="1" applyBorder="1" applyAlignment="1">
      <alignment horizontal="center"/>
    </xf>
    <xf numFmtId="181" fontId="0" fillId="0" borderId="17" xfId="0" applyNumberFormat="1" applyBorder="1" applyAlignment="1">
      <alignment horizontal="center" vertical="center"/>
    </xf>
    <xf numFmtId="0" fontId="39" fillId="0" borderId="0" xfId="0" applyFont="1"/>
    <xf numFmtId="171" fontId="0" fillId="6" borderId="0" xfId="0" applyNumberFormat="1" applyFill="1"/>
    <xf numFmtId="0" fontId="45" fillId="22" borderId="0" xfId="0" applyFont="1" applyFill="1" applyAlignment="1">
      <alignment vertical="center"/>
    </xf>
    <xf numFmtId="0" fontId="45" fillId="0" borderId="0" xfId="0" applyFont="1"/>
    <xf numFmtId="0" fontId="46" fillId="0" borderId="0" xfId="0" applyFont="1"/>
    <xf numFmtId="0" fontId="48" fillId="13" borderId="0" xfId="0" applyFont="1" applyFill="1"/>
    <xf numFmtId="0" fontId="46" fillId="13" borderId="0" xfId="0" applyFont="1" applyFill="1"/>
    <xf numFmtId="0" fontId="46" fillId="22" borderId="0" xfId="0" applyFont="1" applyFill="1"/>
    <xf numFmtId="0" fontId="51" fillId="22" borderId="0" xfId="3" applyFont="1" applyFill="1"/>
    <xf numFmtId="0" fontId="48" fillId="0" borderId="0" xfId="0" applyFont="1" applyAlignment="1" applyProtection="1">
      <alignment vertical="center"/>
      <protection locked="0"/>
    </xf>
    <xf numFmtId="0" fontId="51" fillId="0" borderId="0" xfId="3" applyFont="1" applyFill="1"/>
    <xf numFmtId="0" fontId="48" fillId="0" borderId="0" xfId="0" applyFont="1"/>
    <xf numFmtId="0" fontId="48" fillId="22" borderId="0" xfId="0" applyFont="1" applyFill="1"/>
    <xf numFmtId="0" fontId="53" fillId="0" borderId="0" xfId="0" applyFont="1"/>
    <xf numFmtId="0" fontId="45" fillId="0" borderId="0" xfId="0" applyFont="1" applyAlignment="1">
      <alignment horizontal="center" vertical="center"/>
    </xf>
    <xf numFmtId="0" fontId="45" fillId="0" borderId="0" xfId="6" applyFont="1" applyFill="1" applyBorder="1" applyAlignment="1">
      <alignment horizontal="center" vertical="center"/>
      <protection locked="0"/>
    </xf>
    <xf numFmtId="0" fontId="45" fillId="13" borderId="0" xfId="6" applyFont="1" applyFill="1" applyBorder="1" applyAlignment="1">
      <alignment horizontal="center" vertical="center"/>
      <protection locked="0"/>
    </xf>
    <xf numFmtId="0" fontId="45" fillId="0" borderId="0" xfId="6" applyFont="1" applyFill="1" applyBorder="1" applyAlignment="1">
      <alignment vertical="center"/>
      <protection locked="0"/>
    </xf>
    <xf numFmtId="0" fontId="56" fillId="0" borderId="0" xfId="0" applyFont="1" applyAlignment="1">
      <alignment horizontal="center" vertical="center"/>
    </xf>
    <xf numFmtId="0" fontId="45" fillId="5" borderId="15" xfId="0" applyFont="1" applyFill="1" applyBorder="1" applyAlignment="1">
      <alignment horizontal="center" vertical="center" wrapText="1"/>
    </xf>
    <xf numFmtId="0" fontId="47" fillId="22" borderId="0" xfId="0" applyFont="1" applyFill="1"/>
    <xf numFmtId="0" fontId="45" fillId="5" borderId="19" xfId="0" applyFont="1" applyFill="1" applyBorder="1" applyAlignment="1">
      <alignment horizontal="center" vertical="center" wrapText="1"/>
    </xf>
    <xf numFmtId="0" fontId="47" fillId="5" borderId="17" xfId="0" applyFont="1" applyFill="1" applyBorder="1" applyAlignment="1">
      <alignment vertical="center" wrapText="1"/>
    </xf>
    <xf numFmtId="0" fontId="45" fillId="5" borderId="17" xfId="0" applyFont="1" applyFill="1" applyBorder="1" applyAlignment="1">
      <alignment vertical="center" wrapText="1"/>
    </xf>
    <xf numFmtId="0" fontId="58" fillId="0" borderId="0" xfId="0" applyFont="1" applyAlignment="1">
      <alignment horizontal="center" vertical="center"/>
    </xf>
    <xf numFmtId="49" fontId="46" fillId="8" borderId="7" xfId="0" applyNumberFormat="1" applyFont="1" applyFill="1" applyBorder="1" applyAlignment="1">
      <alignment horizontal="center" vertical="center"/>
    </xf>
    <xf numFmtId="165" fontId="46" fillId="8" borderId="7" xfId="2" applyNumberFormat="1" applyFont="1" applyFill="1" applyBorder="1" applyAlignment="1">
      <alignment horizontal="center" vertical="center"/>
    </xf>
    <xf numFmtId="0" fontId="59" fillId="0" borderId="0" xfId="0" applyFont="1" applyAlignment="1">
      <alignment horizontal="center" vertical="center"/>
    </xf>
    <xf numFmtId="49" fontId="46" fillId="7" borderId="7" xfId="0" applyNumberFormat="1" applyFont="1" applyFill="1" applyBorder="1" applyAlignment="1" applyProtection="1">
      <alignment horizontal="center" vertical="center"/>
      <protection locked="0"/>
    </xf>
    <xf numFmtId="0" fontId="46" fillId="7" borderId="7" xfId="0" applyFont="1" applyFill="1" applyBorder="1" applyAlignment="1" applyProtection="1">
      <alignment horizontal="center" vertical="center"/>
      <protection locked="0"/>
    </xf>
    <xf numFmtId="165" fontId="52" fillId="13" borderId="0" xfId="2" applyNumberFormat="1" applyFont="1" applyFill="1" applyBorder="1" applyAlignment="1">
      <alignment vertical="center"/>
    </xf>
    <xf numFmtId="165" fontId="52" fillId="0" borderId="0" xfId="2" applyNumberFormat="1" applyFont="1" applyFill="1" applyBorder="1" applyAlignment="1">
      <alignment vertical="center"/>
    </xf>
    <xf numFmtId="167" fontId="60" fillId="0" borderId="0" xfId="8" applyNumberFormat="1" applyFont="1" applyFill="1" applyBorder="1" applyAlignment="1">
      <alignment vertical="center"/>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49" fontId="47" fillId="8" borderId="7" xfId="0" applyNumberFormat="1" applyFont="1" applyFill="1" applyBorder="1" applyAlignment="1">
      <alignment horizontal="center" vertical="center"/>
    </xf>
    <xf numFmtId="0" fontId="45" fillId="8" borderId="7" xfId="0" applyFont="1" applyFill="1" applyBorder="1" applyAlignment="1">
      <alignment horizontal="center" vertical="center"/>
    </xf>
    <xf numFmtId="165" fontId="47" fillId="8" borderId="7" xfId="2" applyNumberFormat="1" applyFont="1" applyFill="1" applyBorder="1" applyAlignment="1">
      <alignment horizontal="center" vertical="center"/>
    </xf>
    <xf numFmtId="0" fontId="47" fillId="8" borderId="7" xfId="0" applyFont="1" applyFill="1" applyBorder="1" applyAlignment="1">
      <alignment horizontal="center" vertical="center"/>
    </xf>
    <xf numFmtId="0" fontId="52" fillId="13" borderId="0" xfId="0" applyFont="1" applyFill="1" applyAlignment="1">
      <alignment vertical="center"/>
    </xf>
    <xf numFmtId="0" fontId="52" fillId="3" borderId="15" xfId="0" applyFont="1" applyFill="1" applyBorder="1" applyAlignment="1">
      <alignment horizontal="center" vertical="center"/>
    </xf>
    <xf numFmtId="0" fontId="52" fillId="4" borderId="15" xfId="0" applyFont="1" applyFill="1" applyBorder="1" applyAlignment="1">
      <alignment horizontal="center" vertical="center"/>
    </xf>
    <xf numFmtId="0" fontId="52" fillId="5" borderId="7" xfId="0" applyFont="1" applyFill="1" applyBorder="1" applyAlignment="1">
      <alignment horizontal="center" vertical="center"/>
    </xf>
    <xf numFmtId="0" fontId="52" fillId="10" borderId="6" xfId="0" applyFont="1" applyFill="1" applyBorder="1" applyAlignment="1">
      <alignment horizontal="left" vertical="center" indent="3"/>
    </xf>
    <xf numFmtId="0" fontId="52" fillId="0" borderId="0" xfId="0" applyFont="1" applyAlignment="1">
      <alignment horizontal="left" vertical="center" indent="3"/>
    </xf>
    <xf numFmtId="180" fontId="46" fillId="0" borderId="12" xfId="2" applyNumberFormat="1" applyFont="1" applyFill="1" applyBorder="1" applyAlignment="1">
      <alignment horizontal="center" vertical="center"/>
    </xf>
    <xf numFmtId="0" fontId="56" fillId="0" borderId="0" xfId="0" applyFont="1" applyAlignment="1">
      <alignment horizontal="left" vertical="center" wrapText="1"/>
    </xf>
    <xf numFmtId="0" fontId="46" fillId="0" borderId="0" xfId="0" applyFont="1" applyAlignment="1">
      <alignment horizontal="left" vertical="center" wrapText="1"/>
    </xf>
    <xf numFmtId="0" fontId="52" fillId="10" borderId="0" xfId="0" applyFont="1" applyFill="1" applyAlignment="1">
      <alignment vertical="center"/>
    </xf>
    <xf numFmtId="0" fontId="29" fillId="19" borderId="4" xfId="0" applyFont="1" applyFill="1" applyBorder="1" applyAlignment="1">
      <alignment horizontal="center" vertical="center"/>
    </xf>
    <xf numFmtId="0" fontId="29" fillId="19" borderId="5" xfId="0" applyFont="1" applyFill="1" applyBorder="1" applyAlignment="1">
      <alignment horizontal="center" vertical="center"/>
    </xf>
    <xf numFmtId="0" fontId="19" fillId="19" borderId="7" xfId="0" applyFont="1" applyFill="1" applyBorder="1" applyAlignment="1">
      <alignment horizontal="center" vertical="center"/>
    </xf>
    <xf numFmtId="2" fontId="0" fillId="6" borderId="7" xfId="0" applyNumberFormat="1" applyFill="1" applyBorder="1" applyAlignment="1">
      <alignment horizontal="center" vertical="center"/>
    </xf>
    <xf numFmtId="0" fontId="9" fillId="19" borderId="7" xfId="0" applyFont="1" applyFill="1" applyBorder="1" applyAlignment="1">
      <alignment horizontal="center" vertical="center" wrapText="1"/>
    </xf>
    <xf numFmtId="3" fontId="0" fillId="6" borderId="7" xfId="0" applyNumberFormat="1" applyFill="1" applyBorder="1" applyAlignment="1">
      <alignment horizontal="center" vertical="center"/>
    </xf>
    <xf numFmtId="0" fontId="64" fillId="0" borderId="7" xfId="0" applyFont="1" applyBorder="1" applyAlignment="1">
      <alignment horizontal="center" vertical="center"/>
    </xf>
    <xf numFmtId="3" fontId="64" fillId="0" borderId="7" xfId="0" applyNumberFormat="1" applyFont="1" applyBorder="1" applyAlignment="1">
      <alignment horizontal="center" vertical="center"/>
    </xf>
    <xf numFmtId="0" fontId="29" fillId="5" borderId="5" xfId="0" applyFont="1" applyFill="1" applyBorder="1" applyAlignment="1">
      <alignment horizontal="center" vertical="center"/>
    </xf>
    <xf numFmtId="0" fontId="29" fillId="5" borderId="5" xfId="0" applyFont="1" applyFill="1" applyBorder="1" applyAlignment="1">
      <alignment horizontal="center" vertical="center" wrapText="1"/>
    </xf>
    <xf numFmtId="0" fontId="0" fillId="6" borderId="7" xfId="0" applyFill="1" applyBorder="1" applyAlignment="1">
      <alignment horizontal="center"/>
    </xf>
    <xf numFmtId="0" fontId="0" fillId="5" borderId="7" xfId="0" applyFill="1" applyBorder="1" applyAlignment="1">
      <alignment horizontal="center" vertical="center" wrapText="1"/>
    </xf>
    <xf numFmtId="0" fontId="0" fillId="5" borderId="7" xfId="0" applyFill="1" applyBorder="1" applyAlignment="1">
      <alignment horizontal="center" vertical="center"/>
    </xf>
    <xf numFmtId="0" fontId="48" fillId="22" borderId="0" xfId="0" applyFont="1" applyFill="1" applyAlignment="1" applyProtection="1">
      <alignment horizontal="left" vertical="top"/>
      <protection locked="0"/>
    </xf>
    <xf numFmtId="0" fontId="46" fillId="22" borderId="0" xfId="0" applyFont="1" applyFill="1" applyAlignment="1">
      <alignment vertical="center" wrapText="1"/>
    </xf>
    <xf numFmtId="0" fontId="46" fillId="22" borderId="0" xfId="0" applyFont="1" applyFill="1" applyAlignment="1">
      <alignment vertical="top" wrapText="1"/>
    </xf>
    <xf numFmtId="0" fontId="46" fillId="22" borderId="0" xfId="0" applyFont="1" applyFill="1" applyAlignment="1">
      <alignment horizontal="left" vertical="top" wrapText="1"/>
    </xf>
    <xf numFmtId="0" fontId="46" fillId="0" borderId="0" xfId="0" applyFont="1" applyAlignment="1">
      <alignment horizontal="left" vertical="top" wrapText="1"/>
    </xf>
    <xf numFmtId="0" fontId="46" fillId="0" borderId="0" xfId="0" applyFont="1" applyAlignment="1">
      <alignment horizontal="left" vertical="top"/>
    </xf>
    <xf numFmtId="0" fontId="46" fillId="0" borderId="0" xfId="0" applyFont="1" applyAlignment="1">
      <alignment vertical="top" wrapText="1"/>
    </xf>
    <xf numFmtId="0" fontId="46" fillId="22" borderId="0" xfId="0" applyFont="1" applyFill="1" applyAlignment="1">
      <alignment horizontal="left" vertical="top"/>
    </xf>
    <xf numFmtId="0" fontId="48" fillId="2" borderId="0" xfId="0" applyFont="1" applyFill="1"/>
    <xf numFmtId="0" fontId="47" fillId="5" borderId="7" xfId="0" applyFont="1" applyFill="1" applyBorder="1" applyAlignment="1">
      <alignment horizontal="center" vertical="center"/>
    </xf>
    <xf numFmtId="0" fontId="47" fillId="5" borderId="7" xfId="0" applyFont="1" applyFill="1" applyBorder="1" applyAlignment="1">
      <alignment horizontal="center" vertical="center" wrapText="1"/>
    </xf>
    <xf numFmtId="0" fontId="47" fillId="5" borderId="4"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68" fillId="0" borderId="0" xfId="0" applyFont="1" applyAlignment="1">
      <alignment horizontal="center" vertical="center"/>
    </xf>
    <xf numFmtId="165" fontId="69" fillId="8" borderId="7" xfId="2" applyNumberFormat="1" applyFont="1" applyFill="1" applyBorder="1" applyAlignment="1">
      <alignment horizontal="center" vertical="center"/>
    </xf>
    <xf numFmtId="165" fontId="69" fillId="8" borderId="17" xfId="2" applyNumberFormat="1" applyFont="1" applyFill="1" applyBorder="1" applyAlignment="1">
      <alignment horizontal="center" vertical="center"/>
    </xf>
    <xf numFmtId="43" fontId="69" fillId="8" borderId="17" xfId="2" applyFont="1" applyFill="1" applyBorder="1" applyAlignment="1">
      <alignment horizontal="center" vertical="center" wrapText="1"/>
    </xf>
    <xf numFmtId="0" fontId="69" fillId="8" borderId="7" xfId="0" applyFont="1" applyFill="1" applyBorder="1" applyAlignment="1">
      <alignment vertical="center"/>
    </xf>
    <xf numFmtId="0" fontId="69" fillId="8" borderId="7" xfId="0" applyFont="1" applyFill="1" applyBorder="1"/>
    <xf numFmtId="43" fontId="69" fillId="8" borderId="17" xfId="2" applyFont="1" applyFill="1" applyBorder="1" applyAlignment="1">
      <alignment horizontal="center" vertical="center"/>
    </xf>
    <xf numFmtId="0" fontId="69" fillId="0" borderId="0" xfId="0" applyFont="1"/>
    <xf numFmtId="165" fontId="46" fillId="23" borderId="7" xfId="2"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vertical="center" wrapText="1"/>
      <protection locked="0"/>
    </xf>
    <xf numFmtId="165"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protection locked="0"/>
    </xf>
    <xf numFmtId="165" fontId="45" fillId="13" borderId="0" xfId="2" applyNumberFormat="1" applyFont="1" applyFill="1" applyBorder="1" applyAlignment="1">
      <alignment horizontal="left" vertical="center"/>
    </xf>
    <xf numFmtId="165" fontId="52" fillId="13" borderId="0" xfId="2" applyNumberFormat="1" applyFont="1" applyFill="1" applyBorder="1" applyAlignment="1">
      <alignment horizontal="left" vertical="center"/>
    </xf>
    <xf numFmtId="165" fontId="46" fillId="13" borderId="0" xfId="2" applyNumberFormat="1" applyFont="1" applyFill="1" applyBorder="1"/>
    <xf numFmtId="0" fontId="70" fillId="0" borderId="0" xfId="0" applyFont="1"/>
    <xf numFmtId="0" fontId="45" fillId="5" borderId="7" xfId="0" applyFont="1" applyFill="1" applyBorder="1" applyAlignment="1">
      <alignment horizontal="center" vertical="center" wrapText="1"/>
    </xf>
    <xf numFmtId="0" fontId="45" fillId="5" borderId="6" xfId="0" applyFont="1" applyFill="1" applyBorder="1" applyAlignment="1">
      <alignment horizontal="center" vertical="center" wrapText="1"/>
    </xf>
    <xf numFmtId="0" fontId="47" fillId="0" borderId="0" xfId="0" applyFont="1" applyAlignment="1">
      <alignment vertical="center"/>
    </xf>
    <xf numFmtId="0" fontId="45" fillId="0" borderId="0" xfId="0" applyFont="1" applyAlignment="1">
      <alignment vertical="center" wrapText="1"/>
    </xf>
    <xf numFmtId="0" fontId="47" fillId="0" borderId="0" xfId="0" applyFont="1" applyAlignment="1">
      <alignment vertical="center" wrapText="1"/>
    </xf>
    <xf numFmtId="0" fontId="47" fillId="0" borderId="0" xfId="0" applyFont="1" applyAlignment="1">
      <alignment horizontal="center" vertical="center"/>
    </xf>
    <xf numFmtId="0" fontId="47" fillId="0" borderId="0" xfId="0" applyFont="1" applyAlignment="1">
      <alignment horizontal="center" vertical="center" wrapText="1"/>
    </xf>
    <xf numFmtId="43" fontId="69" fillId="0" borderId="0" xfId="2" applyFont="1" applyFill="1" applyBorder="1" applyAlignment="1">
      <alignment horizontal="center" vertical="center" wrapText="1"/>
    </xf>
    <xf numFmtId="165" fontId="69" fillId="0" borderId="0" xfId="2" applyNumberFormat="1" applyFont="1" applyFill="1" applyBorder="1" applyAlignment="1">
      <alignment horizontal="center" vertical="center"/>
    </xf>
    <xf numFmtId="0" fontId="69" fillId="0" borderId="0" xfId="0" applyFont="1" applyAlignment="1">
      <alignment vertical="center"/>
    </xf>
    <xf numFmtId="43" fontId="69" fillId="0" borderId="0" xfId="2" applyFont="1" applyFill="1" applyBorder="1" applyAlignment="1">
      <alignment horizontal="center" vertical="center"/>
    </xf>
    <xf numFmtId="178" fontId="69" fillId="0" borderId="0" xfId="2" applyNumberFormat="1" applyFont="1" applyFill="1" applyBorder="1" applyAlignment="1">
      <alignment horizontal="center" vertical="center"/>
    </xf>
    <xf numFmtId="165" fontId="46" fillId="23" borderId="7" xfId="2" applyNumberFormat="1" applyFont="1" applyFill="1" applyBorder="1" applyAlignment="1" applyProtection="1">
      <alignment horizontal="center" vertical="center" wrapText="1"/>
      <protection locked="0"/>
    </xf>
    <xf numFmtId="165" fontId="46" fillId="32" borderId="7" xfId="2" applyNumberFormat="1" applyFont="1" applyFill="1" applyBorder="1" applyAlignment="1" applyProtection="1">
      <alignment horizontal="center" vertical="center"/>
      <protection locked="0"/>
    </xf>
    <xf numFmtId="165" fontId="46" fillId="32" borderId="7" xfId="2" applyNumberFormat="1" applyFont="1" applyFill="1" applyBorder="1" applyAlignment="1" applyProtection="1">
      <alignment horizontal="center" vertical="center" wrapText="1"/>
      <protection locked="0"/>
    </xf>
    <xf numFmtId="182"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lignment horizontal="left" vertical="center" wrapText="1"/>
    </xf>
    <xf numFmtId="179" fontId="46" fillId="0" borderId="0" xfId="2" applyNumberFormat="1" applyFont="1" applyFill="1" applyBorder="1" applyAlignment="1" applyProtection="1">
      <alignment horizontal="center" vertical="center"/>
      <protection locked="0"/>
    </xf>
    <xf numFmtId="178" fontId="47" fillId="0" borderId="0" xfId="2" applyNumberFormat="1" applyFont="1" applyFill="1" applyBorder="1" applyAlignment="1">
      <alignment horizontal="center" vertical="center"/>
    </xf>
    <xf numFmtId="43" fontId="46" fillId="0" borderId="0" xfId="2" applyFont="1" applyFill="1" applyBorder="1" applyAlignment="1" applyProtection="1">
      <alignment horizontal="center" vertical="center"/>
      <protection locked="0"/>
    </xf>
    <xf numFmtId="165" fontId="52" fillId="4" borderId="4" xfId="2" applyNumberFormat="1" applyFont="1" applyFill="1" applyBorder="1" applyAlignment="1">
      <alignment vertical="center"/>
    </xf>
    <xf numFmtId="165" fontId="52" fillId="4" borderId="5" xfId="2" applyNumberFormat="1" applyFont="1" applyFill="1" applyBorder="1" applyAlignment="1">
      <alignment vertical="center"/>
    </xf>
    <xf numFmtId="165" fontId="52" fillId="4" borderId="5" xfId="2" applyNumberFormat="1" applyFont="1" applyFill="1" applyBorder="1" applyAlignment="1">
      <alignment vertical="center" wrapText="1"/>
    </xf>
    <xf numFmtId="0" fontId="46" fillId="4" borderId="7" xfId="0" applyFont="1" applyFill="1" applyBorder="1"/>
    <xf numFmtId="0" fontId="52" fillId="3" borderId="7" xfId="0" applyFont="1" applyFill="1" applyBorder="1" applyAlignment="1">
      <alignment horizontal="center" vertical="center"/>
    </xf>
    <xf numFmtId="0" fontId="52" fillId="4" borderId="7" xfId="0" applyFont="1" applyFill="1" applyBorder="1" applyAlignment="1">
      <alignment horizontal="center" vertical="center"/>
    </xf>
    <xf numFmtId="0" fontId="52" fillId="0" borderId="0" xfId="0" applyFont="1" applyAlignment="1">
      <alignment horizontal="left" vertical="center"/>
    </xf>
    <xf numFmtId="0" fontId="52" fillId="10" borderId="0" xfId="0" applyFont="1" applyFill="1" applyAlignment="1">
      <alignment horizontal="center" vertical="center"/>
    </xf>
    <xf numFmtId="0" fontId="2" fillId="6" borderId="0" xfId="0" applyFont="1" applyFill="1" applyAlignment="1">
      <alignment horizontal="center"/>
    </xf>
    <xf numFmtId="0" fontId="2" fillId="6" borderId="0" xfId="0" applyFont="1" applyFill="1" applyAlignment="1">
      <alignment wrapText="1"/>
    </xf>
    <xf numFmtId="0" fontId="2" fillId="6" borderId="0" xfId="0" applyFont="1" applyFill="1"/>
    <xf numFmtId="0" fontId="2" fillId="6" borderId="0" xfId="0" applyFont="1" applyFill="1" applyAlignment="1">
      <alignment horizontal="left"/>
    </xf>
    <xf numFmtId="0" fontId="0" fillId="6" borderId="0" xfId="0" applyFill="1" applyAlignment="1">
      <alignment horizontal="center"/>
    </xf>
    <xf numFmtId="0" fontId="2" fillId="6" borderId="7" xfId="0" applyFont="1" applyFill="1" applyBorder="1" applyAlignment="1">
      <alignment horizontal="center" vertical="center"/>
    </xf>
    <xf numFmtId="0" fontId="0" fillId="11" borderId="0" xfId="0" applyFill="1"/>
    <xf numFmtId="0" fontId="2" fillId="0" borderId="0" xfId="0" applyFont="1" applyAlignment="1">
      <alignment horizontal="center"/>
    </xf>
    <xf numFmtId="0" fontId="0" fillId="6" borderId="7" xfId="0" applyFill="1" applyBorder="1"/>
    <xf numFmtId="2" fontId="0" fillId="6" borderId="7" xfId="0" applyNumberFormat="1" applyFill="1" applyBorder="1"/>
    <xf numFmtId="0" fontId="35" fillId="10" borderId="0" xfId="0" applyFont="1" applyFill="1" applyAlignment="1">
      <alignment vertical="center"/>
    </xf>
    <xf numFmtId="165" fontId="52" fillId="4" borderId="6" xfId="2" applyNumberFormat="1" applyFont="1" applyFill="1" applyBorder="1" applyAlignment="1">
      <alignment vertical="center"/>
    </xf>
    <xf numFmtId="165" fontId="45" fillId="13" borderId="18" xfId="2" quotePrefix="1" applyNumberFormat="1" applyFont="1" applyFill="1" applyBorder="1" applyAlignment="1">
      <alignment vertical="center"/>
    </xf>
    <xf numFmtId="49" fontId="45" fillId="13" borderId="18" xfId="2" quotePrefix="1" applyNumberFormat="1" applyFont="1" applyFill="1" applyBorder="1" applyAlignment="1">
      <alignment vertical="center"/>
    </xf>
    <xf numFmtId="0" fontId="47" fillId="5" borderId="15" xfId="0" applyFont="1" applyFill="1" applyBorder="1" applyAlignment="1">
      <alignment horizontal="center" vertical="center" wrapText="1"/>
    </xf>
    <xf numFmtId="0" fontId="47" fillId="8" borderId="7" xfId="0" applyFont="1" applyFill="1" applyBorder="1" applyAlignment="1">
      <alignment horizontal="center" vertical="center" wrapText="1"/>
    </xf>
    <xf numFmtId="0" fontId="2" fillId="34" borderId="19" xfId="0" applyFont="1" applyFill="1" applyBorder="1"/>
    <xf numFmtId="0" fontId="48" fillId="0" borderId="0" xfId="0" applyFont="1" applyAlignment="1">
      <alignment vertical="center"/>
    </xf>
    <xf numFmtId="0" fontId="47" fillId="0" borderId="0" xfId="0" applyFont="1"/>
    <xf numFmtId="0" fontId="43" fillId="0" borderId="0" xfId="0" applyFont="1" applyProtection="1">
      <protection locked="0"/>
    </xf>
    <xf numFmtId="0" fontId="45" fillId="0" borderId="0" xfId="0" applyFont="1" applyAlignment="1">
      <alignment vertical="center"/>
    </xf>
    <xf numFmtId="0" fontId="56" fillId="0" borderId="0" xfId="0" applyFont="1" applyAlignment="1">
      <alignment vertical="center"/>
    </xf>
    <xf numFmtId="0" fontId="62" fillId="0" borderId="0" xfId="0" applyFont="1" applyAlignment="1">
      <alignment horizontal="left" vertical="center" indent="3"/>
    </xf>
    <xf numFmtId="0" fontId="45" fillId="22" borderId="0" xfId="0" applyFont="1" applyFill="1"/>
    <xf numFmtId="0" fontId="48" fillId="22" borderId="0" xfId="0" applyFont="1" applyFill="1" applyAlignment="1">
      <alignment vertical="center" wrapText="1"/>
    </xf>
    <xf numFmtId="0" fontId="48" fillId="0" borderId="0" xfId="0" applyFont="1" applyAlignment="1">
      <alignment vertical="center" wrapText="1"/>
    </xf>
    <xf numFmtId="0" fontId="48" fillId="22" borderId="0" xfId="0" applyFont="1" applyFill="1" applyAlignment="1">
      <alignment horizontal="left" vertical="center"/>
    </xf>
    <xf numFmtId="0" fontId="48" fillId="22" borderId="0" xfId="0" quotePrefix="1" applyFont="1" applyFill="1" applyAlignment="1">
      <alignment horizontal="left" vertical="center"/>
    </xf>
    <xf numFmtId="0" fontId="46" fillId="0" borderId="0" xfId="0" applyFont="1" applyAlignment="1">
      <alignment horizontal="center" vertical="center"/>
    </xf>
    <xf numFmtId="0" fontId="45" fillId="5" borderId="4" xfId="0" applyFont="1" applyFill="1" applyBorder="1" applyAlignment="1">
      <alignment horizontal="center" vertical="center"/>
    </xf>
    <xf numFmtId="0" fontId="46" fillId="0" borderId="0" xfId="0" applyFont="1" applyAlignment="1">
      <alignment horizontal="center"/>
    </xf>
    <xf numFmtId="0" fontId="58" fillId="0" borderId="0" xfId="0" applyFont="1" applyAlignment="1">
      <alignment horizontal="center" vertical="center" wrapText="1"/>
    </xf>
    <xf numFmtId="0" fontId="47" fillId="7" borderId="7" xfId="0" applyFont="1" applyFill="1" applyBorder="1" applyAlignment="1" applyProtection="1">
      <alignment horizontal="center" vertical="center" wrapText="1"/>
      <protection locked="0"/>
    </xf>
    <xf numFmtId="165" fontId="52" fillId="4" borderId="9" xfId="2" applyNumberFormat="1" applyFont="1" applyFill="1" applyBorder="1" applyAlignment="1">
      <alignment vertical="center" wrapText="1"/>
    </xf>
    <xf numFmtId="165" fontId="52" fillId="4" borderId="0" xfId="2" applyNumberFormat="1" applyFont="1" applyFill="1" applyBorder="1" applyAlignment="1">
      <alignment vertical="center" wrapText="1"/>
    </xf>
    <xf numFmtId="0" fontId="47" fillId="8" borderId="7" xfId="7" applyNumberFormat="1" applyFont="1" applyFill="1" applyBorder="1" applyAlignment="1">
      <alignment horizontal="center" wrapText="1"/>
    </xf>
    <xf numFmtId="0" fontId="46" fillId="7" borderId="7" xfId="0" applyFont="1" applyFill="1" applyBorder="1" applyAlignment="1" applyProtection="1">
      <alignment wrapText="1"/>
      <protection locked="0"/>
    </xf>
    <xf numFmtId="165" fontId="52" fillId="4" borderId="4" xfId="2" applyNumberFormat="1" applyFont="1" applyFill="1" applyBorder="1" applyAlignment="1">
      <alignment vertical="center" wrapText="1"/>
    </xf>
    <xf numFmtId="165" fontId="52" fillId="4" borderId="6" xfId="2" applyNumberFormat="1" applyFont="1" applyFill="1" applyBorder="1" applyAlignment="1">
      <alignment vertical="center" wrapText="1"/>
    </xf>
    <xf numFmtId="165" fontId="48" fillId="4" borderId="7" xfId="2" applyNumberFormat="1" applyFont="1" applyFill="1" applyBorder="1" applyAlignment="1">
      <alignment horizontal="center" vertical="center" wrapText="1"/>
    </xf>
    <xf numFmtId="0" fontId="52" fillId="5" borderId="4" xfId="0" applyFont="1" applyFill="1" applyBorder="1" applyAlignment="1">
      <alignment horizontal="center" vertical="center"/>
    </xf>
    <xf numFmtId="0" fontId="52" fillId="13" borderId="0" xfId="0" applyFont="1" applyFill="1" applyAlignment="1">
      <alignment horizontal="center" vertical="center"/>
    </xf>
    <xf numFmtId="43" fontId="46" fillId="0" borderId="0" xfId="0" applyNumberFormat="1" applyFont="1" applyAlignment="1">
      <alignment vertical="center"/>
    </xf>
    <xf numFmtId="0" fontId="52" fillId="10" borderId="7" xfId="0" applyFont="1" applyFill="1" applyBorder="1" applyAlignment="1">
      <alignment vertical="center"/>
    </xf>
    <xf numFmtId="49" fontId="46" fillId="22" borderId="0" xfId="0" applyNumberFormat="1" applyFont="1" applyFill="1" applyAlignment="1">
      <alignment horizontal="left" vertical="top" indent="2"/>
    </xf>
    <xf numFmtId="0" fontId="46" fillId="22" borderId="0" xfId="0" applyFont="1" applyFill="1" applyAlignment="1">
      <alignment horizontal="left" vertical="top" indent="2"/>
    </xf>
    <xf numFmtId="0" fontId="48" fillId="22" borderId="0" xfId="0" applyFont="1" applyFill="1" applyAlignment="1">
      <alignment horizontal="left" vertical="top" indent="2"/>
    </xf>
    <xf numFmtId="0" fontId="48" fillId="22" borderId="0" xfId="0" quotePrefix="1" applyFont="1" applyFill="1" applyAlignment="1">
      <alignment horizontal="left" vertical="top" indent="2"/>
    </xf>
    <xf numFmtId="183" fontId="46" fillId="0" borderId="0" xfId="2" applyNumberFormat="1" applyFont="1" applyFill="1" applyBorder="1" applyAlignment="1">
      <alignment horizontal="center" vertical="center"/>
    </xf>
    <xf numFmtId="180" fontId="69" fillId="8" borderId="17" xfId="2" applyNumberFormat="1" applyFont="1" applyFill="1" applyBorder="1" applyAlignment="1">
      <alignment horizontal="center" vertical="center"/>
    </xf>
    <xf numFmtId="180" fontId="46" fillId="13" borderId="7" xfId="2" applyNumberFormat="1" applyFont="1" applyFill="1" applyBorder="1" applyAlignment="1" applyProtection="1">
      <alignment horizontal="center" vertical="center"/>
      <protection locked="0"/>
    </xf>
    <xf numFmtId="43" fontId="46" fillId="13" borderId="7" xfId="2" applyFont="1" applyFill="1" applyBorder="1" applyAlignment="1" applyProtection="1">
      <alignment horizontal="center" vertical="center"/>
      <protection locked="0"/>
    </xf>
    <xf numFmtId="43" fontId="69" fillId="8" borderId="7" xfId="2" applyFont="1" applyFill="1" applyBorder="1" applyAlignment="1">
      <alignment horizontal="center" vertical="center"/>
    </xf>
    <xf numFmtId="180" fontId="46" fillId="0" borderId="7" xfId="0" applyNumberFormat="1" applyFont="1" applyBorder="1"/>
    <xf numFmtId="180" fontId="47" fillId="8" borderId="7" xfId="2" applyNumberFormat="1" applyFont="1" applyFill="1" applyBorder="1" applyAlignment="1">
      <alignment horizontal="center" vertical="center"/>
    </xf>
    <xf numFmtId="180" fontId="46" fillId="0" borderId="0" xfId="0" applyNumberFormat="1" applyFont="1"/>
    <xf numFmtId="180" fontId="46" fillId="7" borderId="7" xfId="0" applyNumberFormat="1" applyFont="1" applyFill="1" applyBorder="1" applyAlignment="1" applyProtection="1">
      <alignment horizontal="center" vertical="center"/>
      <protection locked="0"/>
    </xf>
    <xf numFmtId="0" fontId="46" fillId="0" borderId="0" xfId="0" applyFont="1" applyAlignment="1">
      <alignment vertical="center" wrapText="1"/>
    </xf>
    <xf numFmtId="0" fontId="48" fillId="22" borderId="0" xfId="0" quotePrefix="1" applyFont="1" applyFill="1" applyAlignment="1">
      <alignment horizontal="left" vertical="top"/>
    </xf>
    <xf numFmtId="0" fontId="48" fillId="22" borderId="0" xfId="0" applyFont="1" applyFill="1" applyAlignment="1">
      <alignment horizontal="left" vertical="top"/>
    </xf>
    <xf numFmtId="0" fontId="45" fillId="0" borderId="0" xfId="0" applyFont="1" applyAlignment="1">
      <alignment horizontal="center" vertical="center" wrapText="1"/>
    </xf>
    <xf numFmtId="165" fontId="52" fillId="4" borderId="7" xfId="2" applyNumberFormat="1" applyFont="1" applyFill="1" applyBorder="1" applyAlignment="1">
      <alignment vertical="center"/>
    </xf>
    <xf numFmtId="0" fontId="52" fillId="0" borderId="0" xfId="0" applyFont="1" applyAlignment="1">
      <alignment horizontal="center"/>
    </xf>
    <xf numFmtId="0" fontId="52" fillId="10" borderId="70" xfId="0" applyFont="1" applyFill="1" applyBorder="1"/>
    <xf numFmtId="171" fontId="52" fillId="0" borderId="0" xfId="0" applyNumberFormat="1" applyFont="1"/>
    <xf numFmtId="0" fontId="52" fillId="0" borderId="9" xfId="0" applyFont="1" applyBorder="1" applyAlignment="1">
      <alignment horizontal="center" vertical="center"/>
    </xf>
    <xf numFmtId="0" fontId="56" fillId="0" borderId="0" xfId="0" applyFont="1" applyAlignment="1">
      <alignment horizontal="center" wrapText="1"/>
    </xf>
    <xf numFmtId="9" fontId="52" fillId="0" borderId="0" xfId="5" applyFont="1" applyFill="1" applyBorder="1"/>
    <xf numFmtId="0" fontId="56" fillId="0" borderId="0" xfId="0" applyFont="1" applyAlignment="1">
      <alignment vertical="center" wrapText="1"/>
    </xf>
    <xf numFmtId="0" fontId="52" fillId="0" borderId="0" xfId="0" applyFont="1" applyAlignment="1">
      <alignment horizontal="left"/>
    </xf>
    <xf numFmtId="0" fontId="45" fillId="0" borderId="0" xfId="0" applyFont="1" applyAlignment="1">
      <alignment horizontal="left"/>
    </xf>
    <xf numFmtId="0" fontId="46" fillId="0" borderId="0" xfId="0" applyFont="1" applyAlignment="1">
      <alignment wrapText="1"/>
    </xf>
    <xf numFmtId="0" fontId="52" fillId="0" borderId="0" xfId="0" applyFont="1" applyAlignment="1">
      <alignment wrapText="1"/>
    </xf>
    <xf numFmtId="0" fontId="52" fillId="10" borderId="69" xfId="0" applyFont="1" applyFill="1" applyBorder="1" applyAlignment="1">
      <alignment horizontal="center" vertical="center" wrapText="1"/>
    </xf>
    <xf numFmtId="0" fontId="52" fillId="10" borderId="4" xfId="0" applyFont="1" applyFill="1" applyBorder="1" applyAlignment="1">
      <alignment vertical="center"/>
    </xf>
    <xf numFmtId="0" fontId="45" fillId="5" borderId="17" xfId="0" applyFont="1" applyFill="1" applyBorder="1" applyAlignment="1">
      <alignment horizontal="center" vertical="center" wrapText="1"/>
    </xf>
    <xf numFmtId="0" fontId="45" fillId="5" borderId="17" xfId="0" applyFont="1" applyFill="1" applyBorder="1" applyAlignment="1">
      <alignment horizontal="center" vertical="center"/>
    </xf>
    <xf numFmtId="0" fontId="52" fillId="10" borderId="7" xfId="0" applyFont="1" applyFill="1" applyBorder="1" applyAlignment="1">
      <alignment horizontal="center" vertical="center"/>
    </xf>
    <xf numFmtId="0" fontId="52" fillId="0" borderId="0" xfId="0" applyFont="1" applyAlignment="1">
      <alignment horizontal="center" vertical="center"/>
    </xf>
    <xf numFmtId="0" fontId="52" fillId="10" borderId="7" xfId="0" applyFont="1" applyFill="1" applyBorder="1" applyAlignment="1">
      <alignment horizontal="center" vertical="center" wrapText="1"/>
    </xf>
    <xf numFmtId="0" fontId="46" fillId="0" borderId="7" xfId="0" applyFont="1" applyBorder="1" applyAlignment="1">
      <alignment horizontal="center" vertical="center"/>
    </xf>
    <xf numFmtId="0" fontId="45" fillId="0" borderId="0" xfId="0" applyFont="1" applyAlignment="1" applyProtection="1">
      <alignment vertical="center"/>
      <protection locked="0"/>
    </xf>
    <xf numFmtId="185" fontId="46" fillId="0" borderId="0" xfId="0" applyNumberFormat="1" applyFont="1"/>
    <xf numFmtId="184" fontId="46" fillId="0" borderId="0" xfId="0" applyNumberFormat="1" applyFont="1"/>
    <xf numFmtId="0" fontId="52" fillId="3" borderId="7"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5" borderId="7" xfId="0" applyFont="1" applyFill="1" applyBorder="1" applyAlignment="1">
      <alignment horizontal="center" vertical="center" wrapText="1"/>
    </xf>
    <xf numFmtId="0" fontId="76" fillId="0" borderId="0" xfId="0" applyFont="1" applyProtection="1">
      <protection locked="0"/>
    </xf>
    <xf numFmtId="165" fontId="47" fillId="8" borderId="7" xfId="2" applyNumberFormat="1" applyFont="1" applyFill="1" applyBorder="1" applyAlignment="1">
      <alignment horizontal="center" vertical="center" wrapText="1"/>
    </xf>
    <xf numFmtId="0" fontId="76" fillId="0" borderId="0" xfId="0" applyFont="1"/>
    <xf numFmtId="0" fontId="47" fillId="0" borderId="0" xfId="0" applyFont="1" applyAlignment="1">
      <alignment horizontal="center"/>
    </xf>
    <xf numFmtId="0" fontId="78" fillId="13" borderId="0" xfId="0" applyFont="1" applyFill="1"/>
    <xf numFmtId="0" fontId="46" fillId="22" borderId="0" xfId="0" applyFont="1" applyFill="1" applyAlignment="1">
      <alignment horizontal="left" vertical="center"/>
    </xf>
    <xf numFmtId="0" fontId="78" fillId="0" borderId="0" xfId="0" applyFont="1"/>
    <xf numFmtId="0" fontId="78" fillId="22" borderId="0" xfId="0" applyFont="1" applyFill="1"/>
    <xf numFmtId="0" fontId="78" fillId="22" borderId="0" xfId="0" applyFont="1" applyFill="1" applyAlignment="1">
      <alignment horizontal="left" vertical="center" wrapText="1"/>
    </xf>
    <xf numFmtId="0" fontId="80" fillId="22" borderId="0" xfId="0" applyFont="1" applyFill="1"/>
    <xf numFmtId="0" fontId="84" fillId="0" borderId="0" xfId="0" applyFont="1" applyProtection="1">
      <protection locked="0"/>
    </xf>
    <xf numFmtId="0" fontId="83" fillId="22" borderId="0" xfId="0" applyFont="1" applyFill="1" applyProtection="1">
      <protection locked="0"/>
    </xf>
    <xf numFmtId="0" fontId="85" fillId="8" borderId="0" xfId="0" applyFont="1" applyFill="1"/>
    <xf numFmtId="0" fontId="78" fillId="8" borderId="0" xfId="0" applyFont="1" applyFill="1"/>
    <xf numFmtId="0" fontId="86" fillId="8" borderId="0" xfId="0" applyFont="1" applyFill="1"/>
    <xf numFmtId="0" fontId="76" fillId="8" borderId="0" xfId="0" applyFont="1" applyFill="1"/>
    <xf numFmtId="0" fontId="87" fillId="8" borderId="0" xfId="0" applyFont="1" applyFill="1"/>
    <xf numFmtId="0" fontId="88" fillId="8" borderId="0" xfId="3" applyFont="1" applyFill="1" applyAlignment="1">
      <alignment vertical="center"/>
    </xf>
    <xf numFmtId="0" fontId="86" fillId="0" borderId="0" xfId="0" applyFont="1"/>
    <xf numFmtId="0" fontId="46" fillId="0" borderId="7" xfId="0" applyFont="1" applyBorder="1" applyAlignment="1">
      <alignment horizontal="center" vertical="center" wrapText="1"/>
    </xf>
    <xf numFmtId="0" fontId="48" fillId="0" borderId="7" xfId="0" applyFont="1" applyBorder="1" applyAlignment="1">
      <alignment horizontal="center" vertical="center" wrapText="1"/>
    </xf>
    <xf numFmtId="0" fontId="46" fillId="0" borderId="7" xfId="0" applyFont="1" applyBorder="1"/>
    <xf numFmtId="0" fontId="18" fillId="0" borderId="0" xfId="0" applyFont="1" applyAlignment="1">
      <alignment horizontal="center" vertical="center"/>
    </xf>
    <xf numFmtId="0" fontId="76" fillId="22" borderId="0" xfId="0" applyFont="1" applyFill="1" applyAlignment="1">
      <alignment vertical="center"/>
    </xf>
    <xf numFmtId="0" fontId="78" fillId="0" borderId="0" xfId="0" applyFont="1" applyAlignment="1">
      <alignment horizontal="center" vertical="center"/>
    </xf>
    <xf numFmtId="0" fontId="91" fillId="22" borderId="0" xfId="0" applyFont="1" applyFill="1"/>
    <xf numFmtId="0" fontId="91" fillId="0" borderId="0" xfId="0" applyFont="1"/>
    <xf numFmtId="0" fontId="35" fillId="4" borderId="57" xfId="0" applyFont="1" applyFill="1" applyBorder="1" applyAlignment="1">
      <alignment horizontal="center" vertical="center" wrapText="1"/>
    </xf>
    <xf numFmtId="0" fontId="89" fillId="0" borderId="7" xfId="0" quotePrefix="1" applyFont="1" applyBorder="1" applyAlignment="1">
      <alignment horizontal="left" vertical="center" wrapText="1"/>
    </xf>
    <xf numFmtId="0" fontId="86" fillId="13" borderId="7" xfId="0" applyFont="1" applyFill="1" applyBorder="1" applyAlignment="1">
      <alignment horizontal="left" vertical="center" wrapText="1"/>
    </xf>
    <xf numFmtId="0" fontId="76" fillId="0" borderId="7" xfId="0" applyFont="1" applyBorder="1" applyAlignment="1">
      <alignment horizontal="center" vertical="center" wrapText="1"/>
    </xf>
    <xf numFmtId="0" fontId="78" fillId="0" borderId="7" xfId="0" applyFont="1" applyBorder="1"/>
    <xf numFmtId="0" fontId="76" fillId="0" borderId="7" xfId="0" applyFont="1" applyBorder="1" applyAlignment="1">
      <alignment horizontal="left" vertical="center" wrapText="1"/>
    </xf>
    <xf numFmtId="0" fontId="89" fillId="7" borderId="7" xfId="0" applyFont="1" applyFill="1" applyBorder="1" applyAlignment="1" applyProtection="1">
      <alignment horizontal="center" vertical="center" wrapText="1"/>
      <protection locked="0"/>
    </xf>
    <xf numFmtId="0" fontId="78" fillId="0" borderId="7" xfId="0" applyFont="1" applyBorder="1" applyAlignment="1">
      <alignment horizontal="center" vertical="center" wrapText="1"/>
    </xf>
    <xf numFmtId="0" fontId="89" fillId="0" borderId="7" xfId="0" applyFont="1" applyBorder="1" applyAlignment="1">
      <alignment horizontal="center" vertical="center" wrapText="1"/>
    </xf>
    <xf numFmtId="0" fontId="93" fillId="0" borderId="7" xfId="0" applyFont="1" applyBorder="1" applyAlignment="1">
      <alignment horizontal="left" vertical="center" wrapText="1"/>
    </xf>
    <xf numFmtId="0" fontId="94" fillId="22" borderId="0" xfId="0" applyFont="1" applyFill="1" applyAlignment="1">
      <alignment vertical="center"/>
    </xf>
    <xf numFmtId="0" fontId="76" fillId="0" borderId="0" xfId="0" applyFont="1" applyAlignment="1">
      <alignment horizontal="left" vertical="center"/>
    </xf>
    <xf numFmtId="0" fontId="95" fillId="0" borderId="0" xfId="0" applyFont="1"/>
    <xf numFmtId="0" fontId="45" fillId="0" borderId="0" xfId="0" applyFont="1" applyAlignment="1">
      <alignment horizontal="left" vertical="center"/>
    </xf>
    <xf numFmtId="0" fontId="53" fillId="22" borderId="0" xfId="0" quotePrefix="1" applyFont="1" applyFill="1" applyAlignment="1">
      <alignment vertical="center" wrapText="1"/>
    </xf>
    <xf numFmtId="0" fontId="46" fillId="0" borderId="0" xfId="0" applyFont="1" applyAlignment="1">
      <alignment horizontal="left"/>
    </xf>
    <xf numFmtId="0" fontId="48" fillId="0" borderId="0" xfId="0" quotePrefix="1" applyFont="1" applyAlignment="1">
      <alignment horizontal="left" vertical="center"/>
    </xf>
    <xf numFmtId="0" fontId="48" fillId="0" borderId="0" xfId="0" applyFont="1" applyAlignment="1">
      <alignment horizontal="left" vertical="center"/>
    </xf>
    <xf numFmtId="0" fontId="53" fillId="0" borderId="0" xfId="0" quotePrefix="1" applyFont="1"/>
    <xf numFmtId="0" fontId="46" fillId="22" borderId="0" xfId="0" applyFont="1" applyFill="1" applyAlignment="1">
      <alignment horizontal="center" vertical="center"/>
    </xf>
    <xf numFmtId="0" fontId="76" fillId="22" borderId="0" xfId="0" applyFont="1" applyFill="1"/>
    <xf numFmtId="0" fontId="46" fillId="22" borderId="0" xfId="0" applyFont="1" applyFill="1" applyAlignment="1">
      <alignment vertical="center"/>
    </xf>
    <xf numFmtId="0" fontId="48" fillId="22" borderId="0" xfId="0" applyFont="1" applyFill="1" applyAlignment="1">
      <alignment vertical="center"/>
    </xf>
    <xf numFmtId="0" fontId="46" fillId="0" borderId="0" xfId="0" applyFont="1" applyAlignment="1">
      <alignment vertical="center"/>
    </xf>
    <xf numFmtId="0" fontId="48" fillId="0" borderId="0" xfId="0" quotePrefix="1" applyFont="1" applyAlignment="1">
      <alignment vertical="center" wrapText="1"/>
    </xf>
    <xf numFmtId="0" fontId="46" fillId="22" borderId="0" xfId="0" quotePrefix="1" applyFont="1" applyFill="1"/>
    <xf numFmtId="165" fontId="69" fillId="8" borderId="7" xfId="2" applyNumberFormat="1" applyFont="1" applyFill="1" applyBorder="1" applyAlignment="1">
      <alignment horizontal="center" vertical="center" wrapText="1"/>
    </xf>
    <xf numFmtId="165" fontId="69" fillId="8" borderId="17" xfId="2" applyNumberFormat="1" applyFont="1" applyFill="1" applyBorder="1" applyAlignment="1">
      <alignment horizontal="center" vertical="center" wrapText="1"/>
    </xf>
    <xf numFmtId="0" fontId="46" fillId="0" borderId="0" xfId="0" applyFont="1" applyAlignment="1">
      <alignment horizontal="center" vertical="center" wrapText="1"/>
    </xf>
    <xf numFmtId="165" fontId="46" fillId="7" borderId="7" xfId="2" applyNumberFormat="1" applyFont="1" applyFill="1" applyBorder="1" applyAlignment="1" applyProtection="1">
      <alignment horizontal="center" vertical="center" wrapText="1"/>
      <protection locked="0"/>
    </xf>
    <xf numFmtId="165" fontId="46" fillId="7" borderId="17" xfId="2" applyNumberFormat="1" applyFont="1" applyFill="1" applyBorder="1" applyAlignment="1" applyProtection="1">
      <alignment horizontal="center" vertical="center" wrapText="1"/>
      <protection locked="0"/>
    </xf>
    <xf numFmtId="0" fontId="46" fillId="0" borderId="0" xfId="0" quotePrefix="1" applyFont="1"/>
    <xf numFmtId="0" fontId="46" fillId="8" borderId="7" xfId="0" applyFont="1" applyFill="1" applyBorder="1" applyAlignment="1">
      <alignment wrapText="1"/>
    </xf>
    <xf numFmtId="165" fontId="47" fillId="0" borderId="9" xfId="2" applyNumberFormat="1" applyFont="1" applyFill="1" applyBorder="1" applyAlignment="1">
      <alignment horizontal="center" vertical="center" wrapText="1"/>
    </xf>
    <xf numFmtId="165" fontId="46" fillId="0" borderId="9" xfId="2" applyNumberFormat="1" applyFont="1" applyFill="1" applyBorder="1" applyAlignment="1">
      <alignment horizontal="center" vertical="center"/>
    </xf>
    <xf numFmtId="165" fontId="52" fillId="0" borderId="9" xfId="2" applyNumberFormat="1" applyFont="1" applyFill="1" applyBorder="1" applyAlignment="1">
      <alignment vertical="center"/>
    </xf>
    <xf numFmtId="0" fontId="48" fillId="0" borderId="0" xfId="4" applyFont="1" applyFill="1" applyAlignment="1">
      <alignment vertical="center"/>
    </xf>
    <xf numFmtId="0" fontId="45" fillId="2" borderId="0" xfId="0" applyFont="1" applyFill="1" applyAlignment="1">
      <alignment vertical="center"/>
    </xf>
    <xf numFmtId="0" fontId="48" fillId="2" borderId="0" xfId="0" applyFont="1" applyFill="1" applyAlignment="1">
      <alignment vertical="center"/>
    </xf>
    <xf numFmtId="0" fontId="48" fillId="2" borderId="0" xfId="0" quotePrefix="1" applyFont="1" applyFill="1" applyAlignment="1">
      <alignment vertical="center"/>
    </xf>
    <xf numFmtId="43" fontId="96" fillId="0" borderId="0" xfId="0" applyNumberFormat="1" applyFont="1"/>
    <xf numFmtId="41" fontId="46" fillId="7" borderId="17" xfId="2" applyNumberFormat="1" applyFont="1" applyFill="1" applyBorder="1" applyAlignment="1" applyProtection="1">
      <alignment horizontal="center" vertical="center" wrapText="1"/>
      <protection locked="0"/>
    </xf>
    <xf numFmtId="0" fontId="25" fillId="17" borderId="51" xfId="0" applyFont="1" applyFill="1" applyBorder="1" applyAlignment="1">
      <alignment horizontal="left" vertical="center" wrapText="1" readingOrder="1"/>
    </xf>
    <xf numFmtId="0" fontId="25" fillId="17" borderId="61" xfId="0" applyFont="1" applyFill="1" applyBorder="1" applyAlignment="1">
      <alignment horizontal="left" vertical="center" wrapText="1" readingOrder="1"/>
    </xf>
    <xf numFmtId="0" fontId="25" fillId="17" borderId="52" xfId="0" applyFont="1" applyFill="1" applyBorder="1" applyAlignment="1">
      <alignment horizontal="left" vertical="center" wrapText="1" readingOrder="1"/>
    </xf>
    <xf numFmtId="0" fontId="25" fillId="17" borderId="62" xfId="0" applyFont="1" applyFill="1" applyBorder="1" applyAlignment="1">
      <alignment horizontal="left" vertical="center" wrapText="1" readingOrder="1"/>
    </xf>
    <xf numFmtId="0" fontId="25" fillId="17" borderId="53" xfId="0" applyFont="1" applyFill="1" applyBorder="1" applyAlignment="1">
      <alignment horizontal="left" vertical="center" wrapText="1" readingOrder="1"/>
    </xf>
    <xf numFmtId="0" fontId="25" fillId="17" borderId="63" xfId="0" applyFont="1" applyFill="1" applyBorder="1" applyAlignment="1">
      <alignment horizontal="left" vertical="center" wrapText="1" readingOrder="1"/>
    </xf>
    <xf numFmtId="0" fontId="46" fillId="13" borderId="0" xfId="0" applyFont="1" applyFill="1" applyAlignment="1">
      <alignment horizontal="left" vertical="top"/>
    </xf>
    <xf numFmtId="0" fontId="48" fillId="22" borderId="0" xfId="0" quotePrefix="1" applyFont="1" applyFill="1" applyAlignment="1">
      <alignment vertical="center"/>
    </xf>
    <xf numFmtId="0" fontId="68" fillId="0" borderId="0" xfId="0" applyFont="1" applyAlignment="1">
      <alignment horizontal="center" vertical="center" wrapText="1"/>
    </xf>
    <xf numFmtId="0" fontId="69" fillId="8" borderId="7" xfId="0" applyFont="1" applyFill="1" applyBorder="1" applyAlignment="1">
      <alignment horizontal="center" vertical="center" wrapText="1"/>
    </xf>
    <xf numFmtId="2" fontId="69" fillId="8" borderId="7" xfId="0" applyNumberFormat="1" applyFont="1" applyFill="1" applyBorder="1" applyAlignment="1">
      <alignment horizontal="center" vertical="center" wrapText="1"/>
    </xf>
    <xf numFmtId="0" fontId="69" fillId="0" borderId="0" xfId="0" applyFont="1" applyAlignment="1">
      <alignment horizontal="center" vertical="center" wrapText="1"/>
    </xf>
    <xf numFmtId="0" fontId="46" fillId="7" borderId="7" xfId="0" applyFont="1" applyFill="1" applyBorder="1" applyAlignment="1" applyProtection="1">
      <alignment horizontal="center" vertical="center" wrapText="1"/>
      <protection locked="0"/>
    </xf>
    <xf numFmtId="0" fontId="48" fillId="7" borderId="7" xfId="0" applyFont="1" applyFill="1" applyBorder="1" applyAlignment="1" applyProtection="1">
      <alignment horizontal="center" vertical="center"/>
      <protection locked="0"/>
    </xf>
    <xf numFmtId="2" fontId="46" fillId="7" borderId="7" xfId="0" applyNumberFormat="1" applyFont="1" applyFill="1" applyBorder="1" applyAlignment="1" applyProtection="1">
      <alignment horizontal="center" vertical="center" wrapText="1"/>
      <protection locked="0"/>
    </xf>
    <xf numFmtId="2" fontId="46" fillId="0" borderId="7" xfId="0" applyNumberFormat="1" applyFont="1" applyBorder="1" applyAlignment="1">
      <alignment horizontal="center" vertical="center"/>
    </xf>
    <xf numFmtId="0" fontId="48" fillId="2" borderId="0" xfId="0" quotePrefix="1" applyFont="1" applyFill="1" applyAlignment="1">
      <alignment horizontal="left" vertical="center"/>
    </xf>
    <xf numFmtId="171" fontId="46" fillId="0" borderId="7" xfId="0" applyNumberFormat="1" applyFont="1" applyBorder="1" applyAlignment="1">
      <alignment horizontal="center" vertical="center"/>
    </xf>
    <xf numFmtId="0" fontId="46" fillId="7" borderId="15" xfId="0" applyFont="1" applyFill="1" applyBorder="1" applyAlignment="1" applyProtection="1">
      <alignment horizontal="center" vertical="center" wrapText="1"/>
      <protection locked="0"/>
    </xf>
    <xf numFmtId="0" fontId="46" fillId="7" borderId="15" xfId="0" applyFont="1" applyFill="1" applyBorder="1" applyAlignment="1" applyProtection="1">
      <alignment horizontal="center" vertical="center"/>
      <protection locked="0"/>
    </xf>
    <xf numFmtId="2" fontId="46" fillId="7" borderId="15" xfId="0" applyNumberFormat="1" applyFont="1" applyFill="1" applyBorder="1" applyAlignment="1" applyProtection="1">
      <alignment horizontal="center" vertical="center" wrapText="1"/>
      <protection locked="0"/>
    </xf>
    <xf numFmtId="0" fontId="53" fillId="2" borderId="0" xfId="0" quotePrefix="1" applyFont="1" applyFill="1" applyAlignment="1">
      <alignment horizontal="left" vertical="center"/>
    </xf>
    <xf numFmtId="171" fontId="44" fillId="0" borderId="0" xfId="0" applyNumberFormat="1" applyFont="1" applyAlignment="1">
      <alignment horizontal="right"/>
    </xf>
    <xf numFmtId="171" fontId="69" fillId="0" borderId="0" xfId="0" applyNumberFormat="1" applyFont="1" applyAlignment="1">
      <alignment horizontal="right"/>
    </xf>
    <xf numFmtId="0" fontId="52" fillId="13" borderId="0" xfId="0" applyFont="1" applyFill="1" applyAlignment="1">
      <alignment horizontal="left" vertical="center"/>
    </xf>
    <xf numFmtId="171" fontId="69" fillId="13" borderId="0" xfId="0" applyNumberFormat="1" applyFont="1" applyFill="1" applyAlignment="1">
      <alignment horizontal="right"/>
    </xf>
    <xf numFmtId="0" fontId="52" fillId="10" borderId="4" xfId="0" applyFont="1" applyFill="1" applyBorder="1" applyAlignment="1">
      <alignment horizontal="center" vertical="center" wrapText="1"/>
    </xf>
    <xf numFmtId="0" fontId="46" fillId="13" borderId="0" xfId="0" applyFont="1" applyFill="1" applyAlignment="1">
      <alignment wrapText="1"/>
    </xf>
    <xf numFmtId="0" fontId="48" fillId="2" borderId="7" xfId="0" applyFont="1" applyFill="1" applyBorder="1" applyAlignment="1">
      <alignment horizontal="center" vertical="center" wrapText="1"/>
    </xf>
    <xf numFmtId="0" fontId="54" fillId="0" borderId="0" xfId="0" applyFont="1" applyAlignment="1">
      <alignment horizontal="center" vertical="center"/>
    </xf>
    <xf numFmtId="0" fontId="48" fillId="0" borderId="6" xfId="0" applyFont="1" applyBorder="1" applyAlignment="1">
      <alignment horizontal="center" vertical="center" wrapText="1"/>
    </xf>
    <xf numFmtId="0" fontId="53" fillId="2" borderId="0" xfId="0" applyFont="1" applyFill="1"/>
    <xf numFmtId="0" fontId="48" fillId="2" borderId="7" xfId="0" applyFont="1" applyFill="1" applyBorder="1" applyAlignment="1">
      <alignment horizontal="left" vertical="center" indent="1"/>
    </xf>
    <xf numFmtId="0" fontId="48" fillId="2" borderId="7" xfId="0" applyFont="1" applyFill="1" applyBorder="1" applyAlignment="1">
      <alignment horizontal="right" vertical="center" indent="1"/>
    </xf>
    <xf numFmtId="0" fontId="48" fillId="2" borderId="0" xfId="0" applyFont="1" applyFill="1" applyAlignment="1">
      <alignment horizontal="right"/>
    </xf>
    <xf numFmtId="3" fontId="48" fillId="2" borderId="7" xfId="0" applyNumberFormat="1" applyFont="1" applyFill="1" applyBorder="1" applyAlignment="1">
      <alignment horizontal="right" vertical="center" indent="1"/>
    </xf>
    <xf numFmtId="0" fontId="76" fillId="2" borderId="0" xfId="0" applyFont="1" applyFill="1"/>
    <xf numFmtId="0" fontId="2" fillId="0" borderId="78" xfId="0" applyFont="1" applyBorder="1" applyAlignment="1">
      <alignment horizontal="justify" vertical="center" wrapText="1"/>
    </xf>
    <xf numFmtId="0" fontId="52" fillId="4" borderId="0" xfId="0" applyFont="1" applyFill="1"/>
    <xf numFmtId="0" fontId="62" fillId="0" borderId="7" xfId="0" applyFont="1" applyBorder="1" applyAlignment="1">
      <alignment horizontal="center"/>
    </xf>
    <xf numFmtId="0" fontId="48" fillId="0" borderId="78" xfId="0" applyFont="1" applyBorder="1"/>
    <xf numFmtId="0" fontId="46" fillId="0" borderId="78" xfId="0" applyFont="1" applyBorder="1"/>
    <xf numFmtId="0" fontId="52" fillId="4" borderId="17" xfId="0" applyFont="1" applyFill="1" applyBorder="1" applyAlignment="1">
      <alignment horizontal="center" vertical="center"/>
    </xf>
    <xf numFmtId="0" fontId="78" fillId="22" borderId="0" xfId="0" applyFont="1" applyFill="1" applyAlignment="1">
      <alignment vertical="top"/>
    </xf>
    <xf numFmtId="0" fontId="35" fillId="24" borderId="0" xfId="0" applyFont="1" applyFill="1" applyAlignment="1">
      <alignment vertical="center"/>
    </xf>
    <xf numFmtId="0" fontId="86" fillId="24" borderId="0" xfId="0" applyFont="1" applyFill="1" applyAlignment="1">
      <alignment vertical="center"/>
    </xf>
    <xf numFmtId="0" fontId="46" fillId="8" borderId="7" xfId="0" applyFont="1" applyFill="1" applyBorder="1" applyAlignment="1">
      <alignment horizontal="center" vertical="center" wrapText="1"/>
    </xf>
    <xf numFmtId="180" fontId="46" fillId="8" borderId="7" xfId="2" applyNumberFormat="1" applyFont="1" applyFill="1" applyBorder="1" applyAlignment="1">
      <alignment horizontal="center" vertical="center"/>
    </xf>
    <xf numFmtId="180" fontId="46" fillId="7" borderId="7" xfId="2" applyNumberFormat="1" applyFont="1" applyFill="1" applyBorder="1" applyAlignment="1" applyProtection="1">
      <alignment horizontal="center" vertical="center"/>
      <protection locked="0"/>
    </xf>
    <xf numFmtId="181" fontId="46" fillId="8" borderId="7" xfId="2" applyNumberFormat="1" applyFont="1" applyFill="1" applyBorder="1" applyAlignment="1">
      <alignment horizontal="center" vertical="center"/>
    </xf>
    <xf numFmtId="165" fontId="46" fillId="9" borderId="7" xfId="2" applyNumberFormat="1" applyFont="1" applyFill="1" applyBorder="1" applyAlignment="1">
      <alignment horizontal="center" vertical="center"/>
    </xf>
    <xf numFmtId="181" fontId="46" fillId="9" borderId="7" xfId="2" applyNumberFormat="1" applyFont="1" applyFill="1" applyBorder="1" applyAlignment="1">
      <alignment horizontal="center" vertical="center"/>
    </xf>
    <xf numFmtId="0" fontId="52" fillId="10" borderId="6" xfId="0" applyFont="1" applyFill="1" applyBorder="1" applyAlignment="1">
      <alignment vertical="center"/>
    </xf>
    <xf numFmtId="0" fontId="52" fillId="10" borderId="15" xfId="0" applyFont="1" applyFill="1" applyBorder="1" applyAlignment="1">
      <alignment horizontal="center" vertical="center" wrapText="1"/>
    </xf>
    <xf numFmtId="0" fontId="109" fillId="0" borderId="0" xfId="0" applyFont="1" applyAlignment="1">
      <alignment horizontal="center" vertical="center"/>
    </xf>
    <xf numFmtId="0" fontId="46" fillId="0" borderId="6" xfId="0" applyFont="1" applyBorder="1" applyAlignment="1">
      <alignment horizontal="center" vertical="center"/>
    </xf>
    <xf numFmtId="0" fontId="46" fillId="0" borderId="10" xfId="0" applyFont="1" applyBorder="1" applyAlignment="1">
      <alignment horizontal="center" vertical="center"/>
    </xf>
    <xf numFmtId="9" fontId="46" fillId="0" borderId="0" xfId="0" applyNumberFormat="1" applyFont="1" applyAlignment="1">
      <alignment horizontal="center" vertical="center"/>
    </xf>
    <xf numFmtId="9" fontId="46" fillId="0" borderId="0" xfId="0" applyNumberFormat="1" applyFont="1" applyAlignment="1">
      <alignment horizontal="center" vertical="center" wrapText="1"/>
    </xf>
    <xf numFmtId="0" fontId="46" fillId="0" borderId="10" xfId="0" applyFont="1" applyBorder="1"/>
    <xf numFmtId="168" fontId="46" fillId="0" borderId="7" xfId="0" applyNumberFormat="1" applyFont="1" applyBorder="1" applyAlignment="1">
      <alignment horizontal="center" vertical="center"/>
    </xf>
    <xf numFmtId="11" fontId="46" fillId="0" borderId="7" xfId="0" applyNumberFormat="1" applyFont="1" applyBorder="1" applyAlignment="1">
      <alignment horizontal="center" vertical="center"/>
    </xf>
    <xf numFmtId="11" fontId="70" fillId="0" borderId="7" xfId="0" applyNumberFormat="1" applyFont="1" applyBorder="1" applyAlignment="1">
      <alignment horizontal="center" vertical="center"/>
    </xf>
    <xf numFmtId="0" fontId="110" fillId="0" borderId="0" xfId="0" applyFont="1"/>
    <xf numFmtId="0" fontId="45" fillId="0" borderId="0" xfId="0" applyFont="1" applyAlignment="1">
      <alignment wrapText="1"/>
    </xf>
    <xf numFmtId="0" fontId="110" fillId="0" borderId="0" xfId="0" applyFont="1" applyAlignment="1">
      <alignment vertical="distributed"/>
    </xf>
    <xf numFmtId="0" fontId="48" fillId="0" borderId="10" xfId="0" applyFont="1" applyBorder="1" applyAlignment="1">
      <alignment horizontal="left" vertical="center" wrapText="1" indent="1"/>
    </xf>
    <xf numFmtId="0" fontId="48" fillId="0" borderId="0" xfId="0" applyFont="1" applyAlignment="1">
      <alignment horizontal="center" vertical="center" wrapText="1"/>
    </xf>
    <xf numFmtId="0" fontId="52" fillId="4" borderId="15" xfId="0" applyFont="1" applyFill="1" applyBorder="1" applyAlignment="1">
      <alignment vertical="center" wrapText="1"/>
    </xf>
    <xf numFmtId="0" fontId="52" fillId="4" borderId="15" xfId="0" applyFont="1" applyFill="1" applyBorder="1" applyAlignment="1">
      <alignment vertical="center"/>
    </xf>
    <xf numFmtId="0" fontId="52" fillId="4" borderId="14" xfId="0" applyFont="1" applyFill="1" applyBorder="1" applyAlignment="1">
      <alignment vertical="center"/>
    </xf>
    <xf numFmtId="0" fontId="52" fillId="4" borderId="18" xfId="0" applyFont="1" applyFill="1" applyBorder="1" applyAlignment="1">
      <alignment vertical="center"/>
    </xf>
    <xf numFmtId="0" fontId="52" fillId="4" borderId="16" xfId="0" applyFont="1" applyFill="1" applyBorder="1" applyAlignment="1">
      <alignment vertical="center"/>
    </xf>
    <xf numFmtId="0" fontId="52" fillId="4" borderId="19" xfId="0" applyFont="1" applyFill="1" applyBorder="1" applyAlignment="1">
      <alignment vertical="center" wrapText="1"/>
    </xf>
    <xf numFmtId="0" fontId="52" fillId="4" borderId="19" xfId="0" applyFont="1" applyFill="1" applyBorder="1" applyAlignment="1">
      <alignment vertical="center"/>
    </xf>
    <xf numFmtId="0" fontId="52" fillId="4" borderId="11" xfId="0" applyFont="1" applyFill="1" applyBorder="1" applyAlignment="1">
      <alignment vertical="center"/>
    </xf>
    <xf numFmtId="0" fontId="52" fillId="4" borderId="12" xfId="0" applyFont="1" applyFill="1" applyBorder="1" applyAlignment="1">
      <alignment vertical="center"/>
    </xf>
    <xf numFmtId="0" fontId="52" fillId="4" borderId="13" xfId="0" applyFont="1" applyFill="1" applyBorder="1" applyAlignment="1">
      <alignment vertical="center"/>
    </xf>
    <xf numFmtId="0" fontId="52" fillId="4" borderId="17" xfId="0" applyFont="1" applyFill="1" applyBorder="1" applyAlignment="1">
      <alignment vertical="center"/>
    </xf>
    <xf numFmtId="0" fontId="52" fillId="4" borderId="17" xfId="0" applyFont="1" applyFill="1" applyBorder="1" applyAlignment="1">
      <alignment vertical="center" wrapText="1"/>
    </xf>
    <xf numFmtId="173" fontId="48" fillId="0" borderId="7" xfId="0" applyNumberFormat="1" applyFont="1" applyBorder="1" applyAlignment="1">
      <alignment horizontal="center" vertical="center"/>
    </xf>
    <xf numFmtId="43" fontId="48" fillId="0" borderId="7" xfId="2" applyFont="1" applyFill="1" applyBorder="1" applyAlignment="1">
      <alignment horizontal="center" vertical="center"/>
    </xf>
    <xf numFmtId="2" fontId="46" fillId="0" borderId="7" xfId="2" applyNumberFormat="1" applyFont="1" applyBorder="1" applyAlignment="1">
      <alignment horizontal="center" vertical="center"/>
    </xf>
    <xf numFmtId="0" fontId="52" fillId="4" borderId="4" xfId="0" applyFont="1" applyFill="1" applyBorder="1" applyAlignment="1">
      <alignment vertical="center" wrapText="1"/>
    </xf>
    <xf numFmtId="0" fontId="52" fillId="4" borderId="5" xfId="0" applyFont="1" applyFill="1" applyBorder="1" applyAlignment="1">
      <alignment horizontal="left" vertical="top"/>
    </xf>
    <xf numFmtId="0" fontId="52" fillId="4" borderId="5" xfId="0" applyFont="1" applyFill="1" applyBorder="1" applyAlignment="1">
      <alignment vertical="center" wrapText="1"/>
    </xf>
    <xf numFmtId="171" fontId="46" fillId="4" borderId="7" xfId="0" applyNumberFormat="1" applyFont="1" applyFill="1" applyBorder="1" applyAlignment="1">
      <alignment horizontal="center" vertical="center"/>
    </xf>
    <xf numFmtId="2" fontId="48" fillId="5" borderId="7" xfId="2" applyNumberFormat="1" applyFont="1" applyFill="1" applyBorder="1" applyAlignment="1">
      <alignment horizontal="center" vertical="center"/>
    </xf>
    <xf numFmtId="0" fontId="46" fillId="19" borderId="7" xfId="0" applyFont="1" applyFill="1" applyBorder="1" applyAlignment="1">
      <alignment horizontal="center" vertical="center"/>
    </xf>
    <xf numFmtId="172" fontId="48" fillId="0" borderId="7" xfId="0" applyNumberFormat="1" applyFont="1" applyBorder="1" applyAlignment="1">
      <alignment horizontal="center" vertical="center"/>
    </xf>
    <xf numFmtId="0" fontId="52" fillId="4" borderId="5" xfId="0" applyFont="1" applyFill="1" applyBorder="1" applyAlignment="1">
      <alignment vertical="center"/>
    </xf>
    <xf numFmtId="0" fontId="52" fillId="4" borderId="6" xfId="0" applyFont="1" applyFill="1" applyBorder="1" applyAlignment="1">
      <alignment vertical="center" wrapText="1"/>
    </xf>
    <xf numFmtId="2" fontId="46" fillId="5" borderId="7" xfId="8" applyNumberFormat="1" applyFont="1" applyFill="1" applyBorder="1" applyAlignment="1">
      <alignment horizontal="center" vertical="center"/>
    </xf>
    <xf numFmtId="174" fontId="48" fillId="0" borderId="7" xfId="2" applyNumberFormat="1" applyFont="1" applyFill="1" applyBorder="1" applyAlignment="1">
      <alignment horizontal="center" vertical="center"/>
    </xf>
    <xf numFmtId="175" fontId="48" fillId="0" borderId="7" xfId="2" applyNumberFormat="1" applyFont="1" applyFill="1" applyBorder="1" applyAlignment="1">
      <alignment horizontal="center" vertical="center"/>
    </xf>
    <xf numFmtId="49" fontId="46" fillId="0" borderId="6" xfId="0" applyNumberFormat="1" applyFont="1" applyBorder="1" applyAlignment="1">
      <alignment horizontal="center" vertical="center"/>
    </xf>
    <xf numFmtId="0" fontId="86" fillId="10" borderId="0" xfId="0" applyFont="1" applyFill="1" applyAlignment="1">
      <alignment vertical="center"/>
    </xf>
    <xf numFmtId="180" fontId="69" fillId="8" borderId="7" xfId="0" applyNumberFormat="1" applyFont="1" applyFill="1" applyBorder="1" applyAlignment="1">
      <alignment horizontal="center" vertical="center" wrapText="1"/>
    </xf>
    <xf numFmtId="180" fontId="46" fillId="7" borderId="7" xfId="0" applyNumberFormat="1" applyFont="1" applyFill="1" applyBorder="1" applyAlignment="1" applyProtection="1">
      <alignment horizontal="center" vertical="center" wrapText="1"/>
      <protection locked="0"/>
    </xf>
    <xf numFmtId="180" fontId="46" fillId="7" borderId="7" xfId="0" applyNumberFormat="1" applyFont="1" applyFill="1" applyBorder="1" applyAlignment="1" applyProtection="1">
      <alignment horizontal="center" wrapText="1"/>
      <protection locked="0"/>
    </xf>
    <xf numFmtId="17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xf>
    <xf numFmtId="180" fontId="46" fillId="7" borderId="15" xfId="0" applyNumberFormat="1" applyFont="1" applyFill="1" applyBorder="1" applyAlignment="1" applyProtection="1">
      <alignment horizontal="center" vertical="center"/>
      <protection locked="0"/>
    </xf>
    <xf numFmtId="41" fontId="46" fillId="7" borderId="7" xfId="0" applyNumberFormat="1" applyFont="1" applyFill="1" applyBorder="1" applyAlignment="1" applyProtection="1">
      <alignment horizontal="center" vertical="center"/>
      <protection locked="0"/>
    </xf>
    <xf numFmtId="41" fontId="46" fillId="7" borderId="15" xfId="0" applyNumberFormat="1" applyFont="1" applyFill="1" applyBorder="1" applyAlignment="1" applyProtection="1">
      <alignment horizontal="center" vertical="center"/>
      <protection locked="0"/>
    </xf>
    <xf numFmtId="0" fontId="46" fillId="36" borderId="7" xfId="0" applyFont="1" applyFill="1" applyBorder="1" applyAlignment="1">
      <alignment horizontal="center" vertical="center"/>
    </xf>
    <xf numFmtId="181" fontId="46" fillId="36" borderId="15" xfId="0" applyNumberFormat="1" applyFont="1" applyFill="1" applyBorder="1" applyAlignment="1">
      <alignment horizontal="center" vertical="center"/>
    </xf>
    <xf numFmtId="181" fontId="52" fillId="4" borderId="5" xfId="2" applyNumberFormat="1" applyFont="1" applyFill="1" applyBorder="1" applyAlignment="1">
      <alignment vertical="center" wrapText="1"/>
    </xf>
    <xf numFmtId="0" fontId="69" fillId="8" borderId="7" xfId="0" applyFont="1" applyFill="1" applyBorder="1" applyAlignment="1">
      <alignment horizontal="center" vertical="center"/>
    </xf>
    <xf numFmtId="180" fontId="69" fillId="8" borderId="7" xfId="0" applyNumberFormat="1" applyFont="1" applyFill="1" applyBorder="1" applyAlignment="1">
      <alignment horizontal="center" vertical="center"/>
    </xf>
    <xf numFmtId="41" fontId="69" fillId="8" borderId="7" xfId="0" applyNumberFormat="1" applyFont="1" applyFill="1" applyBorder="1" applyAlignment="1">
      <alignment horizontal="center" vertical="center"/>
    </xf>
    <xf numFmtId="181" fontId="46" fillId="8" borderId="7" xfId="0" applyNumberFormat="1" applyFont="1" applyFill="1" applyBorder="1" applyAlignment="1">
      <alignment horizontal="center" vertical="center" wrapText="1"/>
    </xf>
    <xf numFmtId="181" fontId="52" fillId="4" borderId="6" xfId="2" applyNumberFormat="1" applyFont="1" applyFill="1" applyBorder="1" applyAlignment="1">
      <alignment vertical="center" wrapText="1"/>
    </xf>
    <xf numFmtId="0" fontId="46" fillId="36" borderId="7" xfId="0" applyFont="1" applyFill="1" applyBorder="1" applyAlignment="1">
      <alignment horizontal="center" vertical="center" wrapText="1"/>
    </xf>
    <xf numFmtId="165" fontId="46" fillId="28" borderId="7" xfId="2" applyNumberFormat="1" applyFont="1" applyFill="1" applyBorder="1" applyAlignment="1" applyProtection="1">
      <alignment horizontal="center" vertical="center" wrapText="1"/>
      <protection locked="0"/>
    </xf>
    <xf numFmtId="0" fontId="46" fillId="13" borderId="7" xfId="0" applyFont="1" applyFill="1" applyBorder="1" applyAlignment="1" applyProtection="1">
      <alignment horizontal="center" vertical="center"/>
      <protection locked="0"/>
    </xf>
    <xf numFmtId="180" fontId="47" fillId="8" borderId="7" xfId="2" applyNumberFormat="1" applyFont="1" applyFill="1" applyBorder="1" applyAlignment="1">
      <alignment horizontal="center" vertical="center" wrapText="1"/>
    </xf>
    <xf numFmtId="180" fontId="46" fillId="28" borderId="7" xfId="0" applyNumberFormat="1" applyFont="1" applyFill="1" applyBorder="1" applyAlignment="1" applyProtection="1">
      <alignment horizontal="center" vertical="center"/>
      <protection locked="0"/>
    </xf>
    <xf numFmtId="180" fontId="46" fillId="23" borderId="7" xfId="2" applyNumberFormat="1" applyFont="1" applyFill="1" applyBorder="1" applyAlignment="1" applyProtection="1">
      <alignment horizontal="center" vertical="center"/>
      <protection locked="0"/>
    </xf>
    <xf numFmtId="165" fontId="46" fillId="36" borderId="7" xfId="2" applyNumberFormat="1" applyFont="1" applyFill="1" applyBorder="1" applyAlignment="1">
      <alignment horizontal="center" vertical="center" wrapText="1"/>
    </xf>
    <xf numFmtId="181" fontId="46" fillId="23" borderId="7" xfId="2" applyNumberFormat="1" applyFont="1" applyFill="1" applyBorder="1" applyAlignment="1" applyProtection="1">
      <alignment horizontal="center" vertical="center"/>
      <protection locked="0"/>
    </xf>
    <xf numFmtId="181" fontId="69" fillId="8" borderId="7" xfId="2" applyNumberFormat="1" applyFont="1" applyFill="1" applyBorder="1" applyAlignment="1">
      <alignment horizontal="center" vertical="center"/>
    </xf>
    <xf numFmtId="181" fontId="35" fillId="10" borderId="0" xfId="0" applyNumberFormat="1" applyFont="1" applyFill="1" applyAlignment="1">
      <alignment vertical="center"/>
    </xf>
    <xf numFmtId="181" fontId="86" fillId="10" borderId="0" xfId="0" applyNumberFormat="1" applyFont="1" applyFill="1" applyAlignment="1">
      <alignment vertical="center"/>
    </xf>
    <xf numFmtId="165" fontId="46" fillId="36" borderId="7" xfId="2" applyNumberFormat="1" applyFont="1" applyFill="1" applyBorder="1" applyAlignment="1">
      <alignment horizontal="left" vertical="center" wrapText="1"/>
    </xf>
    <xf numFmtId="181"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wrapText="1"/>
      <protection locked="0"/>
    </xf>
    <xf numFmtId="181" fontId="70" fillId="0" borderId="0" xfId="0" applyNumberFormat="1" applyFont="1" applyAlignment="1">
      <alignment horizontal="left" vertical="center" wrapText="1"/>
    </xf>
    <xf numFmtId="165" fontId="69" fillId="8" borderId="7" xfId="2" applyNumberFormat="1" applyFont="1" applyFill="1" applyBorder="1" applyAlignment="1">
      <alignment horizontal="left" vertical="center" wrapText="1"/>
    </xf>
    <xf numFmtId="181" fontId="46" fillId="36" borderId="7" xfId="0" applyNumberFormat="1" applyFont="1" applyFill="1" applyBorder="1" applyAlignment="1">
      <alignment vertical="center"/>
    </xf>
    <xf numFmtId="180" fontId="69" fillId="8" borderId="7" xfId="2" applyNumberFormat="1" applyFont="1" applyFill="1" applyBorder="1" applyAlignment="1">
      <alignment vertical="center"/>
    </xf>
    <xf numFmtId="165" fontId="69" fillId="8" borderId="17" xfId="2" applyNumberFormat="1" applyFont="1" applyFill="1" applyBorder="1" applyAlignment="1">
      <alignment horizontal="left" vertical="center"/>
    </xf>
    <xf numFmtId="43" fontId="47" fillId="36" borderId="7" xfId="2" applyFont="1" applyFill="1" applyBorder="1"/>
    <xf numFmtId="0" fontId="44" fillId="8" borderId="7" xfId="0" applyFont="1" applyFill="1" applyBorder="1" applyAlignment="1">
      <alignment horizontal="center" vertical="center" wrapText="1"/>
    </xf>
    <xf numFmtId="1" fontId="44" fillId="8" borderId="7" xfId="0" applyNumberFormat="1" applyFont="1" applyFill="1" applyBorder="1" applyAlignment="1">
      <alignment horizontal="center" vertical="center" wrapText="1"/>
    </xf>
    <xf numFmtId="0" fontId="44" fillId="0" borderId="0" xfId="0" applyFont="1"/>
    <xf numFmtId="165" fontId="44" fillId="8" borderId="7" xfId="2" applyNumberFormat="1" applyFont="1" applyFill="1" applyBorder="1" applyAlignment="1">
      <alignment horizontal="center" vertical="center"/>
    </xf>
    <xf numFmtId="165" fontId="44" fillId="8" borderId="17" xfId="2" applyNumberFormat="1" applyFont="1" applyFill="1" applyBorder="1" applyAlignment="1">
      <alignment horizontal="center" vertical="center"/>
    </xf>
    <xf numFmtId="165" fontId="44" fillId="8" borderId="7" xfId="2" applyNumberFormat="1" applyFont="1" applyFill="1" applyBorder="1" applyAlignment="1">
      <alignment horizontal="center" vertical="center" wrapText="1"/>
    </xf>
    <xf numFmtId="165" fontId="44" fillId="8" borderId="17" xfId="2" applyNumberFormat="1" applyFont="1" applyFill="1" applyBorder="1" applyAlignment="1">
      <alignment horizontal="center" vertical="center" wrapText="1"/>
    </xf>
    <xf numFmtId="0" fontId="69" fillId="8" borderId="7" xfId="0" applyFont="1" applyFill="1" applyBorder="1" applyAlignment="1">
      <alignment vertical="top" wrapText="1"/>
    </xf>
    <xf numFmtId="41" fontId="44" fillId="8" borderId="17" xfId="2" applyNumberFormat="1" applyFont="1" applyFill="1" applyBorder="1" applyAlignment="1">
      <alignment horizontal="center" vertical="center" wrapText="1"/>
    </xf>
    <xf numFmtId="181" fontId="54" fillId="0" borderId="0" xfId="0" applyNumberFormat="1" applyFont="1"/>
    <xf numFmtId="0" fontId="45" fillId="21" borderId="7" xfId="0" applyFont="1" applyFill="1" applyBorder="1" applyAlignment="1">
      <alignment horizontal="center" vertical="center" wrapText="1"/>
    </xf>
    <xf numFmtId="0" fontId="45" fillId="21" borderId="15" xfId="0" applyFont="1" applyFill="1" applyBorder="1" applyAlignment="1">
      <alignment horizontal="center" vertical="center" wrapText="1"/>
    </xf>
    <xf numFmtId="0" fontId="52" fillId="31" borderId="12" xfId="0" applyFont="1" applyFill="1" applyBorder="1" applyAlignment="1">
      <alignment vertical="center"/>
    </xf>
    <xf numFmtId="0" fontId="52" fillId="31" borderId="7" xfId="0" applyFont="1" applyFill="1" applyBorder="1" applyAlignment="1">
      <alignment vertical="center" wrapText="1"/>
    </xf>
    <xf numFmtId="181" fontId="52" fillId="31" borderId="12" xfId="0" applyNumberFormat="1" applyFont="1" applyFill="1" applyBorder="1" applyAlignment="1">
      <alignment vertical="center"/>
    </xf>
    <xf numFmtId="181" fontId="52" fillId="31" borderId="13" xfId="0" applyNumberFormat="1" applyFont="1" applyFill="1" applyBorder="1" applyAlignment="1">
      <alignment vertical="center"/>
    </xf>
    <xf numFmtId="0" fontId="113" fillId="10" borderId="0" xfId="0" applyFont="1" applyFill="1" applyAlignment="1">
      <alignment vertical="center"/>
    </xf>
    <xf numFmtId="0" fontId="54" fillId="10" borderId="0" xfId="0" applyFont="1" applyFill="1" applyAlignment="1">
      <alignment vertical="center"/>
    </xf>
    <xf numFmtId="0" fontId="52" fillId="10" borderId="0" xfId="0" applyFont="1" applyFill="1" applyAlignment="1">
      <alignment horizontal="left" vertical="center"/>
    </xf>
    <xf numFmtId="43" fontId="54" fillId="10" borderId="0" xfId="2" applyFont="1" applyFill="1" applyAlignment="1">
      <alignment vertical="center"/>
    </xf>
    <xf numFmtId="0" fontId="52" fillId="4" borderId="69" xfId="0" applyFont="1" applyFill="1" applyBorder="1" applyAlignment="1">
      <alignment horizontal="center" vertical="center" wrapText="1"/>
    </xf>
    <xf numFmtId="0" fontId="52" fillId="5" borderId="69" xfId="0" applyFont="1" applyFill="1" applyBorder="1" applyAlignment="1">
      <alignment horizontal="center" vertical="center" wrapText="1"/>
    </xf>
    <xf numFmtId="0" fontId="52" fillId="3" borderId="69" xfId="0" applyFont="1" applyFill="1" applyBorder="1" applyAlignment="1">
      <alignment horizontal="center" vertical="center" wrapText="1"/>
    </xf>
    <xf numFmtId="0" fontId="45" fillId="5" borderId="7" xfId="0" applyFont="1" applyFill="1" applyBorder="1" applyAlignment="1">
      <alignment horizontal="center" vertical="center"/>
    </xf>
    <xf numFmtId="0" fontId="45" fillId="21" borderId="4" xfId="0" applyFont="1" applyFill="1" applyBorder="1" applyAlignment="1">
      <alignment horizontal="left" vertical="center" wrapText="1"/>
    </xf>
    <xf numFmtId="0" fontId="48" fillId="0" borderId="0" xfId="0" quotePrefix="1" applyFont="1" applyAlignment="1">
      <alignment horizontal="left" wrapText="1"/>
    </xf>
    <xf numFmtId="0" fontId="48" fillId="0" borderId="0" xfId="0" quotePrefix="1" applyFont="1" applyAlignment="1">
      <alignment horizontal="left" vertical="center" wrapText="1"/>
    </xf>
    <xf numFmtId="0" fontId="52" fillId="31" borderId="7" xfId="0" applyFont="1" applyFill="1" applyBorder="1" applyAlignment="1">
      <alignment horizontal="left" vertical="center" wrapText="1"/>
    </xf>
    <xf numFmtId="0" fontId="19" fillId="4" borderId="7" xfId="0" applyFont="1" applyFill="1" applyBorder="1" applyAlignment="1">
      <alignment horizontal="center" vertical="center"/>
    </xf>
    <xf numFmtId="0" fontId="80" fillId="22" borderId="0" xfId="0" applyFont="1" applyFill="1" applyAlignment="1">
      <alignment horizontal="left" vertical="center" wrapText="1"/>
    </xf>
    <xf numFmtId="0" fontId="52" fillId="0" borderId="0" xfId="0" applyFont="1" applyAlignment="1">
      <alignment horizontal="center" vertical="center" wrapText="1"/>
    </xf>
    <xf numFmtId="181" fontId="47" fillId="0" borderId="0" xfId="2" applyNumberFormat="1" applyFont="1" applyFill="1" applyBorder="1" applyAlignment="1">
      <alignment horizontal="center" vertical="center"/>
    </xf>
    <xf numFmtId="0" fontId="76" fillId="0" borderId="0" xfId="0" applyFont="1" applyAlignment="1">
      <alignment vertical="center"/>
    </xf>
    <xf numFmtId="0" fontId="86" fillId="0" borderId="0" xfId="0" applyFont="1" applyAlignment="1">
      <alignment vertical="center"/>
    </xf>
    <xf numFmtId="0" fontId="118" fillId="0" borderId="0" xfId="0" applyFont="1" applyAlignment="1">
      <alignment horizontal="center" vertical="center"/>
    </xf>
    <xf numFmtId="0" fontId="46" fillId="4" borderId="5" xfId="0" applyFont="1" applyFill="1" applyBorder="1" applyAlignment="1">
      <alignment horizontal="center"/>
    </xf>
    <xf numFmtId="0" fontId="52" fillId="4" borderId="15" xfId="0" applyFont="1" applyFill="1" applyBorder="1" applyAlignment="1">
      <alignment horizontal="center" vertical="center" wrapText="1"/>
    </xf>
    <xf numFmtId="0" fontId="46" fillId="0" borderId="0" xfId="0" applyFont="1" applyAlignment="1">
      <alignment vertical="top"/>
    </xf>
    <xf numFmtId="0" fontId="47" fillId="0" borderId="0" xfId="0" applyFont="1" applyAlignment="1">
      <alignment vertical="top"/>
    </xf>
    <xf numFmtId="0" fontId="46" fillId="23" borderId="7" xfId="0" applyFont="1" applyFill="1" applyBorder="1" applyAlignment="1" applyProtection="1">
      <alignment horizontal="left" vertical="center" wrapText="1"/>
      <protection locked="0"/>
    </xf>
    <xf numFmtId="0" fontId="46" fillId="23" borderId="7" xfId="0" applyFont="1" applyFill="1" applyBorder="1" applyProtection="1">
      <protection locked="0"/>
    </xf>
    <xf numFmtId="165" fontId="46" fillId="36" borderId="7" xfId="2" applyNumberFormat="1" applyFont="1" applyFill="1" applyBorder="1" applyAlignment="1" applyProtection="1">
      <alignment horizontal="center" vertical="center" wrapText="1"/>
    </xf>
    <xf numFmtId="180" fontId="46" fillId="23" borderId="7" xfId="0" applyNumberFormat="1" applyFont="1" applyFill="1" applyBorder="1" applyAlignment="1" applyProtection="1">
      <alignment vertical="center"/>
      <protection locked="0"/>
    </xf>
    <xf numFmtId="0" fontId="48" fillId="0" borderId="0" xfId="0" applyFont="1" applyAlignment="1">
      <alignment horizontal="left" vertical="center" indent="5"/>
    </xf>
    <xf numFmtId="180" fontId="44" fillId="0" borderId="0" xfId="0" applyNumberFormat="1" applyFont="1" applyAlignment="1">
      <alignment horizontal="center" vertical="center" wrapText="1"/>
    </xf>
    <xf numFmtId="180" fontId="46" fillId="0" borderId="0" xfId="0" applyNumberFormat="1" applyFont="1" applyAlignment="1">
      <alignment horizontal="center" vertical="center" wrapText="1"/>
    </xf>
    <xf numFmtId="180" fontId="48" fillId="0" borderId="0" xfId="2" applyNumberFormat="1" applyFont="1" applyFill="1" applyBorder="1" applyAlignment="1" applyProtection="1">
      <alignment vertical="center"/>
    </xf>
    <xf numFmtId="0" fontId="52" fillId="0" borderId="0" xfId="0" applyFont="1" applyAlignment="1">
      <alignment vertical="center"/>
    </xf>
    <xf numFmtId="0" fontId="46" fillId="23" borderId="7" xfId="0" applyFont="1" applyFill="1" applyBorder="1" applyAlignment="1" applyProtection="1">
      <alignment horizontal="center" vertical="center" wrapText="1"/>
      <protection locked="0"/>
    </xf>
    <xf numFmtId="0" fontId="46" fillId="23" borderId="6" xfId="0" applyFont="1" applyFill="1" applyBorder="1" applyAlignment="1" applyProtection="1">
      <alignment horizontal="center" vertical="center" wrapText="1"/>
      <protection locked="0"/>
    </xf>
    <xf numFmtId="1" fontId="46" fillId="23" borderId="7" xfId="0" applyNumberFormat="1" applyFont="1" applyFill="1" applyBorder="1" applyAlignment="1" applyProtection="1">
      <alignment horizontal="center" vertical="center" wrapText="1"/>
      <protection locked="0"/>
    </xf>
    <xf numFmtId="0" fontId="46" fillId="7" borderId="6" xfId="0" applyFont="1" applyFill="1" applyBorder="1" applyAlignment="1" applyProtection="1">
      <alignment horizontal="center" vertical="center" wrapText="1"/>
      <protection locked="0"/>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41" fontId="46" fillId="23" borderId="7" xfId="2" applyNumberFormat="1" applyFont="1" applyFill="1" applyBorder="1" applyAlignment="1" applyProtection="1">
      <alignment horizontal="center" vertical="center" wrapText="1"/>
      <protection locked="0"/>
    </xf>
    <xf numFmtId="0" fontId="46" fillId="23" borderId="7" xfId="0" applyFont="1" applyFill="1" applyBorder="1" applyAlignment="1" applyProtection="1">
      <alignment vertical="center" wrapText="1"/>
      <protection locked="0"/>
    </xf>
    <xf numFmtId="0" fontId="119" fillId="0" borderId="0" xfId="0" applyFont="1" applyAlignment="1">
      <alignment horizontal="left" vertical="center" wrapText="1"/>
    </xf>
    <xf numFmtId="0" fontId="116" fillId="10" borderId="4" xfId="0" applyFont="1" applyFill="1" applyBorder="1" applyAlignment="1">
      <alignment vertical="center"/>
    </xf>
    <xf numFmtId="0" fontId="108" fillId="10" borderId="5" xfId="0" applyFont="1" applyFill="1" applyBorder="1" applyAlignment="1">
      <alignment vertical="center"/>
    </xf>
    <xf numFmtId="0" fontId="108" fillId="10" borderId="5" xfId="0" applyFont="1" applyFill="1" applyBorder="1" applyAlignment="1">
      <alignment horizontal="center" vertical="center"/>
    </xf>
    <xf numFmtId="0" fontId="117" fillId="10" borderId="5" xfId="0" applyFont="1" applyFill="1" applyBorder="1" applyAlignment="1">
      <alignment vertical="center"/>
    </xf>
    <xf numFmtId="0" fontId="117" fillId="10" borderId="6" xfId="0" applyFont="1" applyFill="1" applyBorder="1" applyAlignment="1">
      <alignment vertical="center"/>
    </xf>
    <xf numFmtId="0" fontId="117" fillId="10" borderId="0" xfId="0" applyFont="1" applyFill="1" applyAlignment="1">
      <alignment vertical="center"/>
    </xf>
    <xf numFmtId="0" fontId="52" fillId="4" borderId="7" xfId="0" applyFont="1" applyFill="1" applyBorder="1" applyAlignment="1">
      <alignment horizontal="center"/>
    </xf>
    <xf numFmtId="0" fontId="46" fillId="0" borderId="7" xfId="0" applyFont="1" applyBorder="1" applyAlignment="1">
      <alignment horizontal="center"/>
    </xf>
    <xf numFmtId="0" fontId="98" fillId="0" borderId="0" xfId="0" applyFont="1" applyAlignment="1">
      <alignment vertical="center"/>
    </xf>
    <xf numFmtId="0" fontId="108" fillId="0" borderId="0" xfId="0" applyFont="1" applyAlignment="1">
      <alignment vertical="center"/>
    </xf>
    <xf numFmtId="0" fontId="99" fillId="0" borderId="0" xfId="0" applyFont="1" applyAlignment="1">
      <alignment horizontal="center" vertical="center"/>
    </xf>
    <xf numFmtId="0" fontId="100" fillId="0" borderId="0" xfId="0" applyFont="1" applyAlignment="1">
      <alignment vertical="center"/>
    </xf>
    <xf numFmtId="0" fontId="100" fillId="0" borderId="0" xfId="0" applyFont="1"/>
    <xf numFmtId="0" fontId="52" fillId="4" borderId="0" xfId="0" applyFont="1" applyFill="1" applyAlignment="1">
      <alignment vertical="center"/>
    </xf>
    <xf numFmtId="0" fontId="45" fillId="4" borderId="0" xfId="0" applyFont="1" applyFill="1" applyAlignment="1">
      <alignment vertical="center"/>
    </xf>
    <xf numFmtId="0" fontId="45" fillId="3" borderId="0" xfId="0" applyFont="1" applyFill="1" applyAlignment="1">
      <alignment horizontal="center" vertical="center"/>
    </xf>
    <xf numFmtId="0" fontId="48" fillId="0" borderId="7" xfId="0" applyFont="1" applyBorder="1" applyAlignment="1">
      <alignment horizontal="left" vertical="center"/>
    </xf>
    <xf numFmtId="0" fontId="48" fillId="0" borderId="7" xfId="0" applyFont="1" applyBorder="1" applyAlignment="1">
      <alignment horizontal="left" vertical="center" wrapText="1"/>
    </xf>
    <xf numFmtId="0" fontId="99" fillId="0" borderId="0" xfId="0" applyFont="1" applyAlignment="1">
      <alignment vertical="center"/>
    </xf>
    <xf numFmtId="0" fontId="72" fillId="0" borderId="0" xfId="0" applyFont="1" applyAlignment="1">
      <alignment vertical="center"/>
    </xf>
    <xf numFmtId="0" fontId="101" fillId="0" borderId="0" xfId="0" applyFont="1" applyAlignment="1">
      <alignment horizontal="center" vertical="center"/>
    </xf>
    <xf numFmtId="49" fontId="46" fillId="0" borderId="7" xfId="0" applyNumberFormat="1" applyFont="1" applyBorder="1" applyAlignment="1">
      <alignment horizontal="center" vertical="center"/>
    </xf>
    <xf numFmtId="0" fontId="48" fillId="0" borderId="7" xfId="0" applyFont="1" applyBorder="1" applyAlignment="1">
      <alignment horizontal="center" vertical="center"/>
    </xf>
    <xf numFmtId="181" fontId="48" fillId="0" borderId="7" xfId="0" applyNumberFormat="1" applyFont="1" applyBorder="1" applyAlignment="1">
      <alignment horizontal="center" vertical="center"/>
    </xf>
    <xf numFmtId="181" fontId="48" fillId="0" borderId="7" xfId="0" applyNumberFormat="1" applyFont="1" applyBorder="1" applyAlignment="1">
      <alignment horizontal="center" vertical="center" wrapText="1"/>
    </xf>
    <xf numFmtId="181" fontId="48" fillId="0" borderId="4" xfId="0" applyNumberFormat="1" applyFont="1" applyBorder="1" applyAlignment="1">
      <alignment horizontal="center" vertical="center" wrapText="1"/>
    </xf>
    <xf numFmtId="49" fontId="114" fillId="0" borderId="7" xfId="0" applyNumberFormat="1" applyFont="1" applyBorder="1" applyAlignment="1">
      <alignment horizontal="center" vertical="center" wrapText="1"/>
    </xf>
    <xf numFmtId="0" fontId="98" fillId="0" borderId="0" xfId="0" applyFont="1" applyAlignment="1">
      <alignment horizontal="center" vertical="center"/>
    </xf>
    <xf numFmtId="0" fontId="53" fillId="0" borderId="7" xfId="0" applyFont="1" applyBorder="1" applyAlignment="1">
      <alignment horizontal="center" vertical="center"/>
    </xf>
    <xf numFmtId="0" fontId="48" fillId="0" borderId="7" xfId="0" quotePrefix="1" applyFont="1" applyBorder="1" applyAlignment="1">
      <alignment horizontal="center" vertical="center" wrapText="1"/>
    </xf>
    <xf numFmtId="0" fontId="48" fillId="0" borderId="0" xfId="0" applyFont="1" applyAlignment="1">
      <alignment horizontal="center" vertical="center"/>
    </xf>
    <xf numFmtId="0" fontId="53" fillId="0" borderId="0" xfId="0" applyFont="1" applyAlignment="1">
      <alignment horizontal="center" vertical="center"/>
    </xf>
    <xf numFmtId="0" fontId="43" fillId="0" borderId="0" xfId="0" applyFont="1" applyAlignment="1">
      <alignment horizontal="center" vertical="center"/>
    </xf>
    <xf numFmtId="0" fontId="53" fillId="0" borderId="7" xfId="0" applyFont="1" applyBorder="1" applyAlignment="1">
      <alignment horizontal="center" vertical="center" wrapText="1"/>
    </xf>
    <xf numFmtId="0" fontId="100" fillId="0" borderId="0" xfId="0" applyFont="1" applyAlignment="1">
      <alignment horizontal="center"/>
    </xf>
    <xf numFmtId="0" fontId="75" fillId="10" borderId="4" xfId="0" applyFont="1" applyFill="1" applyBorder="1" applyAlignment="1">
      <alignment vertical="center"/>
    </xf>
    <xf numFmtId="0" fontId="76" fillId="10" borderId="5" xfId="0" applyFont="1" applyFill="1" applyBorder="1" applyAlignment="1">
      <alignment horizontal="center" vertical="center"/>
    </xf>
    <xf numFmtId="0" fontId="89" fillId="10" borderId="5" xfId="0" applyFont="1" applyFill="1" applyBorder="1" applyAlignment="1">
      <alignment vertical="center"/>
    </xf>
    <xf numFmtId="0" fontId="78" fillId="10" borderId="5" xfId="0" applyFont="1" applyFill="1" applyBorder="1" applyAlignment="1">
      <alignment vertical="center"/>
    </xf>
    <xf numFmtId="0" fontId="78" fillId="10" borderId="6" xfId="0" applyFont="1" applyFill="1" applyBorder="1" applyAlignment="1">
      <alignment vertical="center"/>
    </xf>
    <xf numFmtId="0" fontId="78" fillId="10" borderId="0" xfId="0" applyFont="1" applyFill="1" applyAlignment="1">
      <alignment vertical="center"/>
    </xf>
    <xf numFmtId="0" fontId="43" fillId="13" borderId="0" xfId="0" applyFont="1" applyFill="1" applyAlignment="1">
      <alignment vertical="center"/>
    </xf>
    <xf numFmtId="0" fontId="45" fillId="13" borderId="0" xfId="0" applyFont="1" applyFill="1" applyAlignment="1">
      <alignment horizontal="center" vertical="center"/>
    </xf>
    <xf numFmtId="0" fontId="48" fillId="13" borderId="0" xfId="0" applyFont="1" applyFill="1" applyAlignment="1">
      <alignment vertical="center"/>
    </xf>
    <xf numFmtId="0" fontId="43" fillId="13" borderId="0" xfId="0" applyFont="1" applyFill="1"/>
    <xf numFmtId="0" fontId="115" fillId="13" borderId="0" xfId="0" applyFont="1" applyFill="1" applyAlignment="1">
      <alignment horizontal="left"/>
    </xf>
    <xf numFmtId="3" fontId="48" fillId="13" borderId="0" xfId="0" applyNumberFormat="1" applyFont="1" applyFill="1"/>
    <xf numFmtId="0" fontId="45" fillId="13" borderId="0" xfId="0" applyFont="1" applyFill="1" applyAlignment="1">
      <alignment horizontal="right"/>
    </xf>
    <xf numFmtId="0" fontId="45" fillId="13" borderId="0" xfId="0" applyFont="1" applyFill="1" applyAlignment="1">
      <alignment horizontal="center"/>
    </xf>
    <xf numFmtId="0" fontId="48" fillId="0" borderId="42" xfId="0" applyFont="1" applyBorder="1"/>
    <xf numFmtId="0" fontId="45" fillId="2" borderId="0" xfId="0" applyFont="1" applyFill="1" applyAlignment="1">
      <alignment horizontal="left"/>
    </xf>
    <xf numFmtId="0" fontId="102" fillId="2" borderId="37" xfId="0" applyFont="1" applyFill="1" applyBorder="1" applyAlignment="1">
      <alignment vertical="center"/>
    </xf>
    <xf numFmtId="0" fontId="102" fillId="0" borderId="37" xfId="0" applyFont="1" applyBorder="1" applyAlignment="1">
      <alignment vertical="center"/>
    </xf>
    <xf numFmtId="0" fontId="48" fillId="0" borderId="37" xfId="0" applyFont="1" applyBorder="1"/>
    <xf numFmtId="0" fontId="48" fillId="0" borderId="39" xfId="0" applyFont="1" applyBorder="1"/>
    <xf numFmtId="0" fontId="99" fillId="4" borderId="15" xfId="0" applyFont="1" applyFill="1" applyBorder="1" applyAlignment="1">
      <alignment horizontal="center" vertical="center"/>
    </xf>
    <xf numFmtId="0" fontId="99" fillId="4" borderId="15" xfId="0" applyFont="1" applyFill="1" applyBorder="1" applyAlignment="1">
      <alignment horizontal="center" vertical="center" wrapText="1"/>
    </xf>
    <xf numFmtId="0" fontId="48" fillId="0" borderId="38" xfId="0" applyFont="1" applyBorder="1"/>
    <xf numFmtId="0" fontId="99" fillId="4" borderId="7" xfId="0" applyFont="1" applyFill="1" applyBorder="1" applyAlignment="1">
      <alignment horizontal="center" vertical="center" wrapText="1"/>
    </xf>
    <xf numFmtId="0" fontId="48" fillId="13" borderId="37" xfId="0" applyFont="1" applyFill="1" applyBorder="1"/>
    <xf numFmtId="0" fontId="48" fillId="13" borderId="6" xfId="0" applyFont="1" applyFill="1" applyBorder="1" applyAlignment="1">
      <alignment horizontal="center" vertical="center" wrapText="1"/>
    </xf>
    <xf numFmtId="0" fontId="48" fillId="13" borderId="7" xfId="0" applyFont="1" applyFill="1" applyBorder="1" applyAlignment="1">
      <alignment horizontal="center" vertical="center" wrapText="1"/>
    </xf>
    <xf numFmtId="0" fontId="48" fillId="13" borderId="7" xfId="0" applyFont="1" applyFill="1" applyBorder="1" applyAlignment="1">
      <alignment horizontal="center" vertical="center"/>
    </xf>
    <xf numFmtId="0" fontId="48" fillId="0" borderId="43" xfId="0" applyFont="1" applyBorder="1"/>
    <xf numFmtId="0" fontId="103" fillId="2" borderId="0" xfId="0" applyFont="1" applyFill="1" applyAlignment="1">
      <alignment horizontal="center" vertical="center"/>
    </xf>
    <xf numFmtId="0" fontId="48" fillId="2" borderId="0" xfId="0" applyFont="1" applyFill="1" applyAlignment="1">
      <alignment horizontal="left" vertical="center" wrapText="1"/>
    </xf>
    <xf numFmtId="3" fontId="48" fillId="0" borderId="0" xfId="0" applyNumberFormat="1" applyFont="1" applyAlignment="1">
      <alignment horizontal="center" vertical="center" wrapText="1"/>
    </xf>
    <xf numFmtId="169" fontId="48" fillId="0" borderId="0" xfId="0" applyNumberFormat="1" applyFont="1" applyAlignment="1">
      <alignment horizontal="center" vertical="center" wrapText="1"/>
    </xf>
    <xf numFmtId="0" fontId="54" fillId="0" borderId="42" xfId="0" applyFont="1" applyBorder="1"/>
    <xf numFmtId="0" fontId="45" fillId="13" borderId="0" xfId="0" applyFont="1" applyFill="1" applyAlignment="1">
      <alignment horizontal="left"/>
    </xf>
    <xf numFmtId="11" fontId="48" fillId="0" borderId="7" xfId="0" applyNumberFormat="1" applyFont="1" applyBorder="1" applyAlignment="1">
      <alignment horizontal="center" vertical="center" wrapText="1"/>
    </xf>
    <xf numFmtId="11" fontId="48" fillId="0" borderId="6" xfId="0" applyNumberFormat="1" applyFont="1" applyBorder="1" applyAlignment="1">
      <alignment horizontal="center" vertical="center" wrapText="1"/>
    </xf>
    <xf numFmtId="0" fontId="48" fillId="2" borderId="36" xfId="0" applyFont="1" applyFill="1" applyBorder="1" applyAlignment="1">
      <alignment horizontal="center" vertical="center" wrapText="1"/>
    </xf>
    <xf numFmtId="0" fontId="48" fillId="2" borderId="0" xfId="0" applyFont="1" applyFill="1" applyAlignment="1">
      <alignment vertical="center" wrapText="1"/>
    </xf>
    <xf numFmtId="0" fontId="48" fillId="2" borderId="0" xfId="0" applyFont="1" applyFill="1" applyAlignment="1">
      <alignment horizontal="center" vertical="center" wrapText="1"/>
    </xf>
    <xf numFmtId="11" fontId="45" fillId="0" borderId="7" xfId="0" applyNumberFormat="1" applyFont="1" applyBorder="1" applyAlignment="1">
      <alignment horizontal="center" vertical="center" wrapText="1"/>
    </xf>
    <xf numFmtId="0" fontId="45" fillId="13" borderId="7" xfId="0" applyFont="1" applyFill="1" applyBorder="1" applyAlignment="1">
      <alignment horizontal="center" vertical="center" wrapText="1"/>
    </xf>
    <xf numFmtId="0" fontId="115" fillId="13" borderId="0" xfId="0" applyFont="1" applyFill="1"/>
    <xf numFmtId="0" fontId="45" fillId="13" borderId="0" xfId="0" applyFont="1" applyFill="1"/>
    <xf numFmtId="0" fontId="45" fillId="2" borderId="0" xfId="0" applyFont="1" applyFill="1"/>
    <xf numFmtId="0" fontId="48" fillId="0" borderId="0" xfId="0" applyFont="1" applyAlignment="1">
      <alignment horizontal="center"/>
    </xf>
    <xf numFmtId="0" fontId="52" fillId="29" borderId="14" xfId="0" applyFont="1" applyFill="1" applyBorder="1" applyAlignment="1">
      <alignment horizontal="left" vertical="center" wrapText="1" readingOrder="1"/>
    </xf>
    <xf numFmtId="0" fontId="52" fillId="29" borderId="15" xfId="0" applyFont="1" applyFill="1" applyBorder="1" applyAlignment="1">
      <alignment horizontal="left" vertical="center" wrapText="1" readingOrder="1"/>
    </xf>
    <xf numFmtId="0" fontId="52" fillId="29" borderId="9" xfId="0" applyFont="1" applyFill="1" applyBorder="1" applyAlignment="1">
      <alignment horizontal="left" vertical="center" wrapText="1" readingOrder="1"/>
    </xf>
    <xf numFmtId="0" fontId="52" fillId="29" borderId="19" xfId="0" applyFont="1" applyFill="1" applyBorder="1" applyAlignment="1">
      <alignment horizontal="left" vertical="center" wrapText="1" readingOrder="1"/>
    </xf>
    <xf numFmtId="0" fontId="52" fillId="29" borderId="16" xfId="0" applyFont="1" applyFill="1" applyBorder="1" applyAlignment="1">
      <alignment horizontal="center" wrapText="1" readingOrder="1"/>
    </xf>
    <xf numFmtId="0" fontId="52" fillId="29" borderId="15" xfId="0" applyFont="1" applyFill="1" applyBorder="1" applyAlignment="1">
      <alignment horizontal="center" wrapText="1" readingOrder="1"/>
    </xf>
    <xf numFmtId="0" fontId="52" fillId="29" borderId="11" xfId="0" applyFont="1" applyFill="1" applyBorder="1" applyAlignment="1">
      <alignment vertical="center" wrapText="1"/>
    </xf>
    <xf numFmtId="0" fontId="52" fillId="29" borderId="17" xfId="0" applyFont="1" applyFill="1" applyBorder="1" applyAlignment="1">
      <alignment vertical="center" wrapText="1"/>
    </xf>
    <xf numFmtId="0" fontId="52" fillId="29" borderId="13" xfId="0" applyFont="1" applyFill="1" applyBorder="1" applyAlignment="1">
      <alignment horizontal="center" wrapText="1" readingOrder="1"/>
    </xf>
    <xf numFmtId="0" fontId="52" fillId="29" borderId="17" xfId="0" applyFont="1" applyFill="1" applyBorder="1" applyAlignment="1">
      <alignment horizontal="center" wrapText="1" readingOrder="1"/>
    </xf>
    <xf numFmtId="0" fontId="52" fillId="29" borderId="17" xfId="0" applyFont="1" applyFill="1" applyBorder="1" applyAlignment="1">
      <alignment horizontal="center" vertical="center" wrapText="1"/>
    </xf>
    <xf numFmtId="0" fontId="52" fillId="29" borderId="17" xfId="0" applyFont="1" applyFill="1" applyBorder="1" applyAlignment="1">
      <alignment horizontal="center"/>
    </xf>
    <xf numFmtId="0" fontId="54" fillId="4" borderId="11" xfId="0" applyFont="1" applyFill="1" applyBorder="1" applyAlignment="1">
      <alignment horizontal="left" vertical="center" indent="1"/>
    </xf>
    <xf numFmtId="9" fontId="104" fillId="0" borderId="7" xfId="0" applyNumberFormat="1" applyFont="1" applyBorder="1" applyAlignment="1">
      <alignment horizontal="left" vertical="center" wrapText="1" readingOrder="1"/>
    </xf>
    <xf numFmtId="10" fontId="104" fillId="0" borderId="7" xfId="0" applyNumberFormat="1" applyFont="1" applyBorder="1" applyAlignment="1">
      <alignment horizontal="center" wrapText="1" readingOrder="1"/>
    </xf>
    <xf numFmtId="9" fontId="104" fillId="0" borderId="7" xfId="0" applyNumberFormat="1" applyFont="1" applyBorder="1" applyAlignment="1">
      <alignment horizontal="center" wrapText="1" readingOrder="1"/>
    </xf>
    <xf numFmtId="9" fontId="46" fillId="0" borderId="7" xfId="5" applyFont="1" applyFill="1" applyBorder="1" applyProtection="1"/>
    <xf numFmtId="171" fontId="46" fillId="0" borderId="7" xfId="0" applyNumberFormat="1" applyFont="1" applyBorder="1"/>
    <xf numFmtId="0" fontId="54" fillId="4" borderId="4" xfId="0" applyFont="1" applyFill="1" applyBorder="1" applyAlignment="1">
      <alignment horizontal="left" vertical="center" indent="1"/>
    </xf>
    <xf numFmtId="0" fontId="54" fillId="4" borderId="4" xfId="0" applyFont="1" applyFill="1" applyBorder="1" applyAlignment="1">
      <alignment horizontal="left" vertical="center" wrapText="1" indent="1"/>
    </xf>
    <xf numFmtId="10" fontId="104" fillId="0" borderId="7" xfId="0" applyNumberFormat="1" applyFont="1" applyBorder="1" applyAlignment="1">
      <alignment horizontal="left" vertical="center" wrapText="1" readingOrder="1"/>
    </xf>
    <xf numFmtId="0" fontId="47" fillId="0" borderId="67" xfId="0" applyFont="1" applyBorder="1"/>
    <xf numFmtId="0" fontId="46" fillId="0" borderId="0" xfId="0" applyFont="1" applyAlignment="1">
      <alignment horizontal="left" indent="1"/>
    </xf>
    <xf numFmtId="177" fontId="46" fillId="0" borderId="0" xfId="5" applyNumberFormat="1" applyFont="1" applyFill="1" applyAlignment="1" applyProtection="1">
      <alignment horizontal="center"/>
    </xf>
    <xf numFmtId="0" fontId="69" fillId="0" borderId="0" xfId="0" applyFont="1" applyAlignment="1">
      <alignment horizontal="left" indent="1"/>
    </xf>
    <xf numFmtId="0" fontId="46" fillId="0" borderId="12" xfId="0" applyFont="1" applyBorder="1" applyAlignment="1">
      <alignment horizontal="center"/>
    </xf>
    <xf numFmtId="0" fontId="46" fillId="0" borderId="12" xfId="0" applyFont="1" applyBorder="1" applyAlignment="1">
      <alignment horizontal="left" indent="1"/>
    </xf>
    <xf numFmtId="0" fontId="46" fillId="0" borderId="12" xfId="0" applyFont="1" applyBorder="1"/>
    <xf numFmtId="0" fontId="69" fillId="0" borderId="12" xfId="0" applyFont="1" applyBorder="1" applyAlignment="1">
      <alignment horizontal="left" indent="1"/>
    </xf>
    <xf numFmtId="2" fontId="46" fillId="0" borderId="12" xfId="0" applyNumberFormat="1" applyFont="1" applyBorder="1" applyAlignment="1">
      <alignment horizontal="center"/>
    </xf>
    <xf numFmtId="2" fontId="46" fillId="0" borderId="0" xfId="5" applyNumberFormat="1" applyFont="1" applyFill="1" applyAlignment="1" applyProtection="1">
      <alignment horizontal="center"/>
    </xf>
    <xf numFmtId="171" fontId="46" fillId="0" borderId="0" xfId="5" applyNumberFormat="1" applyFont="1" applyFill="1" applyAlignment="1" applyProtection="1">
      <alignment horizontal="center"/>
    </xf>
    <xf numFmtId="171" fontId="46" fillId="0" borderId="12" xfId="5" applyNumberFormat="1" applyFont="1" applyFill="1" applyBorder="1" applyAlignment="1" applyProtection="1">
      <alignment horizontal="center"/>
    </xf>
    <xf numFmtId="11" fontId="46" fillId="0" borderId="0" xfId="5" applyNumberFormat="1" applyFont="1" applyFill="1" applyAlignment="1" applyProtection="1">
      <alignment horizontal="center"/>
    </xf>
    <xf numFmtId="0" fontId="46" fillId="26" borderId="67" xfId="0" applyFont="1" applyFill="1" applyBorder="1" applyAlignment="1">
      <alignment horizontal="center"/>
    </xf>
    <xf numFmtId="0" fontId="46" fillId="26" borderId="67" xfId="0" applyFont="1" applyFill="1" applyBorder="1" applyAlignment="1">
      <alignment horizontal="left" indent="1"/>
    </xf>
    <xf numFmtId="0" fontId="46" fillId="26" borderId="67" xfId="0" applyFont="1" applyFill="1" applyBorder="1"/>
    <xf numFmtId="167" fontId="46" fillId="26" borderId="67" xfId="5" applyNumberFormat="1" applyFont="1" applyFill="1" applyBorder="1" applyAlignment="1" applyProtection="1">
      <alignment horizontal="center"/>
    </xf>
    <xf numFmtId="0" fontId="46" fillId="0" borderId="67" xfId="0" applyFont="1" applyBorder="1" applyAlignment="1">
      <alignment horizontal="left" indent="1"/>
    </xf>
    <xf numFmtId="0" fontId="69" fillId="0" borderId="67" xfId="0" applyFont="1" applyBorder="1" applyAlignment="1">
      <alignment horizontal="left" indent="1"/>
    </xf>
    <xf numFmtId="0" fontId="52" fillId="4" borderId="7" xfId="0" applyFont="1" applyFill="1" applyBorder="1" applyAlignment="1">
      <alignment vertical="center"/>
    </xf>
    <xf numFmtId="2" fontId="46" fillId="0" borderId="7" xfId="0" applyNumberFormat="1" applyFont="1" applyBorder="1"/>
    <xf numFmtId="0" fontId="48" fillId="0" borderId="43" xfId="0" applyFont="1" applyBorder="1" applyAlignment="1">
      <alignment horizontal="right"/>
    </xf>
    <xf numFmtId="0" fontId="48" fillId="0" borderId="44" xfId="0" applyFont="1" applyBorder="1"/>
    <xf numFmtId="0" fontId="48" fillId="0" borderId="46" xfId="0" applyFont="1" applyBorder="1"/>
    <xf numFmtId="0" fontId="45" fillId="2" borderId="0" xfId="0" applyFont="1" applyFill="1" applyAlignment="1">
      <alignment horizontal="center"/>
    </xf>
    <xf numFmtId="0" fontId="45" fillId="2" borderId="37" xfId="0" applyFont="1" applyFill="1" applyBorder="1" applyAlignment="1">
      <alignment vertical="center"/>
    </xf>
    <xf numFmtId="0" fontId="45" fillId="0" borderId="38" xfId="0" applyFont="1" applyBorder="1" applyAlignment="1">
      <alignment vertical="center"/>
    </xf>
    <xf numFmtId="0" fontId="48" fillId="0" borderId="45" xfId="0" applyFont="1" applyBorder="1"/>
    <xf numFmtId="0" fontId="99" fillId="4" borderId="7" xfId="0" applyFont="1" applyFill="1" applyBorder="1" applyAlignment="1">
      <alignment horizontal="center" vertical="center"/>
    </xf>
    <xf numFmtId="0" fontId="52" fillId="4" borderId="33" xfId="0" applyFont="1" applyFill="1" applyBorder="1" applyAlignment="1">
      <alignment horizontal="center" vertical="center"/>
    </xf>
    <xf numFmtId="0" fontId="48" fillId="0" borderId="45" xfId="0" applyFont="1" applyBorder="1" applyAlignment="1">
      <alignment vertical="center"/>
    </xf>
    <xf numFmtId="0" fontId="48" fillId="0" borderId="19" xfId="0" applyFont="1" applyBorder="1" applyAlignment="1">
      <alignment vertical="center"/>
    </xf>
    <xf numFmtId="0" fontId="106" fillId="0" borderId="41" xfId="0" applyFont="1" applyBorder="1"/>
    <xf numFmtId="0" fontId="106" fillId="0" borderId="40" xfId="0" applyFont="1" applyBorder="1"/>
    <xf numFmtId="0" fontId="106" fillId="0" borderId="47" xfId="0" applyFont="1" applyBorder="1"/>
    <xf numFmtId="0" fontId="106" fillId="0" borderId="44" xfId="0" applyFont="1" applyBorder="1"/>
    <xf numFmtId="0" fontId="48" fillId="0" borderId="15" xfId="0" applyFont="1" applyBorder="1" applyAlignment="1">
      <alignment vertical="center"/>
    </xf>
    <xf numFmtId="0" fontId="48" fillId="0" borderId="7" xfId="0" applyFont="1" applyBorder="1"/>
    <xf numFmtId="0" fontId="48" fillId="0" borderId="17" xfId="0" applyFont="1" applyBorder="1" applyAlignment="1">
      <alignment vertical="center"/>
    </xf>
    <xf numFmtId="0" fontId="48" fillId="0" borderId="75" xfId="0" applyFont="1" applyBorder="1"/>
    <xf numFmtId="0" fontId="48" fillId="0" borderId="76" xfId="0" applyFont="1" applyBorder="1"/>
    <xf numFmtId="0" fontId="48" fillId="0" borderId="77" xfId="0" applyFont="1" applyBorder="1"/>
    <xf numFmtId="0" fontId="48" fillId="2" borderId="0" xfId="0" applyFont="1" applyFill="1" applyAlignment="1">
      <alignment horizontal="left" vertical="center"/>
    </xf>
    <xf numFmtId="0" fontId="48" fillId="2" borderId="0" xfId="0" applyFont="1" applyFill="1" applyAlignment="1">
      <alignment horizontal="center" vertical="center"/>
    </xf>
    <xf numFmtId="3" fontId="48" fillId="2" borderId="0" xfId="0" applyNumberFormat="1" applyFont="1" applyFill="1" applyAlignment="1">
      <alignment horizontal="center" vertical="center" wrapText="1"/>
    </xf>
    <xf numFmtId="0" fontId="48" fillId="0" borderId="42" xfId="0" applyFont="1" applyBorder="1" applyAlignment="1">
      <alignment horizontal="center"/>
    </xf>
    <xf numFmtId="0" fontId="52" fillId="30" borderId="7" xfId="0" applyFont="1" applyFill="1" applyBorder="1" applyAlignment="1">
      <alignment horizontal="center" vertical="center" wrapText="1"/>
    </xf>
    <xf numFmtId="0" fontId="56" fillId="0" borderId="0" xfId="0" applyFont="1"/>
    <xf numFmtId="0" fontId="48" fillId="8" borderId="7" xfId="0" applyFont="1" applyFill="1" applyBorder="1" applyAlignment="1">
      <alignment horizontal="center" vertical="center"/>
    </xf>
    <xf numFmtId="9" fontId="48" fillId="8" borderId="7" xfId="5" applyFont="1" applyFill="1" applyBorder="1" applyAlignment="1" applyProtection="1">
      <alignment horizontal="center" vertical="center"/>
    </xf>
    <xf numFmtId="166" fontId="48" fillId="0" borderId="7" xfId="0" applyNumberFormat="1" applyFont="1" applyBorder="1" applyAlignment="1">
      <alignment horizontal="center" vertical="center"/>
    </xf>
    <xf numFmtId="176" fontId="48" fillId="0" borderId="7" xfId="0" applyNumberFormat="1" applyFont="1" applyBorder="1" applyAlignment="1">
      <alignment horizontal="center" vertical="center"/>
    </xf>
    <xf numFmtId="177" fontId="48" fillId="0" borderId="7" xfId="5" quotePrefix="1" applyNumberFormat="1" applyFont="1" applyFill="1" applyBorder="1" applyAlignment="1" applyProtection="1">
      <alignment horizontal="center" vertical="center"/>
    </xf>
    <xf numFmtId="9" fontId="48" fillId="0" borderId="7" xfId="5" applyFont="1" applyFill="1" applyBorder="1" applyAlignment="1" applyProtection="1">
      <alignment horizontal="center" vertical="center"/>
    </xf>
    <xf numFmtId="166" fontId="48" fillId="0" borderId="0" xfId="0" applyNumberFormat="1" applyFont="1" applyAlignment="1">
      <alignment horizontal="center" vertical="center"/>
    </xf>
    <xf numFmtId="9" fontId="48" fillId="0" borderId="0" xfId="5" applyFont="1" applyFill="1" applyBorder="1" applyAlignment="1" applyProtection="1">
      <alignment horizontal="center" vertical="center"/>
    </xf>
    <xf numFmtId="176" fontId="48" fillId="0" borderId="0" xfId="0" applyNumberFormat="1" applyFont="1" applyAlignment="1">
      <alignment horizontal="center" vertical="center"/>
    </xf>
    <xf numFmtId="166" fontId="45" fillId="0" borderId="0" xfId="0" applyNumberFormat="1" applyFont="1" applyAlignment="1">
      <alignment horizontal="center" vertical="center"/>
    </xf>
    <xf numFmtId="9" fontId="48" fillId="0" borderId="0" xfId="5" quotePrefix="1" applyFont="1" applyFill="1" applyBorder="1" applyAlignment="1" applyProtection="1">
      <alignment horizontal="center" vertical="center"/>
    </xf>
    <xf numFmtId="0" fontId="32" fillId="0" borderId="9" xfId="0" applyFont="1" applyBorder="1" applyAlignment="1">
      <alignment horizontal="center" vertical="center"/>
    </xf>
    <xf numFmtId="0" fontId="52" fillId="4" borderId="7" xfId="0" applyFont="1" applyFill="1" applyBorder="1" applyAlignment="1">
      <alignment horizontal="left" vertical="center"/>
    </xf>
    <xf numFmtId="0" fontId="46" fillId="0" borderId="7" xfId="0" applyFont="1" applyBorder="1" applyAlignment="1">
      <alignment horizontal="left" indent="2"/>
    </xf>
    <xf numFmtId="0" fontId="46" fillId="0" borderId="7" xfId="0" applyFont="1" applyBorder="1" applyAlignment="1">
      <alignment horizontal="left" indent="1"/>
    </xf>
    <xf numFmtId="0" fontId="69" fillId="0" borderId="7" xfId="0" applyFont="1" applyBorder="1" applyAlignment="1">
      <alignment horizontal="left" indent="1"/>
    </xf>
    <xf numFmtId="0" fontId="19" fillId="4" borderId="7" xfId="0" applyFont="1" applyFill="1" applyBorder="1"/>
    <xf numFmtId="0" fontId="19" fillId="4" borderId="0" xfId="0" applyFont="1" applyFill="1"/>
    <xf numFmtId="1" fontId="46" fillId="7" borderId="7" xfId="0" applyNumberFormat="1" applyFont="1" applyFill="1" applyBorder="1" applyAlignment="1" applyProtection="1">
      <alignment horizontal="center" vertical="center"/>
      <protection locked="0"/>
    </xf>
    <xf numFmtId="180" fontId="46" fillId="9" borderId="7" xfId="2" applyNumberFormat="1" applyFont="1" applyFill="1" applyBorder="1" applyAlignment="1">
      <alignment horizontal="center" vertical="center"/>
    </xf>
    <xf numFmtId="180" fontId="47" fillId="9" borderId="7" xfId="2" applyNumberFormat="1" applyFont="1" applyFill="1" applyBorder="1" applyAlignment="1">
      <alignment horizontal="center" vertical="center"/>
    </xf>
    <xf numFmtId="180" fontId="47" fillId="36" borderId="7" xfId="0" applyNumberFormat="1" applyFont="1" applyFill="1" applyBorder="1" applyAlignment="1">
      <alignment horizontal="right"/>
    </xf>
    <xf numFmtId="180" fontId="69" fillId="36" borderId="7" xfId="0" applyNumberFormat="1" applyFont="1" applyFill="1" applyBorder="1" applyAlignment="1">
      <alignment horizontal="right"/>
    </xf>
    <xf numFmtId="180" fontId="46" fillId="36" borderId="7" xfId="2" applyNumberFormat="1" applyFont="1" applyFill="1" applyBorder="1" applyAlignment="1">
      <alignment horizontal="center" vertical="center"/>
    </xf>
    <xf numFmtId="180" fontId="47" fillId="36" borderId="7" xfId="2" applyNumberFormat="1" applyFont="1" applyFill="1" applyBorder="1" applyAlignment="1">
      <alignment horizontal="center" vertical="center"/>
    </xf>
    <xf numFmtId="180" fontId="69" fillId="36" borderId="7" xfId="2" applyNumberFormat="1" applyFont="1" applyFill="1" applyBorder="1" applyAlignment="1">
      <alignment horizontal="center" vertical="center"/>
    </xf>
    <xf numFmtId="180" fontId="44" fillId="36" borderId="7" xfId="2" applyNumberFormat="1" applyFont="1" applyFill="1" applyBorder="1" applyAlignment="1">
      <alignment horizontal="center" vertical="center"/>
    </xf>
    <xf numFmtId="180" fontId="46" fillId="36" borderId="17" xfId="2" applyNumberFormat="1" applyFont="1" applyFill="1" applyBorder="1" applyAlignment="1">
      <alignment horizontal="center" vertical="center" wrapText="1"/>
    </xf>
    <xf numFmtId="180" fontId="52" fillId="4" borderId="5" xfId="2" applyNumberFormat="1" applyFont="1" applyFill="1" applyBorder="1" applyAlignment="1">
      <alignment horizontal="right" vertical="center"/>
    </xf>
    <xf numFmtId="181" fontId="52" fillId="4" borderId="5" xfId="2" applyNumberFormat="1" applyFont="1" applyFill="1" applyBorder="1" applyAlignment="1">
      <alignment vertical="center"/>
    </xf>
    <xf numFmtId="165" fontId="46" fillId="23" borderId="15" xfId="2" applyNumberFormat="1" applyFont="1" applyFill="1" applyBorder="1" applyAlignment="1" applyProtection="1">
      <alignment horizontal="center" vertical="center"/>
      <protection locked="0"/>
    </xf>
    <xf numFmtId="165" fontId="46" fillId="13" borderId="15" xfId="2" applyNumberFormat="1" applyFont="1" applyFill="1" applyBorder="1" applyAlignment="1" applyProtection="1">
      <alignment horizontal="center" vertical="center"/>
      <protection locked="0"/>
    </xf>
    <xf numFmtId="180" fontId="46" fillId="23" borderId="15" xfId="2" applyNumberFormat="1" applyFont="1" applyFill="1" applyBorder="1" applyAlignment="1" applyProtection="1">
      <alignment horizontal="center" vertical="center"/>
      <protection locked="0"/>
    </xf>
    <xf numFmtId="165" fontId="46" fillId="36" borderId="15" xfId="2" applyNumberFormat="1" applyFont="1" applyFill="1" applyBorder="1" applyAlignment="1">
      <alignment horizontal="center" vertical="center" wrapText="1"/>
    </xf>
    <xf numFmtId="0" fontId="46" fillId="23" borderId="15" xfId="0" applyFont="1" applyFill="1" applyBorder="1" applyAlignment="1" applyProtection="1">
      <alignment horizontal="left" vertical="center" wrapText="1"/>
      <protection locked="0"/>
    </xf>
    <xf numFmtId="165" fontId="52" fillId="4" borderId="5" xfId="2" applyNumberFormat="1" applyFont="1" applyFill="1" applyBorder="1" applyAlignment="1">
      <alignment horizontal="left" vertical="center"/>
    </xf>
    <xf numFmtId="165" fontId="52" fillId="4" borderId="4" xfId="2" applyNumberFormat="1" applyFont="1" applyFill="1" applyBorder="1" applyAlignment="1">
      <alignment horizontal="left" vertical="center"/>
    </xf>
    <xf numFmtId="180" fontId="46" fillId="36" borderId="15" xfId="2" applyNumberFormat="1" applyFont="1" applyFill="1" applyBorder="1" applyAlignment="1">
      <alignment horizontal="center" vertical="center"/>
    </xf>
    <xf numFmtId="180" fontId="52" fillId="4" borderId="5" xfId="2" applyNumberFormat="1" applyFont="1" applyFill="1" applyBorder="1" applyAlignment="1">
      <alignment horizontal="left" vertical="center"/>
    </xf>
    <xf numFmtId="180" fontId="69" fillId="8" borderId="17" xfId="2" applyNumberFormat="1" applyFont="1" applyFill="1" applyBorder="1" applyAlignment="1">
      <alignment horizontal="right" vertical="center"/>
    </xf>
    <xf numFmtId="180" fontId="52" fillId="4" borderId="5" xfId="2" applyNumberFormat="1" applyFont="1" applyFill="1" applyBorder="1" applyAlignment="1">
      <alignment vertical="center"/>
    </xf>
    <xf numFmtId="180" fontId="69" fillId="8" borderId="7" xfId="2" applyNumberFormat="1" applyFont="1" applyFill="1" applyBorder="1" applyAlignment="1">
      <alignment horizontal="center" vertical="center"/>
    </xf>
    <xf numFmtId="180" fontId="46" fillId="36" borderId="7" xfId="0" applyNumberFormat="1" applyFont="1" applyFill="1" applyBorder="1" applyAlignment="1">
      <alignment horizontal="center" vertical="center"/>
    </xf>
    <xf numFmtId="0" fontId="69" fillId="8" borderId="17" xfId="2" applyNumberFormat="1" applyFont="1" applyFill="1" applyBorder="1" applyAlignment="1">
      <alignment horizontal="center" vertical="center"/>
    </xf>
    <xf numFmtId="0" fontId="46" fillId="23" borderId="7" xfId="2" applyNumberFormat="1" applyFont="1" applyFill="1" applyBorder="1" applyAlignment="1" applyProtection="1">
      <alignment horizontal="center" vertical="center"/>
      <protection locked="0"/>
    </xf>
    <xf numFmtId="0" fontId="52" fillId="4" borderId="5" xfId="2" applyNumberFormat="1" applyFont="1" applyFill="1" applyBorder="1" applyAlignment="1">
      <alignment vertical="center"/>
    </xf>
    <xf numFmtId="0" fontId="69" fillId="8" borderId="7" xfId="2" applyNumberFormat="1" applyFont="1" applyFill="1" applyBorder="1" applyAlignment="1">
      <alignment horizontal="center" vertical="center"/>
    </xf>
    <xf numFmtId="180" fontId="47" fillId="37" borderId="7" xfId="2" applyNumberFormat="1" applyFont="1" applyFill="1" applyBorder="1" applyAlignment="1">
      <alignment horizontal="center" vertical="center"/>
    </xf>
    <xf numFmtId="180" fontId="47" fillId="8" borderId="7" xfId="0" applyNumberFormat="1" applyFont="1" applyFill="1" applyBorder="1" applyAlignment="1">
      <alignment horizontal="center" vertical="center"/>
    </xf>
    <xf numFmtId="180" fontId="47" fillId="21" borderId="7" xfId="2" applyNumberFormat="1" applyFont="1" applyFill="1" applyBorder="1" applyAlignment="1">
      <alignment horizontal="center" vertical="center"/>
    </xf>
    <xf numFmtId="180" fontId="47" fillId="21" borderId="7" xfId="0" applyNumberFormat="1" applyFont="1" applyFill="1" applyBorder="1"/>
    <xf numFmtId="180" fontId="46" fillId="36" borderId="7" xfId="0" applyNumberFormat="1" applyFont="1" applyFill="1" applyBorder="1"/>
    <xf numFmtId="180" fontId="69" fillId="36" borderId="7" xfId="0" applyNumberFormat="1" applyFont="1" applyFill="1" applyBorder="1"/>
    <xf numFmtId="180" fontId="44" fillId="8" borderId="7" xfId="0" applyNumberFormat="1" applyFont="1" applyFill="1" applyBorder="1" applyAlignment="1">
      <alignment horizontal="right" vertical="center" wrapText="1"/>
    </xf>
    <xf numFmtId="180" fontId="46" fillId="7" borderId="7" xfId="0" applyNumberFormat="1" applyFont="1" applyFill="1" applyBorder="1" applyAlignment="1" applyProtection="1">
      <alignment horizontal="right" vertical="center" wrapText="1"/>
      <protection locked="0"/>
    </xf>
    <xf numFmtId="180" fontId="46" fillId="23" borderId="7" xfId="0" applyNumberFormat="1" applyFont="1" applyFill="1" applyBorder="1" applyAlignment="1" applyProtection="1">
      <alignment horizontal="right" vertical="center" wrapText="1"/>
      <protection locked="0"/>
    </xf>
    <xf numFmtId="180" fontId="46" fillId="36" borderId="15" xfId="2" applyNumberFormat="1" applyFont="1" applyFill="1" applyBorder="1" applyAlignment="1" applyProtection="1">
      <alignment horizontal="center" vertical="center"/>
    </xf>
    <xf numFmtId="180" fontId="47" fillId="36" borderId="7" xfId="0" applyNumberFormat="1" applyFont="1" applyFill="1" applyBorder="1" applyAlignment="1">
      <alignment vertical="center"/>
    </xf>
    <xf numFmtId="180" fontId="46" fillId="36" borderId="4" xfId="0" applyNumberFormat="1" applyFont="1" applyFill="1" applyBorder="1"/>
    <xf numFmtId="180" fontId="46" fillId="36" borderId="5" xfId="0" applyNumberFormat="1" applyFont="1" applyFill="1" applyBorder="1" applyAlignment="1">
      <alignment vertical="center"/>
    </xf>
    <xf numFmtId="180" fontId="47" fillId="36" borderId="6" xfId="0" applyNumberFormat="1" applyFont="1" applyFill="1" applyBorder="1" applyAlignment="1">
      <alignment vertical="center"/>
    </xf>
    <xf numFmtId="180" fontId="44" fillId="8" borderId="17" xfId="2" applyNumberFormat="1" applyFont="1" applyFill="1" applyBorder="1" applyAlignment="1">
      <alignment horizontal="right" vertical="center"/>
    </xf>
    <xf numFmtId="0" fontId="44" fillId="8" borderId="17" xfId="2" applyNumberFormat="1" applyFont="1" applyFill="1" applyBorder="1" applyAlignment="1">
      <alignment horizontal="right" vertical="center"/>
    </xf>
    <xf numFmtId="180" fontId="74" fillId="0" borderId="13" xfId="0" applyNumberFormat="1" applyFont="1" applyBorder="1"/>
    <xf numFmtId="180" fontId="74" fillId="0" borderId="17" xfId="0" applyNumberFormat="1" applyFont="1" applyBorder="1"/>
    <xf numFmtId="180" fontId="74" fillId="0" borderId="7" xfId="0" applyNumberFormat="1" applyFont="1" applyBorder="1"/>
    <xf numFmtId="180" fontId="52" fillId="5" borderId="69" xfId="0" applyNumberFormat="1" applyFont="1" applyFill="1" applyBorder="1"/>
    <xf numFmtId="180" fontId="52" fillId="3" borderId="69" xfId="0" applyNumberFormat="1" applyFont="1" applyFill="1" applyBorder="1"/>
    <xf numFmtId="180" fontId="52" fillId="4" borderId="69" xfId="0" applyNumberFormat="1" applyFont="1" applyFill="1" applyBorder="1"/>
    <xf numFmtId="180" fontId="52" fillId="10" borderId="69" xfId="0" applyNumberFormat="1" applyFont="1" applyFill="1" applyBorder="1"/>
    <xf numFmtId="180" fontId="52" fillId="5" borderId="79" xfId="0" applyNumberFormat="1" applyFont="1" applyFill="1" applyBorder="1"/>
    <xf numFmtId="180" fontId="52" fillId="3" borderId="79" xfId="0" applyNumberFormat="1" applyFont="1" applyFill="1" applyBorder="1"/>
    <xf numFmtId="180" fontId="52" fillId="4" borderId="79" xfId="0" applyNumberFormat="1" applyFont="1" applyFill="1" applyBorder="1"/>
    <xf numFmtId="180" fontId="46" fillId="0" borderId="7" xfId="0" applyNumberFormat="1" applyFont="1" applyBorder="1" applyAlignment="1">
      <alignment horizontal="center" vertical="center"/>
    </xf>
    <xf numFmtId="180" fontId="74" fillId="0" borderId="7" xfId="0" applyNumberFormat="1" applyFont="1" applyBorder="1" applyAlignment="1">
      <alignment vertical="center"/>
    </xf>
    <xf numFmtId="180" fontId="54" fillId="31" borderId="7" xfId="0" applyNumberFormat="1" applyFont="1" applyFill="1" applyBorder="1" applyAlignment="1">
      <alignment horizontal="center" vertical="center"/>
    </xf>
    <xf numFmtId="180" fontId="52" fillId="31" borderId="7" xfId="0" applyNumberFormat="1" applyFont="1" applyFill="1" applyBorder="1" applyAlignment="1">
      <alignment vertical="center"/>
    </xf>
    <xf numFmtId="180" fontId="52" fillId="31" borderId="12" xfId="0" applyNumberFormat="1" applyFont="1" applyFill="1" applyBorder="1" applyAlignment="1">
      <alignment vertical="center"/>
    </xf>
    <xf numFmtId="180" fontId="52" fillId="31" borderId="13" xfId="0" applyNumberFormat="1" applyFont="1" applyFill="1" applyBorder="1" applyAlignment="1">
      <alignment vertical="center"/>
    </xf>
    <xf numFmtId="180" fontId="54" fillId="31" borderId="15" xfId="0" applyNumberFormat="1" applyFont="1" applyFill="1" applyBorder="1" applyAlignment="1">
      <alignment horizontal="center"/>
    </xf>
    <xf numFmtId="180" fontId="48" fillId="21" borderId="4" xfId="0" applyNumberFormat="1" applyFont="1" applyFill="1" applyBorder="1" applyAlignment="1">
      <alignment horizontal="center" vertical="center"/>
    </xf>
    <xf numFmtId="180" fontId="48" fillId="21" borderId="5" xfId="0" applyNumberFormat="1" applyFont="1" applyFill="1" applyBorder="1" applyAlignment="1">
      <alignment horizontal="center" vertical="center"/>
    </xf>
    <xf numFmtId="180" fontId="48" fillId="21" borderId="6" xfId="0" applyNumberFormat="1" applyFont="1" applyFill="1" applyBorder="1" applyAlignment="1">
      <alignment horizontal="center" vertical="center"/>
    </xf>
    <xf numFmtId="180" fontId="45" fillId="21" borderId="6" xfId="0" applyNumberFormat="1" applyFont="1" applyFill="1" applyBorder="1" applyAlignment="1">
      <alignment vertical="center"/>
    </xf>
    <xf numFmtId="0" fontId="99" fillId="4" borderId="4" xfId="0" applyFont="1" applyFill="1" applyBorder="1" applyAlignment="1">
      <alignment horizontal="center" vertical="center"/>
    </xf>
    <xf numFmtId="0" fontId="48" fillId="0" borderId="80" xfId="0" applyFont="1" applyBorder="1"/>
    <xf numFmtId="0" fontId="99" fillId="0" borderId="9" xfId="0" applyFont="1" applyBorder="1" applyAlignment="1">
      <alignment horizontal="center" vertical="center"/>
    </xf>
    <xf numFmtId="0" fontId="48" fillId="0" borderId="9" xfId="0" applyFont="1" applyBorder="1" applyAlignment="1">
      <alignment vertical="center"/>
    </xf>
    <xf numFmtId="0" fontId="48" fillId="0" borderId="9" xfId="0" applyFont="1" applyBorder="1" applyAlignment="1">
      <alignment vertical="center" wrapText="1"/>
    </xf>
    <xf numFmtId="0" fontId="48" fillId="0" borderId="9" xfId="0" applyFont="1" applyBorder="1" applyAlignment="1">
      <alignment horizontal="center" vertical="center" wrapText="1"/>
    </xf>
    <xf numFmtId="181" fontId="48" fillId="0" borderId="7" xfId="2" applyNumberFormat="1" applyFont="1" applyFill="1" applyBorder="1" applyAlignment="1" applyProtection="1">
      <alignment horizontal="center" vertical="center"/>
    </xf>
    <xf numFmtId="181" fontId="48" fillId="13" borderId="7" xfId="0" applyNumberFormat="1" applyFont="1" applyFill="1" applyBorder="1" applyAlignment="1">
      <alignment horizontal="center" vertical="center" wrapText="1"/>
    </xf>
    <xf numFmtId="181" fontId="48" fillId="13" borderId="7" xfId="0" applyNumberFormat="1" applyFont="1" applyFill="1" applyBorder="1" applyAlignment="1">
      <alignment horizontal="right" vertical="center" wrapText="1"/>
    </xf>
    <xf numFmtId="0" fontId="52" fillId="4" borderId="0" xfId="0" applyFont="1" applyFill="1" applyAlignment="1">
      <alignment horizontal="center"/>
    </xf>
    <xf numFmtId="0" fontId="48" fillId="0" borderId="7" xfId="0" applyFont="1" applyBorder="1" applyAlignment="1">
      <alignment horizontal="left"/>
    </xf>
    <xf numFmtId="177" fontId="48" fillId="0" borderId="7" xfId="5" applyNumberFormat="1" applyFont="1" applyFill="1" applyBorder="1" applyProtection="1"/>
    <xf numFmtId="2" fontId="48" fillId="0" borderId="7" xfId="0" applyNumberFormat="1" applyFont="1" applyBorder="1"/>
    <xf numFmtId="0" fontId="19" fillId="10" borderId="4" xfId="0" applyFont="1" applyFill="1" applyBorder="1" applyAlignment="1">
      <alignment horizontal="center" vertical="center"/>
    </xf>
    <xf numFmtId="171" fontId="1" fillId="0" borderId="7" xfId="0" applyNumberFormat="1" applyFont="1" applyBorder="1" applyAlignment="1">
      <alignment horizontal="center" vertical="center"/>
    </xf>
    <xf numFmtId="0" fontId="16" fillId="4" borderId="0" xfId="0" applyFont="1" applyFill="1"/>
    <xf numFmtId="0" fontId="35" fillId="4" borderId="0" xfId="0" applyFont="1" applyFill="1"/>
    <xf numFmtId="0" fontId="86" fillId="4" borderId="0" xfId="0" applyFont="1" applyFill="1"/>
    <xf numFmtId="0" fontId="113" fillId="4" borderId="0" xfId="0" applyFont="1" applyFill="1"/>
    <xf numFmtId="0" fontId="29" fillId="5" borderId="4" xfId="0" applyFont="1" applyFill="1" applyBorder="1" applyAlignment="1">
      <alignment vertical="center"/>
    </xf>
    <xf numFmtId="0" fontId="0" fillId="0" borderId="6" xfId="0" applyBorder="1" applyAlignment="1">
      <alignment horizontal="center" vertical="center"/>
    </xf>
    <xf numFmtId="0" fontId="0" fillId="0" borderId="10" xfId="0" applyBorder="1" applyAlignment="1">
      <alignment horizontal="center" vertical="center"/>
    </xf>
    <xf numFmtId="43" fontId="0" fillId="0" borderId="7" xfId="0" applyNumberFormat="1" applyBorder="1" applyAlignment="1">
      <alignment horizontal="center"/>
    </xf>
    <xf numFmtId="184" fontId="0" fillId="0" borderId="7" xfId="0" applyNumberFormat="1" applyBorder="1" applyAlignment="1">
      <alignment horizontal="center"/>
    </xf>
    <xf numFmtId="0" fontId="121" fillId="4" borderId="0" xfId="0" applyFont="1" applyFill="1"/>
    <xf numFmtId="9" fontId="0" fillId="6" borderId="7" xfId="0" applyNumberFormat="1" applyFill="1" applyBorder="1" applyAlignment="1">
      <alignment horizontal="center" vertical="center"/>
    </xf>
    <xf numFmtId="4" fontId="0" fillId="6" borderId="7" xfId="0" applyNumberFormat="1" applyFill="1" applyBorder="1" applyAlignment="1">
      <alignment horizontal="center" vertical="center"/>
    </xf>
    <xf numFmtId="0" fontId="29" fillId="0" borderId="9" xfId="0" applyFont="1" applyBorder="1" applyAlignment="1">
      <alignment horizontal="center" vertical="center"/>
    </xf>
    <xf numFmtId="0" fontId="0" fillId="0" borderId="9" xfId="0" applyBorder="1" applyAlignment="1">
      <alignment horizontal="center" vertical="center"/>
    </xf>
    <xf numFmtId="0" fontId="9" fillId="19" borderId="4" xfId="0" applyFont="1" applyFill="1" applyBorder="1" applyAlignment="1">
      <alignment horizontal="center" vertical="center" wrapText="1"/>
    </xf>
    <xf numFmtId="0" fontId="1" fillId="0" borderId="4" xfId="0" applyFont="1" applyBorder="1" applyAlignment="1">
      <alignment horizontal="center" vertical="center"/>
    </xf>
    <xf numFmtId="0" fontId="29" fillId="0" borderId="0" xfId="0" applyFont="1" applyAlignment="1">
      <alignment horizontal="center" vertical="center" wrapText="1"/>
    </xf>
    <xf numFmtId="0" fontId="29" fillId="19" borderId="5" xfId="0" applyFont="1" applyFill="1" applyBorder="1" applyAlignment="1">
      <alignment horizontal="center" vertical="center" wrapText="1"/>
    </xf>
    <xf numFmtId="2" fontId="64" fillId="0" borderId="4" xfId="0" applyNumberFormat="1" applyFont="1" applyBorder="1" applyAlignment="1">
      <alignment horizontal="center"/>
    </xf>
    <xf numFmtId="2" fontId="0" fillId="6" borderId="4" xfId="0" applyNumberFormat="1" applyFill="1" applyBorder="1" applyAlignment="1">
      <alignment horizontal="center"/>
    </xf>
    <xf numFmtId="0" fontId="64" fillId="0" borderId="0" xfId="0" applyFont="1" applyAlignment="1">
      <alignment horizontal="center" vertical="center"/>
    </xf>
    <xf numFmtId="0" fontId="64" fillId="0" borderId="9" xfId="0" applyFont="1" applyBorder="1" applyAlignment="1">
      <alignment horizontal="center" vertical="center"/>
    </xf>
    <xf numFmtId="0" fontId="0" fillId="0" borderId="9" xfId="0" applyBorder="1"/>
    <xf numFmtId="2" fontId="2" fillId="9" borderId="4" xfId="0" applyNumberFormat="1" applyFont="1" applyFill="1" applyBorder="1" applyAlignment="1">
      <alignment horizontal="center"/>
    </xf>
    <xf numFmtId="0" fontId="9" fillId="4" borderId="4" xfId="0" applyFont="1" applyFill="1" applyBorder="1" applyAlignment="1">
      <alignment horizontal="center" vertical="center" wrapText="1"/>
    </xf>
    <xf numFmtId="1" fontId="46" fillId="0" borderId="7" xfId="0" applyNumberFormat="1" applyFont="1" applyBorder="1"/>
    <xf numFmtId="165" fontId="46" fillId="23" borderId="15" xfId="2" applyNumberFormat="1" applyFont="1" applyFill="1" applyBorder="1" applyAlignment="1" applyProtection="1">
      <alignment horizontal="center" vertical="center" wrapText="1"/>
      <protection locked="0"/>
    </xf>
    <xf numFmtId="180" fontId="46" fillId="23" borderId="7" xfId="0" applyNumberFormat="1" applyFont="1" applyFill="1" applyBorder="1" applyAlignment="1" applyProtection="1">
      <alignment horizontal="center" vertical="center"/>
      <protection locked="0"/>
    </xf>
    <xf numFmtId="0" fontId="62" fillId="22" borderId="0" xfId="0" applyFont="1" applyFill="1" applyAlignment="1">
      <alignment horizontal="left" vertical="top"/>
    </xf>
    <xf numFmtId="0" fontId="48" fillId="0" borderId="0" xfId="0" applyFont="1" applyAlignment="1">
      <alignment horizontal="left" vertical="top"/>
    </xf>
    <xf numFmtId="0" fontId="53" fillId="22" borderId="0" xfId="0" applyFont="1" applyFill="1"/>
    <xf numFmtId="0" fontId="75" fillId="13" borderId="0" xfId="0" applyFont="1" applyFill="1"/>
    <xf numFmtId="0" fontId="48" fillId="22" borderId="0" xfId="0" quotePrefix="1" applyFont="1" applyFill="1"/>
    <xf numFmtId="0" fontId="45" fillId="35" borderId="7" xfId="0" quotePrefix="1" applyFont="1" applyFill="1" applyBorder="1"/>
    <xf numFmtId="0" fontId="45" fillId="35" borderId="4" xfId="0" quotePrefix="1" applyFont="1" applyFill="1" applyBorder="1"/>
    <xf numFmtId="0" fontId="46" fillId="35" borderId="6" xfId="0" applyFont="1" applyFill="1" applyBorder="1"/>
    <xf numFmtId="0" fontId="46" fillId="35" borderId="5" xfId="0" applyFont="1" applyFill="1" applyBorder="1"/>
    <xf numFmtId="0" fontId="48" fillId="22" borderId="7" xfId="0" quotePrefix="1" applyFont="1" applyFill="1" applyBorder="1"/>
    <xf numFmtId="0" fontId="48" fillId="22" borderId="4" xfId="0" quotePrefix="1" applyFont="1" applyFill="1" applyBorder="1" applyAlignment="1">
      <alignment vertical="center"/>
    </xf>
    <xf numFmtId="0" fontId="46" fillId="22" borderId="5" xfId="0" applyFont="1" applyFill="1" applyBorder="1" applyAlignment="1">
      <alignment vertical="center"/>
    </xf>
    <xf numFmtId="0" fontId="46" fillId="22" borderId="6" xfId="0" applyFont="1" applyFill="1" applyBorder="1" applyAlignment="1">
      <alignment vertical="center"/>
    </xf>
    <xf numFmtId="0" fontId="47" fillId="5" borderId="19" xfId="0" applyFont="1" applyFill="1" applyBorder="1" applyAlignment="1">
      <alignment horizontal="center" vertical="center" wrapText="1"/>
    </xf>
    <xf numFmtId="0" fontId="62" fillId="22" borderId="0" xfId="0" applyFont="1" applyFill="1" applyAlignment="1">
      <alignment horizontal="left" vertical="center" indent="3"/>
    </xf>
    <xf numFmtId="0" fontId="46" fillId="22" borderId="0" xfId="0" applyFont="1" applyFill="1" applyAlignment="1">
      <alignment horizontal="left" vertical="center" indent="5"/>
    </xf>
    <xf numFmtId="0" fontId="46" fillId="22" borderId="0" xfId="0" applyFont="1" applyFill="1" applyAlignment="1">
      <alignment horizontal="left" vertical="top" indent="5"/>
    </xf>
    <xf numFmtId="0" fontId="47" fillId="22" borderId="0" xfId="0" applyFont="1" applyFill="1" applyAlignment="1">
      <alignment wrapText="1"/>
    </xf>
    <xf numFmtId="0" fontId="46" fillId="22" borderId="0" xfId="0" applyFont="1" applyFill="1" applyAlignment="1">
      <alignment vertical="top"/>
    </xf>
    <xf numFmtId="0" fontId="46" fillId="22" borderId="0" xfId="0" quotePrefix="1" applyFont="1" applyFill="1" applyAlignment="1">
      <alignment vertical="top"/>
    </xf>
    <xf numFmtId="0" fontId="47" fillId="22" borderId="0" xfId="0" applyFont="1" applyFill="1" applyAlignment="1">
      <alignment vertical="top"/>
    </xf>
    <xf numFmtId="165" fontId="69" fillId="8" borderId="7" xfId="2" applyNumberFormat="1" applyFont="1" applyFill="1" applyBorder="1" applyAlignment="1" applyProtection="1">
      <alignment horizontal="center" vertical="center" wrapText="1"/>
    </xf>
    <xf numFmtId="165" fontId="69" fillId="8" borderId="17" xfId="2" applyNumberFormat="1" applyFont="1" applyFill="1" applyBorder="1" applyAlignment="1" applyProtection="1">
      <alignment horizontal="center" vertical="center" wrapText="1"/>
    </xf>
    <xf numFmtId="165" fontId="69" fillId="7" borderId="17" xfId="2" applyNumberFormat="1" applyFont="1" applyFill="1" applyBorder="1" applyAlignment="1" applyProtection="1">
      <alignment horizontal="center" vertical="center" wrapText="1"/>
    </xf>
    <xf numFmtId="41" fontId="69" fillId="8" borderId="17" xfId="2" applyNumberFormat="1" applyFont="1" applyFill="1" applyBorder="1" applyAlignment="1" applyProtection="1">
      <alignment horizontal="center" vertical="center" wrapText="1"/>
    </xf>
    <xf numFmtId="180" fontId="69" fillId="8" borderId="17" xfId="2" applyNumberFormat="1" applyFont="1" applyFill="1" applyBorder="1" applyAlignment="1" applyProtection="1">
      <alignment horizontal="center" vertical="center" wrapText="1"/>
    </xf>
    <xf numFmtId="0" fontId="52" fillId="38" borderId="70" xfId="0" applyFont="1" applyFill="1" applyBorder="1"/>
    <xf numFmtId="180" fontId="74" fillId="38" borderId="72" xfId="0" applyNumberFormat="1" applyFont="1" applyFill="1" applyBorder="1"/>
    <xf numFmtId="180" fontId="52" fillId="38" borderId="72" xfId="0" applyNumberFormat="1" applyFont="1" applyFill="1" applyBorder="1"/>
    <xf numFmtId="180" fontId="52" fillId="38" borderId="69" xfId="0" applyNumberFormat="1" applyFont="1" applyFill="1" applyBorder="1"/>
    <xf numFmtId="180" fontId="52" fillId="38" borderId="70" xfId="0" applyNumberFormat="1" applyFont="1" applyFill="1" applyBorder="1"/>
    <xf numFmtId="165" fontId="46" fillId="13" borderId="7" xfId="2" applyNumberFormat="1" applyFont="1" applyFill="1" applyBorder="1" applyAlignment="1" applyProtection="1">
      <alignment horizontal="center" vertical="center" wrapText="1"/>
      <protection locked="0"/>
    </xf>
    <xf numFmtId="43" fontId="46" fillId="23" borderId="7" xfId="2" applyFont="1" applyFill="1" applyBorder="1" applyAlignment="1" applyProtection="1">
      <alignment horizontal="center" vertical="center" wrapText="1"/>
      <protection locked="0"/>
    </xf>
    <xf numFmtId="165" fontId="46" fillId="23" borderId="7" xfId="2" applyNumberFormat="1" applyFont="1" applyFill="1" applyBorder="1" applyAlignment="1" applyProtection="1">
      <alignment horizontal="left" vertical="center" wrapText="1"/>
      <protection locked="0"/>
    </xf>
    <xf numFmtId="3" fontId="46" fillId="7" borderId="7" xfId="0"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horizontal="left" vertical="center"/>
      <protection locked="0"/>
    </xf>
    <xf numFmtId="165" fontId="46" fillId="23" borderId="15" xfId="2" applyNumberFormat="1" applyFont="1" applyFill="1" applyBorder="1" applyAlignment="1" applyProtection="1">
      <alignment horizontal="left" vertical="center"/>
      <protection locked="0"/>
    </xf>
    <xf numFmtId="180" fontId="46" fillId="13" borderId="7" xfId="2" applyNumberFormat="1" applyFont="1" applyFill="1" applyBorder="1" applyAlignment="1" applyProtection="1">
      <alignment horizontal="right" vertical="center" wrapText="1"/>
      <protection locked="0"/>
    </xf>
    <xf numFmtId="165" fontId="46" fillId="36" borderId="7" xfId="2" applyNumberFormat="1" applyFont="1" applyFill="1" applyBorder="1" applyAlignment="1" applyProtection="1">
      <alignment horizontal="left" vertical="center" wrapText="1"/>
    </xf>
    <xf numFmtId="0" fontId="48" fillId="0" borderId="7" xfId="0" applyFont="1" applyBorder="1" applyAlignment="1">
      <alignment vertical="center" wrapText="1"/>
    </xf>
    <xf numFmtId="0" fontId="46" fillId="23" borderId="7" xfId="2" applyNumberFormat="1" applyFont="1" applyFill="1" applyBorder="1" applyAlignment="1" applyProtection="1">
      <alignment horizontal="right" vertical="center" wrapText="1"/>
      <protection locked="0"/>
    </xf>
    <xf numFmtId="43" fontId="46" fillId="13" borderId="7" xfId="2" applyFont="1" applyFill="1" applyBorder="1" applyAlignment="1" applyProtection="1">
      <alignment horizontal="center" vertical="center" wrapText="1"/>
    </xf>
    <xf numFmtId="180" fontId="46" fillId="23" borderId="7" xfId="2" applyNumberFormat="1" applyFont="1" applyFill="1" applyBorder="1" applyAlignment="1" applyProtection="1">
      <alignment horizontal="right" vertical="center" wrapText="1"/>
      <protection locked="0"/>
    </xf>
    <xf numFmtId="0" fontId="46" fillId="23" borderId="7" xfId="0" applyFont="1" applyFill="1" applyBorder="1" applyAlignment="1" applyProtection="1">
      <alignment wrapText="1"/>
      <protection locked="0"/>
    </xf>
    <xf numFmtId="180" fontId="46" fillId="13" borderId="7" xfId="0" applyNumberFormat="1" applyFont="1" applyFill="1" applyBorder="1" applyAlignment="1">
      <alignment horizontal="right" vertical="center" wrapText="1"/>
    </xf>
    <xf numFmtId="2" fontId="46" fillId="8" borderId="7" xfId="2" applyNumberFormat="1" applyFont="1" applyFill="1" applyBorder="1" applyAlignment="1">
      <alignment horizontal="center" vertical="center"/>
    </xf>
    <xf numFmtId="2" fontId="46" fillId="9" borderId="7" xfId="2" applyNumberFormat="1" applyFont="1" applyFill="1" applyBorder="1" applyAlignment="1">
      <alignment horizontal="center" vertical="center"/>
    </xf>
    <xf numFmtId="171" fontId="46" fillId="9" borderId="7" xfId="2" applyNumberFormat="1" applyFont="1" applyFill="1" applyBorder="1" applyAlignment="1">
      <alignment horizontal="center" vertical="center"/>
    </xf>
    <xf numFmtId="2" fontId="46" fillId="9" borderId="7" xfId="2" applyNumberFormat="1" applyFont="1" applyFill="1" applyBorder="1" applyAlignment="1">
      <alignment vertical="center"/>
    </xf>
    <xf numFmtId="2" fontId="46" fillId="9" borderId="7" xfId="2" applyNumberFormat="1" applyFont="1" applyFill="1" applyBorder="1" applyAlignment="1">
      <alignment horizontal="right" vertical="center"/>
    </xf>
    <xf numFmtId="2" fontId="46" fillId="36" borderId="7" xfId="0" applyNumberFormat="1" applyFont="1" applyFill="1" applyBorder="1" applyAlignment="1">
      <alignment horizontal="center" vertical="center" wrapText="1"/>
    </xf>
    <xf numFmtId="2" fontId="47" fillId="36" borderId="7" xfId="0" applyNumberFormat="1" applyFont="1" applyFill="1" applyBorder="1" applyAlignment="1">
      <alignment horizontal="center" vertical="center" wrapText="1"/>
    </xf>
    <xf numFmtId="2" fontId="46" fillId="36" borderId="7" xfId="0" applyNumberFormat="1" applyFont="1" applyFill="1" applyBorder="1" applyAlignment="1">
      <alignment horizontal="center" vertical="center"/>
    </xf>
    <xf numFmtId="2" fontId="47" fillId="36" borderId="7" xfId="0" applyNumberFormat="1" applyFont="1" applyFill="1" applyBorder="1" applyAlignment="1">
      <alignment horizontal="center" vertical="center"/>
    </xf>
    <xf numFmtId="2" fontId="69" fillId="8" borderId="7" xfId="0" applyNumberFormat="1" applyFont="1" applyFill="1" applyBorder="1" applyAlignment="1">
      <alignment horizontal="center" vertical="center"/>
    </xf>
    <xf numFmtId="2" fontId="46" fillId="8" borderId="7" xfId="0" applyNumberFormat="1" applyFont="1" applyFill="1" applyBorder="1" applyAlignment="1">
      <alignment horizontal="center" vertical="center" wrapText="1"/>
    </xf>
    <xf numFmtId="2" fontId="46" fillId="0" borderId="6" xfId="0" applyNumberFormat="1" applyFont="1" applyBorder="1" applyAlignment="1">
      <alignment horizontal="center" vertical="center"/>
    </xf>
    <xf numFmtId="2" fontId="47" fillId="0" borderId="7" xfId="0" applyNumberFormat="1" applyFont="1" applyBorder="1" applyAlignment="1">
      <alignment horizontal="center" vertical="center"/>
    </xf>
    <xf numFmtId="2" fontId="69" fillId="8" borderId="17" xfId="2" applyNumberFormat="1" applyFont="1" applyFill="1" applyBorder="1" applyAlignment="1" applyProtection="1">
      <alignment horizontal="center" vertical="center" wrapText="1"/>
    </xf>
    <xf numFmtId="2" fontId="46" fillId="36" borderId="17" xfId="2" applyNumberFormat="1" applyFont="1" applyFill="1" applyBorder="1" applyAlignment="1">
      <alignment horizontal="right" vertical="center" wrapText="1"/>
    </xf>
    <xf numFmtId="2" fontId="46" fillId="7" borderId="17" xfId="2" applyNumberFormat="1" applyFont="1" applyFill="1" applyBorder="1" applyAlignment="1" applyProtection="1">
      <alignment horizontal="center" vertical="center" wrapText="1"/>
      <protection locked="0"/>
    </xf>
    <xf numFmtId="2" fontId="47" fillId="36" borderId="7" xfId="2" applyNumberFormat="1" applyFont="1" applyFill="1" applyBorder="1" applyAlignment="1">
      <alignment horizontal="center" vertical="center" wrapText="1"/>
    </xf>
    <xf numFmtId="2" fontId="47" fillId="36" borderId="7" xfId="2" applyNumberFormat="1" applyFont="1" applyFill="1" applyBorder="1" applyAlignment="1">
      <alignment horizontal="right"/>
    </xf>
    <xf numFmtId="2" fontId="46" fillId="0" borderId="7" xfId="0" applyNumberFormat="1" applyFont="1" applyBorder="1" applyAlignment="1" applyProtection="1">
      <alignment horizontal="center" vertical="center"/>
      <protection locked="0"/>
    </xf>
    <xf numFmtId="2" fontId="47" fillId="8" borderId="4" xfId="2" applyNumberFormat="1" applyFont="1" applyFill="1" applyBorder="1" applyAlignment="1">
      <alignment horizontal="center" vertical="center" wrapText="1"/>
    </xf>
    <xf numFmtId="2" fontId="47" fillId="36" borderId="4" xfId="2" applyNumberFormat="1" applyFont="1" applyFill="1" applyBorder="1" applyAlignment="1">
      <alignment horizontal="center" vertical="center"/>
    </xf>
    <xf numFmtId="2" fontId="69" fillId="8" borderId="7" xfId="2" applyNumberFormat="1" applyFont="1" applyFill="1" applyBorder="1" applyAlignment="1">
      <alignment horizontal="center" vertical="center"/>
    </xf>
    <xf numFmtId="2" fontId="46" fillId="23" borderId="7" xfId="2" applyNumberFormat="1" applyFont="1" applyFill="1" applyBorder="1" applyAlignment="1" applyProtection="1">
      <alignment horizontal="center" vertical="center"/>
      <protection locked="0"/>
    </xf>
    <xf numFmtId="2" fontId="47" fillId="36" borderId="7" xfId="2" applyNumberFormat="1" applyFont="1" applyFill="1" applyBorder="1"/>
    <xf numFmtId="2" fontId="44" fillId="8" borderId="7" xfId="2" applyNumberFormat="1" applyFont="1" applyFill="1" applyBorder="1" applyAlignment="1">
      <alignment horizontal="center" vertical="center"/>
    </xf>
    <xf numFmtId="2" fontId="47" fillId="36" borderId="7" xfId="2" applyNumberFormat="1" applyFont="1" applyFill="1" applyBorder="1" applyAlignment="1">
      <alignment horizontal="center" vertical="center"/>
    </xf>
    <xf numFmtId="2" fontId="47" fillId="0" borderId="7" xfId="2" applyNumberFormat="1" applyFont="1" applyBorder="1"/>
    <xf numFmtId="2" fontId="46" fillId="36" borderId="7" xfId="0" applyNumberFormat="1" applyFont="1" applyFill="1" applyBorder="1" applyAlignment="1">
      <alignment vertical="center"/>
    </xf>
    <xf numFmtId="2" fontId="46" fillId="36" borderId="7" xfId="0" applyNumberFormat="1" applyFont="1" applyFill="1" applyBorder="1"/>
    <xf numFmtId="2" fontId="52" fillId="4" borderId="5" xfId="2" applyNumberFormat="1" applyFont="1" applyFill="1" applyBorder="1" applyAlignment="1">
      <alignment vertical="center"/>
    </xf>
    <xf numFmtId="2" fontId="46" fillId="13" borderId="7" xfId="2" applyNumberFormat="1" applyFont="1" applyFill="1" applyBorder="1" applyAlignment="1" applyProtection="1">
      <alignment horizontal="center" vertical="center"/>
      <protection locked="0"/>
    </xf>
    <xf numFmtId="2" fontId="69" fillId="8" borderId="7" xfId="2" applyNumberFormat="1" applyFont="1" applyFill="1" applyBorder="1" applyAlignment="1">
      <alignment horizontal="right" vertical="center"/>
    </xf>
    <xf numFmtId="2" fontId="46" fillId="13" borderId="7" xfId="2" applyNumberFormat="1" applyFont="1" applyFill="1" applyBorder="1" applyAlignment="1" applyProtection="1">
      <alignment horizontal="right" vertical="center"/>
      <protection locked="0"/>
    </xf>
    <xf numFmtId="2" fontId="47" fillId="8" borderId="7" xfId="0" applyNumberFormat="1" applyFont="1" applyFill="1" applyBorder="1" applyAlignment="1">
      <alignment horizontal="center" vertical="center"/>
    </xf>
    <xf numFmtId="2" fontId="52" fillId="4" borderId="0" xfId="2" applyNumberFormat="1" applyFont="1" applyFill="1" applyBorder="1" applyAlignment="1">
      <alignment horizontal="center" vertical="center" wrapText="1"/>
    </xf>
    <xf numFmtId="2" fontId="45" fillId="36" borderId="7" xfId="2" applyNumberFormat="1" applyFont="1" applyFill="1" applyBorder="1" applyAlignment="1">
      <alignment horizontal="center" vertical="center" wrapText="1"/>
    </xf>
    <xf numFmtId="2" fontId="48" fillId="36" borderId="7" xfId="2" applyNumberFormat="1" applyFont="1" applyFill="1" applyBorder="1" applyAlignment="1">
      <alignment horizontal="center" vertical="center" wrapText="1"/>
    </xf>
    <xf numFmtId="2" fontId="47" fillId="8" borderId="7" xfId="7" applyNumberFormat="1" applyFont="1" applyFill="1" applyBorder="1" applyAlignment="1">
      <alignment horizontal="center" vertical="center"/>
    </xf>
    <xf numFmtId="2" fontId="46" fillId="7" borderId="7" xfId="0" applyNumberFormat="1" applyFont="1" applyFill="1" applyBorder="1" applyAlignment="1" applyProtection="1">
      <alignment horizontal="center" vertical="center"/>
      <protection locked="0"/>
    </xf>
    <xf numFmtId="2" fontId="46" fillId="7" borderId="7" xfId="0" quotePrefix="1" applyNumberFormat="1" applyFont="1" applyFill="1" applyBorder="1" applyAlignment="1" applyProtection="1">
      <alignment horizontal="center" vertical="center"/>
      <protection locked="0"/>
    </xf>
    <xf numFmtId="2" fontId="48" fillId="4" borderId="7" xfId="2" applyNumberFormat="1" applyFont="1" applyFill="1" applyBorder="1" applyAlignment="1">
      <alignment horizontal="center" vertical="center" wrapText="1"/>
    </xf>
    <xf numFmtId="2" fontId="47" fillId="8" borderId="7" xfId="2" applyNumberFormat="1" applyFont="1" applyFill="1" applyBorder="1" applyAlignment="1" applyProtection="1">
      <alignment horizontal="center" vertical="center"/>
    </xf>
    <xf numFmtId="2" fontId="45" fillId="36" borderId="7" xfId="2" applyNumberFormat="1" applyFont="1" applyFill="1" applyBorder="1" applyAlignment="1" applyProtection="1">
      <alignment horizontal="center" vertical="center"/>
    </xf>
    <xf numFmtId="2" fontId="46" fillId="36" borderId="7" xfId="0" applyNumberFormat="1" applyFont="1" applyFill="1" applyBorder="1" applyAlignment="1">
      <alignment horizontal="right" vertical="center" wrapText="1"/>
    </xf>
    <xf numFmtId="2" fontId="52" fillId="4" borderId="6" xfId="2" applyNumberFormat="1" applyFont="1" applyFill="1" applyBorder="1" applyAlignment="1">
      <alignment vertical="center"/>
    </xf>
    <xf numFmtId="2" fontId="48" fillId="36" borderId="7" xfId="2" applyNumberFormat="1" applyFont="1" applyFill="1" applyBorder="1" applyAlignment="1" applyProtection="1">
      <alignment horizontal="right" vertical="center"/>
    </xf>
    <xf numFmtId="2" fontId="44" fillId="8" borderId="7" xfId="0" applyNumberFormat="1" applyFont="1" applyFill="1" applyBorder="1" applyAlignment="1">
      <alignment horizontal="right" vertical="center" wrapText="1"/>
    </xf>
    <xf numFmtId="2" fontId="45" fillId="36" borderId="7" xfId="2" applyNumberFormat="1" applyFont="1" applyFill="1" applyBorder="1" applyAlignment="1" applyProtection="1">
      <alignment horizontal="right" vertical="center"/>
    </xf>
    <xf numFmtId="2" fontId="44" fillId="8" borderId="17" xfId="2" applyNumberFormat="1" applyFont="1" applyFill="1" applyBorder="1" applyAlignment="1">
      <alignment horizontal="right" vertical="center"/>
    </xf>
    <xf numFmtId="2" fontId="46" fillId="36" borderId="7" xfId="2" applyNumberFormat="1" applyFont="1" applyFill="1" applyBorder="1" applyAlignment="1">
      <alignment horizontal="right" vertical="center" wrapText="1"/>
    </xf>
    <xf numFmtId="2" fontId="44" fillId="8" borderId="7" xfId="2" applyNumberFormat="1" applyFont="1" applyFill="1" applyBorder="1" applyAlignment="1">
      <alignment horizontal="right" vertical="center"/>
    </xf>
    <xf numFmtId="2" fontId="47" fillId="36" borderId="7" xfId="2" applyNumberFormat="1" applyFont="1" applyFill="1" applyBorder="1" applyAlignment="1">
      <alignment horizontal="right" vertical="center"/>
    </xf>
    <xf numFmtId="171" fontId="69" fillId="8" borderId="17" xfId="2" applyNumberFormat="1" applyFont="1" applyFill="1" applyBorder="1" applyAlignment="1" applyProtection="1">
      <alignment horizontal="right" vertical="center" wrapText="1" indent="1"/>
    </xf>
    <xf numFmtId="171" fontId="69" fillId="8" borderId="17" xfId="2" applyNumberFormat="1" applyFont="1" applyFill="1" applyBorder="1" applyAlignment="1">
      <alignment horizontal="center" vertical="center"/>
    </xf>
    <xf numFmtId="171" fontId="69" fillId="8" borderId="7" xfId="2" applyNumberFormat="1" applyFont="1" applyFill="1" applyBorder="1" applyAlignment="1">
      <alignment horizontal="right" vertical="center"/>
    </xf>
    <xf numFmtId="171" fontId="47" fillId="8" borderId="7" xfId="7" applyNumberFormat="1" applyFont="1" applyFill="1" applyBorder="1" applyAlignment="1">
      <alignment horizontal="center" vertical="center"/>
    </xf>
    <xf numFmtId="1" fontId="46" fillId="36" borderId="7" xfId="0" applyNumberFormat="1" applyFont="1" applyFill="1" applyBorder="1" applyAlignment="1">
      <alignment horizontal="center" vertical="center" wrapText="1"/>
    </xf>
    <xf numFmtId="171" fontId="44" fillId="8" borderId="17" xfId="2" applyNumberFormat="1" applyFont="1" applyFill="1" applyBorder="1" applyAlignment="1">
      <alignment horizontal="right" vertical="center" wrapText="1"/>
    </xf>
    <xf numFmtId="171" fontId="44" fillId="8" borderId="7" xfId="2" applyNumberFormat="1" applyFont="1" applyFill="1" applyBorder="1" applyAlignment="1">
      <alignment horizontal="right" vertical="center" wrapText="1"/>
    </xf>
    <xf numFmtId="17" fontId="46" fillId="0" borderId="7" xfId="0" applyNumberFormat="1" applyFont="1" applyBorder="1"/>
    <xf numFmtId="2" fontId="48" fillId="0" borderId="6" xfId="0" applyNumberFormat="1" applyFont="1" applyBorder="1" applyAlignment="1">
      <alignment horizontal="center" vertical="center" wrapText="1"/>
    </xf>
    <xf numFmtId="2" fontId="48" fillId="0" borderId="7" xfId="0" applyNumberFormat="1" applyFont="1" applyBorder="1" applyAlignment="1">
      <alignment horizontal="center" vertical="center" wrapText="1"/>
    </xf>
    <xf numFmtId="2" fontId="46" fillId="0" borderId="7" xfId="0" applyNumberFormat="1" applyFont="1" applyBorder="1" applyAlignment="1">
      <alignment horizontal="center"/>
    </xf>
    <xf numFmtId="10" fontId="48" fillId="8" borderId="7" xfId="5" applyNumberFormat="1" applyFont="1" applyFill="1" applyBorder="1" applyAlignment="1" applyProtection="1">
      <alignment horizontal="center" vertical="center"/>
    </xf>
    <xf numFmtId="10" fontId="48" fillId="0" borderId="7" xfId="5" applyNumberFormat="1" applyFont="1" applyFill="1" applyBorder="1" applyAlignment="1" applyProtection="1">
      <alignment horizontal="center" vertical="center"/>
    </xf>
    <xf numFmtId="177" fontId="48" fillId="0" borderId="7" xfId="0" applyNumberFormat="1" applyFont="1" applyBorder="1" applyAlignment="1">
      <alignment horizontal="center" vertical="center"/>
    </xf>
    <xf numFmtId="2" fontId="48" fillId="0" borderId="7" xfId="2" applyNumberFormat="1" applyFont="1" applyFill="1" applyBorder="1" applyAlignment="1" applyProtection="1">
      <alignment horizontal="center" vertical="center"/>
    </xf>
    <xf numFmtId="167" fontId="46" fillId="9" borderId="7" xfId="2" applyNumberFormat="1" applyFont="1" applyFill="1" applyBorder="1" applyAlignment="1">
      <alignment horizontal="center" vertical="center"/>
    </xf>
    <xf numFmtId="11" fontId="46" fillId="36" borderId="7" xfId="0" applyNumberFormat="1" applyFont="1" applyFill="1" applyBorder="1" applyAlignment="1">
      <alignment horizontal="center" vertical="center" wrapText="1"/>
    </xf>
    <xf numFmtId="11" fontId="46" fillId="36" borderId="7" xfId="0" applyNumberFormat="1" applyFont="1" applyFill="1" applyBorder="1" applyAlignment="1">
      <alignment horizontal="center" vertical="center"/>
    </xf>
    <xf numFmtId="11" fontId="69" fillId="8" borderId="7" xfId="0" applyNumberFormat="1" applyFont="1" applyFill="1" applyBorder="1" applyAlignment="1">
      <alignment horizontal="center" vertical="center" wrapText="1"/>
    </xf>
    <xf numFmtId="167" fontId="46" fillId="8" borderId="7" xfId="2" applyNumberFormat="1" applyFont="1" applyFill="1" applyBorder="1" applyAlignment="1">
      <alignment horizontal="center" vertical="center"/>
    </xf>
    <xf numFmtId="11" fontId="69" fillId="8" borderId="7" xfId="0" applyNumberFormat="1" applyFont="1" applyFill="1" applyBorder="1" applyAlignment="1">
      <alignment horizontal="center" vertical="center"/>
    </xf>
    <xf numFmtId="11" fontId="46" fillId="36" borderId="15" xfId="0" applyNumberFormat="1" applyFont="1" applyFill="1" applyBorder="1" applyAlignment="1">
      <alignment horizontal="center" vertical="center"/>
    </xf>
    <xf numFmtId="11" fontId="46" fillId="8" borderId="7" xfId="0" applyNumberFormat="1" applyFont="1" applyFill="1" applyBorder="1" applyAlignment="1">
      <alignment horizontal="center" vertical="center"/>
    </xf>
    <xf numFmtId="176" fontId="48" fillId="13" borderId="7" xfId="0" applyNumberFormat="1" applyFont="1" applyFill="1" applyBorder="1" applyAlignment="1">
      <alignment horizontal="right" vertical="center" wrapText="1"/>
    </xf>
    <xf numFmtId="2" fontId="46" fillId="13" borderId="7" xfId="0" applyNumberFormat="1" applyFont="1" applyFill="1" applyBorder="1" applyAlignment="1" applyProtection="1">
      <alignment horizontal="center" vertical="center"/>
      <protection locked="0"/>
    </xf>
    <xf numFmtId="0" fontId="48" fillId="0" borderId="17" xfId="0" applyFont="1" applyBorder="1" applyAlignment="1">
      <alignment horizontal="center" vertical="center"/>
    </xf>
    <xf numFmtId="180" fontId="48" fillId="0" borderId="7" xfId="0" applyNumberFormat="1" applyFont="1" applyBorder="1" applyAlignment="1">
      <alignment horizontal="left" vertical="center"/>
    </xf>
    <xf numFmtId="2" fontId="48" fillId="0" borderId="7" xfId="0" applyNumberFormat="1" applyFont="1" applyBorder="1" applyAlignment="1">
      <alignment horizontal="center" vertical="center"/>
    </xf>
    <xf numFmtId="0" fontId="69" fillId="0" borderId="7" xfId="0" applyFont="1" applyBorder="1" applyAlignment="1">
      <alignment horizontal="left" wrapText="1" indent="1"/>
    </xf>
    <xf numFmtId="0" fontId="46" fillId="0" borderId="7" xfId="0" applyFont="1" applyBorder="1" applyAlignment="1">
      <alignment wrapText="1"/>
    </xf>
    <xf numFmtId="2" fontId="46" fillId="0" borderId="7" xfId="0" applyNumberFormat="1" applyFont="1" applyBorder="1" applyAlignment="1">
      <alignment wrapText="1"/>
    </xf>
    <xf numFmtId="0" fontId="48" fillId="0" borderId="7" xfId="0" applyFont="1" applyBorder="1" applyAlignment="1">
      <alignment wrapText="1"/>
    </xf>
    <xf numFmtId="3" fontId="48" fillId="0" borderId="4" xfId="0" applyNumberFormat="1" applyFont="1" applyBorder="1" applyAlignment="1">
      <alignment horizontal="center" vertical="center" wrapText="1"/>
    </xf>
    <xf numFmtId="3" fontId="48" fillId="12" borderId="7" xfId="0" applyNumberFormat="1" applyFont="1" applyFill="1" applyBorder="1" applyAlignment="1">
      <alignment horizontal="center" vertical="center" wrapText="1"/>
    </xf>
    <xf numFmtId="41" fontId="69" fillId="8" borderId="7" xfId="2" applyNumberFormat="1" applyFont="1" applyFill="1" applyBorder="1" applyAlignment="1">
      <alignment horizontal="center" vertical="center"/>
    </xf>
    <xf numFmtId="0" fontId="52" fillId="10" borderId="4" xfId="0" applyFont="1" applyFill="1" applyBorder="1" applyAlignment="1">
      <alignment horizontal="left" vertical="center" wrapText="1"/>
    </xf>
    <xf numFmtId="0" fontId="52" fillId="10" borderId="5" xfId="0" applyFont="1" applyFill="1" applyBorder="1" applyAlignment="1">
      <alignment horizontal="left" vertical="center" wrapText="1"/>
    </xf>
    <xf numFmtId="2" fontId="52" fillId="4" borderId="4" xfId="2" applyNumberFormat="1" applyFont="1" applyFill="1" applyBorder="1" applyAlignment="1">
      <alignment horizontal="center" vertical="center"/>
    </xf>
    <xf numFmtId="2" fontId="52" fillId="4" borderId="5" xfId="2" applyNumberFormat="1" applyFont="1" applyFill="1" applyBorder="1" applyAlignment="1">
      <alignment horizontal="center" vertical="center"/>
    </xf>
    <xf numFmtId="2" fontId="52" fillId="4" borderId="6" xfId="2" applyNumberFormat="1" applyFont="1" applyFill="1" applyBorder="1" applyAlignment="1">
      <alignment horizontal="center" vertical="center"/>
    </xf>
    <xf numFmtId="0" fontId="48" fillId="22" borderId="0" xfId="0" applyFont="1" applyFill="1" applyAlignment="1">
      <alignment horizontal="left" vertical="top" wrapText="1"/>
    </xf>
    <xf numFmtId="0" fontId="48" fillId="22" borderId="0" xfId="0" quotePrefix="1" applyFont="1" applyFill="1" applyAlignment="1">
      <alignment horizontal="left" vertical="top" wrapText="1"/>
    </xf>
    <xf numFmtId="0" fontId="76" fillId="0" borderId="0" xfId="0" applyFont="1" applyAlignment="1">
      <alignment horizontal="center"/>
    </xf>
    <xf numFmtId="0" fontId="52" fillId="10" borderId="4" xfId="0" applyFont="1" applyFill="1" applyBorder="1" applyAlignment="1">
      <alignment horizontal="center" vertical="center"/>
    </xf>
    <xf numFmtId="0" fontId="52" fillId="10" borderId="5" xfId="0" applyFont="1" applyFill="1" applyBorder="1" applyAlignment="1">
      <alignment horizontal="center" vertical="center"/>
    </xf>
    <xf numFmtId="0" fontId="52" fillId="10" borderId="6" xfId="0" applyFont="1" applyFill="1" applyBorder="1" applyAlignment="1">
      <alignment horizontal="center" vertical="center"/>
    </xf>
    <xf numFmtId="0" fontId="52" fillId="10" borderId="6" xfId="0" applyFont="1" applyFill="1" applyBorder="1" applyAlignment="1">
      <alignment horizontal="left" vertical="center" wrapText="1"/>
    </xf>
    <xf numFmtId="0" fontId="78" fillId="13" borderId="0" xfId="0" applyFont="1" applyFill="1" applyAlignment="1">
      <alignment horizontal="left" vertical="top" wrapText="1"/>
    </xf>
    <xf numFmtId="0" fontId="89" fillId="13" borderId="0" xfId="0" applyFont="1" applyFill="1" applyAlignment="1">
      <alignment horizontal="left" vertical="top" wrapText="1"/>
    </xf>
    <xf numFmtId="0" fontId="78" fillId="0" borderId="0" xfId="0" applyFont="1" applyAlignment="1">
      <alignment horizontal="center" vertical="center" wrapText="1"/>
    </xf>
    <xf numFmtId="0" fontId="78" fillId="22" borderId="0" xfId="0" applyFont="1" applyFill="1" applyAlignment="1">
      <alignment horizontal="left" vertical="top" wrapText="1"/>
    </xf>
    <xf numFmtId="0" fontId="78" fillId="22" borderId="0" xfId="0" applyFont="1" applyFill="1" applyAlignment="1">
      <alignment horizontal="left" vertical="center" wrapText="1"/>
    </xf>
    <xf numFmtId="0" fontId="78" fillId="22" borderId="0" xfId="0" applyFont="1" applyFill="1" applyAlignment="1">
      <alignment horizontal="left" wrapText="1"/>
    </xf>
    <xf numFmtId="0" fontId="80" fillId="22" borderId="0" xfId="0" applyFont="1" applyFill="1" applyAlignment="1">
      <alignment horizontal="left" vertical="top" wrapText="1"/>
    </xf>
    <xf numFmtId="0" fontId="80" fillId="22" borderId="0" xfId="0" applyFont="1" applyFill="1" applyAlignment="1">
      <alignment horizontal="left" vertical="center" wrapText="1"/>
    </xf>
    <xf numFmtId="0" fontId="33" fillId="0" borderId="0" xfId="0" applyFont="1" applyAlignment="1">
      <alignment horizontal="center" vertical="center"/>
    </xf>
    <xf numFmtId="0" fontId="78" fillId="0" borderId="0" xfId="0" applyFont="1" applyAlignment="1">
      <alignment horizontal="left" vertical="center" wrapText="1"/>
    </xf>
    <xf numFmtId="0" fontId="78" fillId="0" borderId="0" xfId="0" applyFont="1" applyAlignment="1">
      <alignment horizontal="left" vertical="center" wrapText="1" indent="5"/>
    </xf>
    <xf numFmtId="0" fontId="89" fillId="22" borderId="0" xfId="0" applyFont="1" applyFill="1" applyAlignment="1">
      <alignment vertical="center" wrapText="1"/>
    </xf>
    <xf numFmtId="0" fontId="89" fillId="22" borderId="0" xfId="0" applyFont="1" applyFill="1" applyAlignment="1">
      <alignment vertical="top" wrapText="1"/>
    </xf>
    <xf numFmtId="0" fontId="46" fillId="22" borderId="0" xfId="0" applyFont="1" applyFill="1" applyAlignment="1">
      <alignment horizontal="left" vertical="center" wrapText="1"/>
    </xf>
    <xf numFmtId="0" fontId="48" fillId="22" borderId="0" xfId="0" quotePrefix="1" applyFont="1" applyFill="1" applyAlignment="1">
      <alignment horizontal="left" vertical="center" wrapText="1"/>
    </xf>
    <xf numFmtId="0" fontId="33" fillId="0" borderId="0" xfId="0" applyFont="1" applyAlignment="1">
      <alignment horizontal="center"/>
    </xf>
    <xf numFmtId="0" fontId="46" fillId="7" borderId="1" xfId="0" applyFont="1" applyFill="1" applyBorder="1" applyAlignment="1" applyProtection="1">
      <alignment horizontal="center" vertical="center"/>
      <protection locked="0"/>
    </xf>
    <xf numFmtId="0" fontId="46" fillId="7" borderId="2" xfId="0" applyFont="1" applyFill="1" applyBorder="1" applyAlignment="1" applyProtection="1">
      <alignment horizontal="center" vertical="center"/>
      <protection locked="0"/>
    </xf>
    <xf numFmtId="0" fontId="46" fillId="7" borderId="3" xfId="0" applyFont="1" applyFill="1" applyBorder="1" applyAlignment="1" applyProtection="1">
      <alignment horizontal="center" vertical="center"/>
      <protection locked="0"/>
    </xf>
    <xf numFmtId="0" fontId="46" fillId="22" borderId="14" xfId="0" applyFont="1" applyFill="1" applyBorder="1" applyAlignment="1">
      <alignment horizontal="center" vertical="center" wrapText="1"/>
    </xf>
    <xf numFmtId="0" fontId="46" fillId="22" borderId="18" xfId="0" applyFont="1" applyFill="1" applyBorder="1" applyAlignment="1">
      <alignment horizontal="center" vertical="center" wrapText="1"/>
    </xf>
    <xf numFmtId="0" fontId="46" fillId="22" borderId="16" xfId="0" applyFont="1" applyFill="1" applyBorder="1" applyAlignment="1">
      <alignment horizontal="center" vertical="center" wrapText="1"/>
    </xf>
    <xf numFmtId="0" fontId="46" fillId="22" borderId="9" xfId="0" applyFont="1" applyFill="1" applyBorder="1" applyAlignment="1">
      <alignment horizontal="center" vertical="center" wrapText="1"/>
    </xf>
    <xf numFmtId="0" fontId="46" fillId="22" borderId="0" xfId="0" applyFont="1" applyFill="1" applyAlignment="1">
      <alignment horizontal="center" vertical="center" wrapText="1"/>
    </xf>
    <xf numFmtId="0" fontId="46" fillId="22" borderId="10" xfId="0" applyFont="1" applyFill="1" applyBorder="1" applyAlignment="1">
      <alignment horizontal="center" vertical="center" wrapText="1"/>
    </xf>
    <xf numFmtId="0" fontId="46" fillId="22" borderId="11" xfId="0" applyFont="1" applyFill="1" applyBorder="1" applyAlignment="1">
      <alignment horizontal="center" vertical="center" wrapText="1"/>
    </xf>
    <xf numFmtId="0" fontId="46" fillId="22" borderId="12" xfId="0" applyFont="1" applyFill="1" applyBorder="1" applyAlignment="1">
      <alignment horizontal="center" vertical="center" wrapText="1"/>
    </xf>
    <xf numFmtId="0" fontId="46" fillId="22" borderId="13" xfId="0" applyFont="1" applyFill="1" applyBorder="1" applyAlignment="1">
      <alignment horizontal="center" vertical="center" wrapText="1"/>
    </xf>
    <xf numFmtId="0" fontId="48" fillId="22" borderId="0" xfId="0" quotePrefix="1" applyFont="1" applyFill="1" applyAlignment="1">
      <alignment horizontal="left" wrapText="1"/>
    </xf>
    <xf numFmtId="0" fontId="48" fillId="22" borderId="4" xfId="0" quotePrefix="1" applyFont="1" applyFill="1" applyBorder="1" applyAlignment="1">
      <alignment horizontal="left" vertical="center" wrapText="1"/>
    </xf>
    <xf numFmtId="0" fontId="48" fillId="22" borderId="5" xfId="0" quotePrefix="1" applyFont="1" applyFill="1" applyBorder="1" applyAlignment="1">
      <alignment horizontal="left" vertical="center" wrapText="1"/>
    </xf>
    <xf numFmtId="0" fontId="48" fillId="22" borderId="6" xfId="0" quotePrefix="1" applyFont="1" applyFill="1" applyBorder="1" applyAlignment="1">
      <alignment horizontal="left" vertical="center" wrapText="1"/>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0" fontId="45" fillId="5" borderId="15" xfId="0" applyFont="1" applyFill="1" applyBorder="1" applyAlignment="1">
      <alignment horizontal="center" vertical="center" wrapText="1"/>
    </xf>
    <xf numFmtId="0" fontId="45" fillId="5" borderId="19" xfId="0" applyFont="1" applyFill="1" applyBorder="1" applyAlignment="1">
      <alignment horizontal="center" vertical="center" wrapText="1"/>
    </xf>
    <xf numFmtId="0" fontId="48" fillId="22" borderId="4" xfId="0" quotePrefix="1" applyFont="1" applyFill="1" applyBorder="1" applyAlignment="1">
      <alignment horizontal="left" vertical="top" wrapText="1"/>
    </xf>
    <xf numFmtId="0" fontId="48" fillId="22" borderId="6" xfId="0" quotePrefix="1" applyFont="1" applyFill="1" applyBorder="1" applyAlignment="1">
      <alignment horizontal="left" vertical="top" wrapText="1"/>
    </xf>
    <xf numFmtId="0" fontId="45" fillId="7" borderId="4" xfId="6" applyFont="1" applyFill="1" applyBorder="1" applyAlignment="1">
      <alignment horizontal="center" vertical="center"/>
      <protection locked="0"/>
    </xf>
    <xf numFmtId="0" fontId="45" fillId="7" borderId="5" xfId="6" applyFont="1" applyFill="1" applyBorder="1" applyAlignment="1">
      <alignment horizontal="center" vertical="center"/>
      <protection locked="0"/>
    </xf>
    <xf numFmtId="0" fontId="45" fillId="7" borderId="6" xfId="6" applyFont="1" applyFill="1" applyBorder="1" applyAlignment="1">
      <alignment horizontal="center" vertical="center"/>
      <protection locked="0"/>
    </xf>
    <xf numFmtId="0" fontId="46" fillId="23" borderId="4" xfId="0" applyFont="1" applyFill="1" applyBorder="1" applyAlignment="1" applyProtection="1">
      <alignment horizontal="center" vertical="center"/>
      <protection locked="0"/>
    </xf>
    <xf numFmtId="0" fontId="46" fillId="23" borderId="5" xfId="0" applyFont="1" applyFill="1" applyBorder="1" applyAlignment="1" applyProtection="1">
      <alignment horizontal="center" vertical="center"/>
      <protection locked="0"/>
    </xf>
    <xf numFmtId="0" fontId="46" fillId="23" borderId="6" xfId="0" applyFont="1" applyFill="1" applyBorder="1" applyAlignment="1" applyProtection="1">
      <alignment horizontal="center" vertical="center"/>
      <protection locked="0"/>
    </xf>
    <xf numFmtId="0" fontId="52" fillId="10" borderId="12" xfId="0" applyFont="1" applyFill="1" applyBorder="1" applyAlignment="1">
      <alignment horizontal="center" vertical="center"/>
    </xf>
    <xf numFmtId="0" fontId="45" fillId="5" borderId="17" xfId="0" applyFont="1" applyFill="1" applyBorder="1" applyAlignment="1">
      <alignment horizontal="center" vertical="center" wrapText="1"/>
    </xf>
    <xf numFmtId="0" fontId="47" fillId="5" borderId="15" xfId="0" applyFont="1" applyFill="1" applyBorder="1" applyAlignment="1">
      <alignment horizontal="center" vertical="center" wrapText="1"/>
    </xf>
    <xf numFmtId="0" fontId="47" fillId="5" borderId="19" xfId="0" applyFont="1" applyFill="1" applyBorder="1" applyAlignment="1">
      <alignment horizontal="center" vertical="center" wrapText="1"/>
    </xf>
    <xf numFmtId="0" fontId="47" fillId="5" borderId="17" xfId="0" applyFont="1" applyFill="1" applyBorder="1" applyAlignment="1">
      <alignment horizontal="center" vertical="center" wrapText="1"/>
    </xf>
    <xf numFmtId="0" fontId="47" fillId="0" borderId="0" xfId="0" applyFont="1" applyAlignment="1">
      <alignment horizontal="center"/>
    </xf>
    <xf numFmtId="0" fontId="52" fillId="4" borderId="4" xfId="0" applyFont="1" applyFill="1" applyBorder="1" applyAlignment="1">
      <alignment horizontal="center" vertical="center"/>
    </xf>
    <xf numFmtId="0" fontId="52" fillId="4" borderId="6" xfId="0" applyFont="1" applyFill="1" applyBorder="1" applyAlignment="1">
      <alignment horizontal="center" vertical="center"/>
    </xf>
    <xf numFmtId="0" fontId="45" fillId="0" borderId="0" xfId="0" applyFont="1" applyAlignment="1">
      <alignment horizontal="center" vertical="center" wrapText="1"/>
    </xf>
    <xf numFmtId="0" fontId="110" fillId="0" borderId="0" xfId="0" applyFont="1" applyAlignment="1">
      <alignment vertical="distributed" wrapText="1"/>
    </xf>
    <xf numFmtId="0" fontId="52" fillId="4" borderId="15" xfId="0" applyFont="1" applyFill="1" applyBorder="1" applyAlignment="1">
      <alignment horizontal="center" vertical="center" wrapText="1"/>
    </xf>
    <xf numFmtId="0" fontId="52" fillId="4" borderId="19" xfId="0" applyFont="1" applyFill="1" applyBorder="1" applyAlignment="1">
      <alignment horizontal="center" vertical="center" wrapText="1"/>
    </xf>
    <xf numFmtId="0" fontId="52" fillId="4" borderId="17" xfId="0" applyFont="1" applyFill="1" applyBorder="1" applyAlignment="1">
      <alignment horizontal="center" vertical="center" wrapText="1"/>
    </xf>
    <xf numFmtId="0" fontId="52" fillId="4" borderId="15" xfId="0" applyFont="1" applyFill="1" applyBorder="1" applyAlignment="1">
      <alignment horizontal="center" vertical="center"/>
    </xf>
    <xf numFmtId="0" fontId="52" fillId="4" borderId="19" xfId="0" applyFont="1" applyFill="1" applyBorder="1" applyAlignment="1">
      <alignment horizontal="center" vertical="center"/>
    </xf>
    <xf numFmtId="0" fontId="52" fillId="4" borderId="17" xfId="0" applyFont="1" applyFill="1" applyBorder="1" applyAlignment="1">
      <alignment horizontal="center" vertical="center"/>
    </xf>
    <xf numFmtId="0" fontId="72" fillId="10" borderId="4" xfId="0" applyFont="1" applyFill="1" applyBorder="1" applyAlignment="1">
      <alignment horizontal="left" vertical="center"/>
    </xf>
    <xf numFmtId="0" fontId="72" fillId="10" borderId="5" xfId="0" applyFont="1" applyFill="1" applyBorder="1" applyAlignment="1">
      <alignment horizontal="left" vertical="center"/>
    </xf>
    <xf numFmtId="0" fontId="72" fillId="10" borderId="6" xfId="0" applyFont="1" applyFill="1" applyBorder="1" applyAlignment="1">
      <alignment horizontal="left" vertical="center"/>
    </xf>
    <xf numFmtId="0" fontId="52" fillId="4" borderId="18" xfId="0" applyFont="1" applyFill="1" applyBorder="1" applyAlignment="1">
      <alignment horizontal="left"/>
    </xf>
    <xf numFmtId="0" fontId="111" fillId="10" borderId="7" xfId="0" applyFont="1" applyFill="1" applyBorder="1" applyAlignment="1">
      <alignment horizontal="left" vertical="center"/>
    </xf>
    <xf numFmtId="0" fontId="52" fillId="10" borderId="12" xfId="0" applyFont="1" applyFill="1" applyBorder="1" applyAlignment="1">
      <alignment horizontal="center"/>
    </xf>
    <xf numFmtId="0" fontId="45" fillId="5" borderId="14" xfId="0" applyFont="1" applyFill="1" applyBorder="1" applyAlignment="1">
      <alignment horizontal="center" vertical="center" wrapText="1"/>
    </xf>
    <xf numFmtId="0" fontId="45" fillId="5" borderId="18" xfId="0" applyFont="1" applyFill="1" applyBorder="1" applyAlignment="1">
      <alignment horizontal="center" vertical="center" wrapText="1"/>
    </xf>
    <xf numFmtId="0" fontId="45" fillId="5" borderId="16" xfId="0" applyFont="1" applyFill="1" applyBorder="1" applyAlignment="1">
      <alignment horizontal="center" vertical="center" wrapText="1"/>
    </xf>
    <xf numFmtId="0" fontId="45" fillId="5" borderId="11" xfId="0" applyFont="1" applyFill="1" applyBorder="1" applyAlignment="1">
      <alignment horizontal="center" vertical="center" wrapText="1"/>
    </xf>
    <xf numFmtId="0" fontId="45" fillId="5" borderId="12" xfId="0" applyFont="1" applyFill="1" applyBorder="1" applyAlignment="1">
      <alignment horizontal="center" vertical="center" wrapText="1"/>
    </xf>
    <xf numFmtId="0" fontId="45" fillId="5" borderId="13" xfId="0" applyFont="1" applyFill="1" applyBorder="1" applyAlignment="1">
      <alignment horizontal="center" vertical="center" wrapText="1"/>
    </xf>
    <xf numFmtId="181" fontId="52" fillId="4" borderId="5" xfId="2" applyNumberFormat="1" applyFont="1" applyFill="1" applyBorder="1" applyAlignment="1">
      <alignment horizontal="left" vertical="center" wrapText="1"/>
    </xf>
    <xf numFmtId="181" fontId="52" fillId="4" borderId="6" xfId="2" applyNumberFormat="1" applyFont="1" applyFill="1" applyBorder="1" applyAlignment="1">
      <alignment horizontal="left" vertical="center" wrapText="1"/>
    </xf>
    <xf numFmtId="0" fontId="52" fillId="13" borderId="0" xfId="0" applyFont="1" applyFill="1" applyAlignment="1">
      <alignment horizontal="center" vertical="center"/>
    </xf>
    <xf numFmtId="0" fontId="52" fillId="10" borderId="7" xfId="0" applyFont="1" applyFill="1" applyBorder="1" applyAlignment="1">
      <alignment horizontal="left" vertical="center"/>
    </xf>
    <xf numFmtId="0" fontId="18" fillId="0" borderId="0" xfId="0" applyFont="1" applyAlignment="1">
      <alignment horizontal="center"/>
    </xf>
    <xf numFmtId="0" fontId="46" fillId="13" borderId="0" xfId="0" applyFont="1" applyFill="1" applyAlignment="1">
      <alignment horizontal="left" vertical="top" wrapText="1"/>
    </xf>
    <xf numFmtId="0" fontId="76" fillId="13" borderId="0" xfId="0" applyFont="1" applyFill="1" applyAlignment="1">
      <alignment horizontal="left" vertical="top" wrapText="1"/>
    </xf>
    <xf numFmtId="0" fontId="48" fillId="22" borderId="0" xfId="0" applyFont="1" applyFill="1" applyAlignment="1">
      <alignment horizontal="left" vertical="top" wrapText="1" indent="5"/>
    </xf>
    <xf numFmtId="0" fontId="2" fillId="0" borderId="7" xfId="0" applyFont="1" applyBorder="1" applyAlignment="1">
      <alignment horizontal="center" vertical="center" wrapText="1"/>
    </xf>
    <xf numFmtId="0" fontId="11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center" vertical="center" wrapText="1"/>
    </xf>
    <xf numFmtId="0" fontId="8" fillId="5" borderId="15"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112" fillId="0" borderId="15" xfId="0" applyFont="1" applyBorder="1" applyAlignment="1">
      <alignment horizontal="center" vertical="center" wrapText="1"/>
    </xf>
    <xf numFmtId="0" fontId="19" fillId="10" borderId="4"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6" xfId="0" applyFont="1" applyFill="1" applyBorder="1" applyAlignment="1">
      <alignment horizontal="center" vertical="center"/>
    </xf>
    <xf numFmtId="0" fontId="19" fillId="10" borderId="26" xfId="0" applyFont="1" applyFill="1" applyBorder="1" applyAlignment="1">
      <alignment horizontal="center" vertical="center"/>
    </xf>
    <xf numFmtId="0" fontId="19" fillId="10" borderId="28" xfId="0" applyFont="1" applyFill="1" applyBorder="1" applyAlignment="1">
      <alignment horizontal="center" vertical="center"/>
    </xf>
    <xf numFmtId="0" fontId="19" fillId="10" borderId="30" xfId="0" applyFont="1" applyFill="1" applyBorder="1" applyAlignment="1">
      <alignment horizontal="center" vertical="center"/>
    </xf>
    <xf numFmtId="0" fontId="19" fillId="10" borderId="34" xfId="0" applyFont="1" applyFill="1" applyBorder="1" applyAlignment="1">
      <alignment horizontal="center" vertical="center"/>
    </xf>
    <xf numFmtId="0" fontId="19" fillId="10" borderId="55" xfId="0" applyFont="1" applyFill="1" applyBorder="1" applyAlignment="1">
      <alignment horizontal="center" vertical="center"/>
    </xf>
    <xf numFmtId="0" fontId="19" fillId="10" borderId="56" xfId="0" applyFont="1" applyFill="1" applyBorder="1" applyAlignment="1">
      <alignment horizontal="center" vertical="center"/>
    </xf>
    <xf numFmtId="0" fontId="19" fillId="10" borderId="20" xfId="0" applyFont="1" applyFill="1" applyBorder="1" applyAlignment="1">
      <alignment horizontal="center" vertical="center"/>
    </xf>
    <xf numFmtId="0" fontId="19" fillId="10" borderId="21" xfId="0" applyFont="1" applyFill="1" applyBorder="1" applyAlignment="1">
      <alignment horizontal="center" vertical="center"/>
    </xf>
    <xf numFmtId="0" fontId="19" fillId="10" borderId="22" xfId="0" applyFont="1" applyFill="1" applyBorder="1" applyAlignment="1">
      <alignment horizontal="center" vertical="center"/>
    </xf>
    <xf numFmtId="0" fontId="19" fillId="10" borderId="26" xfId="0" applyFont="1" applyFill="1" applyBorder="1" applyAlignment="1">
      <alignment horizontal="center" vertical="center" wrapText="1"/>
    </xf>
    <xf numFmtId="0" fontId="19" fillId="10" borderId="28" xfId="0" applyFont="1" applyFill="1" applyBorder="1" applyAlignment="1">
      <alignment horizontal="center" vertical="center" wrapText="1"/>
    </xf>
    <xf numFmtId="0" fontId="19" fillId="10" borderId="30" xfId="0" applyFont="1" applyFill="1" applyBorder="1" applyAlignment="1">
      <alignment horizontal="center" vertical="center" wrapText="1"/>
    </xf>
    <xf numFmtId="0" fontId="47" fillId="5" borderId="7" xfId="0" applyFont="1" applyFill="1" applyBorder="1" applyAlignment="1">
      <alignment horizontal="center" vertical="center"/>
    </xf>
    <xf numFmtId="0" fontId="47" fillId="5" borderId="7" xfId="0" applyFont="1" applyFill="1" applyBorder="1" applyAlignment="1">
      <alignment horizontal="center" vertical="center" wrapText="1"/>
    </xf>
    <xf numFmtId="0" fontId="46" fillId="22" borderId="0" xfId="0" applyFont="1" applyFill="1" applyAlignment="1">
      <alignment vertical="center" wrapText="1"/>
    </xf>
    <xf numFmtId="0" fontId="45" fillId="5" borderId="15" xfId="0" applyFont="1" applyFill="1" applyBorder="1" applyAlignment="1">
      <alignment horizontal="center" vertical="center"/>
    </xf>
    <xf numFmtId="0" fontId="45" fillId="5" borderId="17" xfId="0" applyFont="1" applyFill="1" applyBorder="1" applyAlignment="1">
      <alignment horizontal="center" vertical="center"/>
    </xf>
    <xf numFmtId="0" fontId="46" fillId="22" borderId="0" xfId="0" applyFont="1" applyFill="1" applyAlignment="1">
      <alignment horizontal="left" vertical="top" wrapText="1"/>
    </xf>
    <xf numFmtId="0" fontId="45" fillId="0" borderId="9" xfId="0" applyFont="1" applyBorder="1" applyAlignment="1">
      <alignment horizontal="center" vertical="center"/>
    </xf>
    <xf numFmtId="0" fontId="45" fillId="5" borderId="4" xfId="0" applyFont="1" applyFill="1" applyBorder="1" applyAlignment="1">
      <alignment horizontal="center" vertical="center" wrapText="1"/>
    </xf>
    <xf numFmtId="0" fontId="48" fillId="13" borderId="0" xfId="0" applyFont="1" applyFill="1" applyAlignment="1">
      <alignment horizontal="left" vertical="top" wrapText="1"/>
    </xf>
    <xf numFmtId="0" fontId="47" fillId="5" borderId="14" xfId="0" applyFont="1" applyFill="1" applyBorder="1" applyAlignment="1">
      <alignment horizontal="center" vertical="center" wrapText="1"/>
    </xf>
    <xf numFmtId="0" fontId="47" fillId="5" borderId="16" xfId="0" applyFont="1" applyFill="1" applyBorder="1" applyAlignment="1">
      <alignment horizontal="center" vertical="center" wrapText="1"/>
    </xf>
    <xf numFmtId="0" fontId="47" fillId="5" borderId="9" xfId="0" applyFont="1" applyFill="1" applyBorder="1" applyAlignment="1">
      <alignment horizontal="center" vertical="center" wrapText="1"/>
    </xf>
    <xf numFmtId="0" fontId="47" fillId="5" borderId="10" xfId="0" applyFont="1" applyFill="1" applyBorder="1" applyAlignment="1">
      <alignment horizontal="center" vertical="center" wrapText="1"/>
    </xf>
    <xf numFmtId="0" fontId="47" fillId="5" borderId="11" xfId="0" applyFont="1" applyFill="1" applyBorder="1" applyAlignment="1">
      <alignment horizontal="center" vertical="center" wrapText="1"/>
    </xf>
    <xf numFmtId="0" fontId="47" fillId="5" borderId="13" xfId="0" applyFont="1" applyFill="1" applyBorder="1" applyAlignment="1">
      <alignment horizontal="center" vertical="center" wrapText="1"/>
    </xf>
    <xf numFmtId="0" fontId="47" fillId="5" borderId="15" xfId="0" applyFont="1" applyFill="1" applyBorder="1" applyAlignment="1">
      <alignment horizontal="center" vertical="center"/>
    </xf>
    <xf numFmtId="0" fontId="47" fillId="5" borderId="19" xfId="0" applyFont="1" applyFill="1" applyBorder="1" applyAlignment="1">
      <alignment horizontal="center" vertical="center"/>
    </xf>
    <xf numFmtId="0" fontId="47" fillId="5" borderId="17" xfId="0" applyFont="1" applyFill="1" applyBorder="1" applyAlignment="1">
      <alignment horizontal="center" vertical="center"/>
    </xf>
    <xf numFmtId="0" fontId="45" fillId="5" borderId="19" xfId="0" applyFont="1" applyFill="1" applyBorder="1" applyAlignment="1">
      <alignment horizontal="center" vertical="center"/>
    </xf>
    <xf numFmtId="0" fontId="8" fillId="5" borderId="17" xfId="0" applyFont="1" applyFill="1" applyBorder="1" applyAlignment="1">
      <alignment horizontal="center" vertical="center" wrapText="1"/>
    </xf>
    <xf numFmtId="0" fontId="8" fillId="5" borderId="15" xfId="0" applyFont="1" applyFill="1" applyBorder="1" applyAlignment="1">
      <alignment horizontal="center" vertical="center"/>
    </xf>
    <xf numFmtId="0" fontId="8" fillId="5" borderId="19" xfId="0" applyFont="1" applyFill="1" applyBorder="1" applyAlignment="1">
      <alignment horizontal="center" vertical="center"/>
    </xf>
    <xf numFmtId="0" fontId="8" fillId="5" borderId="17" xfId="0" applyFont="1" applyFill="1" applyBorder="1" applyAlignment="1">
      <alignment horizontal="center" vertical="center"/>
    </xf>
    <xf numFmtId="0" fontId="0" fillId="25" borderId="64" xfId="0" applyFill="1" applyBorder="1" applyAlignment="1">
      <alignment horizontal="center" vertical="top"/>
    </xf>
    <xf numFmtId="0" fontId="0" fillId="25" borderId="65" xfId="0" applyFill="1" applyBorder="1" applyAlignment="1">
      <alignment horizontal="center" vertical="top"/>
    </xf>
    <xf numFmtId="0" fontId="0" fillId="25" borderId="66" xfId="0" applyFill="1" applyBorder="1" applyAlignment="1">
      <alignment horizontal="center" vertical="top"/>
    </xf>
    <xf numFmtId="0" fontId="8" fillId="5" borderId="14"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25" fillId="17" borderId="73" xfId="0" applyFont="1" applyFill="1" applyBorder="1" applyAlignment="1">
      <alignment horizontal="center" vertical="center" wrapText="1" readingOrder="1"/>
    </xf>
    <xf numFmtId="0" fontId="25" fillId="17" borderId="74" xfId="0" applyFont="1" applyFill="1" applyBorder="1" applyAlignment="1">
      <alignment horizontal="center" vertical="center" wrapText="1" readingOrder="1"/>
    </xf>
    <xf numFmtId="0" fontId="2" fillId="5" borderId="7" xfId="0" applyFont="1" applyFill="1" applyBorder="1" applyAlignment="1">
      <alignment horizontal="center"/>
    </xf>
    <xf numFmtId="0" fontId="2" fillId="5" borderId="4" xfId="0" applyFont="1" applyFill="1" applyBorder="1" applyAlignment="1">
      <alignment horizontal="center"/>
    </xf>
    <xf numFmtId="0" fontId="0" fillId="5" borderId="7" xfId="0" applyFill="1" applyBorder="1" applyAlignment="1">
      <alignment horizontal="center"/>
    </xf>
    <xf numFmtId="0" fontId="8" fillId="5" borderId="7" xfId="0" applyFont="1" applyFill="1" applyBorder="1" applyAlignment="1">
      <alignment horizontal="center" vertical="top" wrapText="1"/>
    </xf>
    <xf numFmtId="0" fontId="2" fillId="5" borderId="15" xfId="0" applyFont="1" applyFill="1" applyBorder="1" applyAlignment="1">
      <alignment horizontal="center" vertical="top"/>
    </xf>
    <xf numFmtId="0" fontId="2" fillId="5" borderId="19" xfId="0" applyFont="1" applyFill="1" applyBorder="1" applyAlignment="1">
      <alignment horizontal="center" vertical="top"/>
    </xf>
    <xf numFmtId="0" fontId="2" fillId="5" borderId="17" xfId="0" applyFont="1" applyFill="1" applyBorder="1" applyAlignment="1">
      <alignment horizontal="center" vertical="top"/>
    </xf>
    <xf numFmtId="0" fontId="46" fillId="0" borderId="0" xfId="0" applyFont="1" applyAlignment="1">
      <alignment horizontal="left" vertical="center" wrapText="1"/>
    </xf>
    <xf numFmtId="0" fontId="47" fillId="5" borderId="4" xfId="0" applyFont="1" applyFill="1" applyBorder="1" applyAlignment="1">
      <alignment horizontal="center" vertical="center" wrapText="1"/>
    </xf>
    <xf numFmtId="0" fontId="47" fillId="5" borderId="5"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9" fillId="10" borderId="4" xfId="0" applyFont="1" applyFill="1" applyBorder="1" applyAlignment="1">
      <alignment horizontal="center" vertical="center"/>
    </xf>
    <xf numFmtId="0" fontId="9" fillId="10" borderId="5" xfId="0" applyFont="1" applyFill="1" applyBorder="1" applyAlignment="1">
      <alignment horizontal="center" vertical="center"/>
    </xf>
    <xf numFmtId="0" fontId="9" fillId="10"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47" fillId="5" borderId="4" xfId="0" applyFont="1" applyFill="1" applyBorder="1" applyAlignment="1">
      <alignment horizontal="center" vertical="center"/>
    </xf>
    <xf numFmtId="0" fontId="47" fillId="5" borderId="5" xfId="0" applyFont="1" applyFill="1" applyBorder="1" applyAlignment="1">
      <alignment horizontal="center" vertical="center"/>
    </xf>
    <xf numFmtId="0" fontId="47" fillId="5" borderId="6" xfId="0" applyFont="1" applyFill="1" applyBorder="1" applyAlignment="1">
      <alignment horizontal="center" vertical="center"/>
    </xf>
    <xf numFmtId="0" fontId="47" fillId="33" borderId="4" xfId="0" applyFont="1" applyFill="1" applyBorder="1" applyAlignment="1">
      <alignment horizontal="center" vertical="center"/>
    </xf>
    <xf numFmtId="0" fontId="47" fillId="33" borderId="5" xfId="0" applyFont="1" applyFill="1" applyBorder="1" applyAlignment="1">
      <alignment horizontal="center" vertical="center"/>
    </xf>
    <xf numFmtId="0" fontId="45" fillId="5" borderId="7" xfId="0" applyFont="1" applyFill="1" applyBorder="1" applyAlignment="1">
      <alignment horizontal="center" vertical="center" wrapText="1"/>
    </xf>
    <xf numFmtId="0" fontId="47" fillId="8" borderId="4" xfId="0" applyFont="1" applyFill="1" applyBorder="1" applyAlignment="1">
      <alignment horizontal="center" vertical="center" wrapText="1"/>
    </xf>
    <xf numFmtId="0" fontId="47" fillId="8" borderId="5" xfId="0" applyFont="1" applyFill="1" applyBorder="1" applyAlignment="1">
      <alignment horizontal="center" vertical="center" wrapText="1"/>
    </xf>
    <xf numFmtId="0" fontId="47" fillId="8" borderId="6" xfId="0" applyFont="1" applyFill="1" applyBorder="1" applyAlignment="1">
      <alignment horizontal="center" vertical="center" wrapText="1"/>
    </xf>
    <xf numFmtId="0" fontId="52" fillId="10" borderId="14" xfId="0" applyFont="1" applyFill="1" applyBorder="1" applyAlignment="1">
      <alignment horizontal="left" vertical="center"/>
    </xf>
    <xf numFmtId="0" fontId="52" fillId="10" borderId="18" xfId="0" applyFont="1" applyFill="1" applyBorder="1" applyAlignment="1">
      <alignment horizontal="left" vertical="center"/>
    </xf>
    <xf numFmtId="0" fontId="52" fillId="10" borderId="16" xfId="0" applyFont="1" applyFill="1" applyBorder="1" applyAlignment="1">
      <alignment horizontal="left" vertical="center"/>
    </xf>
    <xf numFmtId="0" fontId="52" fillId="10" borderId="11" xfId="0" applyFont="1" applyFill="1" applyBorder="1" applyAlignment="1">
      <alignment horizontal="center" vertical="center"/>
    </xf>
    <xf numFmtId="0" fontId="52" fillId="10" borderId="13" xfId="0" applyFont="1" applyFill="1" applyBorder="1" applyAlignment="1">
      <alignment horizontal="center" vertical="center"/>
    </xf>
    <xf numFmtId="0" fontId="47" fillId="26" borderId="4" xfId="0" applyFont="1" applyFill="1" applyBorder="1" applyAlignment="1">
      <alignment horizontal="center" vertical="center" wrapText="1"/>
    </xf>
    <xf numFmtId="0" fontId="47" fillId="26" borderId="6" xfId="0" applyFont="1" applyFill="1" applyBorder="1" applyAlignment="1">
      <alignment horizontal="center" vertical="center" wrapText="1"/>
    </xf>
    <xf numFmtId="0" fontId="47" fillId="22" borderId="0" xfId="0" applyFont="1" applyFill="1" applyAlignment="1">
      <alignment horizontal="left" vertical="top" wrapText="1"/>
    </xf>
    <xf numFmtId="0" fontId="47" fillId="5" borderId="7" xfId="0" applyFont="1" applyFill="1" applyBorder="1" applyAlignment="1">
      <alignment horizontal="center"/>
    </xf>
    <xf numFmtId="0" fontId="62" fillId="0" borderId="0" xfId="0" applyFont="1" applyAlignment="1">
      <alignment horizontal="left" vertical="center" wrapText="1" indent="3"/>
    </xf>
    <xf numFmtId="0" fontId="46" fillId="0" borderId="0" xfId="0" applyFont="1" applyAlignment="1">
      <alignment horizontal="left" vertical="center" wrapText="1" indent="5"/>
    </xf>
    <xf numFmtId="0" fontId="46" fillId="0" borderId="0" xfId="0" applyFont="1" applyAlignment="1">
      <alignment horizontal="left" vertical="center" wrapText="1" indent="7"/>
    </xf>
    <xf numFmtId="0" fontId="8" fillId="0" borderId="0" xfId="0" applyFont="1" applyAlignment="1">
      <alignment horizontal="center" vertical="center" wrapText="1"/>
    </xf>
    <xf numFmtId="0" fontId="4" fillId="5" borderId="15"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5" borderId="15" xfId="0" applyFont="1" applyFill="1" applyBorder="1" applyAlignment="1">
      <alignment horizontal="center" vertical="center"/>
    </xf>
    <xf numFmtId="0" fontId="2" fillId="5" borderId="17" xfId="0" applyFont="1" applyFill="1" applyBorder="1" applyAlignment="1">
      <alignment horizontal="center" vertical="center"/>
    </xf>
    <xf numFmtId="0" fontId="0" fillId="0" borderId="15"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6" borderId="0" xfId="0" applyFont="1" applyFill="1" applyAlignment="1">
      <alignment horizontal="center"/>
    </xf>
    <xf numFmtId="0" fontId="64" fillId="0" borderId="15" xfId="0" applyFont="1" applyBorder="1" applyAlignment="1">
      <alignment horizontal="center" vertical="center"/>
    </xf>
    <xf numFmtId="0" fontId="64" fillId="0" borderId="19" xfId="0" applyFont="1" applyBorder="1" applyAlignment="1">
      <alignment horizontal="center" vertical="center"/>
    </xf>
    <xf numFmtId="0" fontId="64" fillId="0" borderId="17" xfId="0" applyFont="1" applyBorder="1" applyAlignment="1">
      <alignment horizontal="center" vertical="center"/>
    </xf>
    <xf numFmtId="0" fontId="29" fillId="0" borderId="9" xfId="0" applyFont="1" applyBorder="1" applyAlignment="1">
      <alignment horizontal="center" vertical="center"/>
    </xf>
    <xf numFmtId="0" fontId="19" fillId="19" borderId="4" xfId="0" applyFont="1" applyFill="1" applyBorder="1" applyAlignment="1">
      <alignment horizontal="center" vertical="center"/>
    </xf>
    <xf numFmtId="0" fontId="19" fillId="19" borderId="5" xfId="0" applyFont="1" applyFill="1" applyBorder="1" applyAlignment="1">
      <alignment horizontal="center" vertical="center"/>
    </xf>
    <xf numFmtId="0" fontId="19" fillId="19" borderId="6" xfId="0" applyFont="1" applyFill="1" applyBorder="1" applyAlignment="1">
      <alignment horizontal="center" vertical="center"/>
    </xf>
    <xf numFmtId="0" fontId="29" fillId="19" borderId="18" xfId="0" applyFont="1" applyFill="1" applyBorder="1" applyAlignment="1">
      <alignment horizontal="center" vertical="center"/>
    </xf>
    <xf numFmtId="0" fontId="29" fillId="19" borderId="16" xfId="0" applyFont="1" applyFill="1" applyBorder="1" applyAlignment="1">
      <alignment horizontal="center" vertical="center"/>
    </xf>
    <xf numFmtId="0" fontId="29" fillId="19" borderId="0" xfId="0" applyFont="1" applyFill="1" applyAlignment="1">
      <alignment horizontal="center" vertical="center"/>
    </xf>
    <xf numFmtId="0" fontId="29" fillId="19" borderId="10" xfId="0" applyFont="1" applyFill="1" applyBorder="1" applyAlignment="1">
      <alignment horizontal="center" vertical="center"/>
    </xf>
    <xf numFmtId="0" fontId="29" fillId="19" borderId="12" xfId="0" applyFont="1" applyFill="1" applyBorder="1" applyAlignment="1">
      <alignment horizontal="center" vertical="center"/>
    </xf>
    <xf numFmtId="0" fontId="29" fillId="19" borderId="13" xfId="0" applyFont="1" applyFill="1" applyBorder="1" applyAlignment="1">
      <alignment horizontal="center" vertical="center"/>
    </xf>
    <xf numFmtId="0" fontId="19" fillId="10" borderId="4"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9" fillId="10" borderId="15" xfId="0" applyFont="1" applyFill="1" applyBorder="1" applyAlignment="1">
      <alignment horizontal="center" vertical="center"/>
    </xf>
    <xf numFmtId="0" fontId="19" fillId="10" borderId="17" xfId="0" applyFont="1" applyFill="1" applyBorder="1" applyAlignment="1">
      <alignment horizontal="center" vertical="center"/>
    </xf>
    <xf numFmtId="0" fontId="19" fillId="0" borderId="0" xfId="0" applyFont="1" applyAlignment="1">
      <alignment horizontal="center" vertical="center"/>
    </xf>
    <xf numFmtId="0" fontId="0" fillId="0" borderId="10" xfId="0" applyBorder="1" applyAlignment="1">
      <alignment horizontal="center" vertical="center"/>
    </xf>
    <xf numFmtId="0" fontId="52" fillId="10" borderId="14" xfId="0" applyFont="1" applyFill="1" applyBorder="1" applyAlignment="1">
      <alignment horizontal="left" vertical="center" indent="3"/>
    </xf>
    <xf numFmtId="0" fontId="52" fillId="10" borderId="18" xfId="0" applyFont="1" applyFill="1" applyBorder="1" applyAlignment="1">
      <alignment horizontal="left" vertical="center" indent="3"/>
    </xf>
    <xf numFmtId="0" fontId="48" fillId="22" borderId="0" xfId="0" applyFont="1" applyFill="1" applyAlignment="1">
      <alignment horizontal="left" vertical="top" wrapText="1" indent="2"/>
    </xf>
    <xf numFmtId="0" fontId="48" fillId="22" borderId="0" xfId="0" quotePrefix="1" applyFont="1" applyFill="1" applyAlignment="1">
      <alignment horizontal="left" vertical="top" wrapText="1" indent="2"/>
    </xf>
    <xf numFmtId="0" fontId="52" fillId="10" borderId="4" xfId="0" applyFont="1" applyFill="1" applyBorder="1" applyAlignment="1">
      <alignment horizontal="left" vertical="center" indent="3"/>
    </xf>
    <xf numFmtId="0" fontId="52" fillId="10" borderId="5" xfId="0" applyFont="1" applyFill="1" applyBorder="1" applyAlignment="1">
      <alignment horizontal="left" vertical="center" indent="3"/>
    </xf>
    <xf numFmtId="0" fontId="48" fillId="0" borderId="0" xfId="0" applyFont="1" applyAlignment="1">
      <alignment horizontal="left" vertical="center" wrapText="1"/>
    </xf>
    <xf numFmtId="0" fontId="52" fillId="10" borderId="7" xfId="0" applyFont="1" applyFill="1" applyBorder="1" applyAlignment="1">
      <alignment horizontal="center" vertical="center"/>
    </xf>
    <xf numFmtId="0" fontId="52" fillId="0" borderId="0" xfId="0" applyFont="1" applyAlignment="1">
      <alignment horizontal="center" vertical="center"/>
    </xf>
    <xf numFmtId="0" fontId="72" fillId="10" borderId="7" xfId="0" applyFont="1" applyFill="1" applyBorder="1" applyAlignment="1">
      <alignment horizontal="left" vertical="center"/>
    </xf>
    <xf numFmtId="0" fontId="13" fillId="0" borderId="0" xfId="0" applyFont="1" applyAlignment="1">
      <alignment horizontal="center" vertical="center"/>
    </xf>
    <xf numFmtId="0" fontId="9" fillId="10" borderId="7" xfId="0" applyFont="1" applyFill="1" applyBorder="1" applyAlignment="1">
      <alignment horizontal="center" vertical="center"/>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0" fontId="56" fillId="0" borderId="0" xfId="0" applyFont="1" applyAlignment="1">
      <alignment horizontal="center" wrapText="1"/>
    </xf>
    <xf numFmtId="0" fontId="52" fillId="10" borderId="70" xfId="0" applyFont="1" applyFill="1" applyBorder="1" applyAlignment="1">
      <alignment horizontal="center"/>
    </xf>
    <xf numFmtId="0" fontId="52" fillId="10" borderId="72" xfId="0" applyFont="1" applyFill="1" applyBorder="1" applyAlignment="1">
      <alignment horizontal="center"/>
    </xf>
    <xf numFmtId="0" fontId="52" fillId="10" borderId="71" xfId="0" applyFont="1" applyFill="1" applyBorder="1" applyAlignment="1">
      <alignment horizontal="center"/>
    </xf>
    <xf numFmtId="0" fontId="45" fillId="5" borderId="4" xfId="0" applyFont="1" applyFill="1" applyBorder="1" applyAlignment="1">
      <alignment horizontal="center" vertical="center"/>
    </xf>
    <xf numFmtId="0" fontId="45" fillId="5" borderId="5" xfId="0" applyFont="1" applyFill="1" applyBorder="1" applyAlignment="1">
      <alignment horizontal="center" vertical="center"/>
    </xf>
    <xf numFmtId="0" fontId="45" fillId="5" borderId="6" xfId="0" applyFont="1" applyFill="1" applyBorder="1" applyAlignment="1">
      <alignment horizontal="center" vertical="center"/>
    </xf>
    <xf numFmtId="0" fontId="47" fillId="0" borderId="67" xfId="0" applyFont="1" applyBorder="1" applyAlignment="1">
      <alignment horizontal="center"/>
    </xf>
    <xf numFmtId="0" fontId="48" fillId="13" borderId="15" xfId="0" applyFont="1" applyFill="1" applyBorder="1" applyAlignment="1">
      <alignment horizontal="center" vertical="center"/>
    </xf>
    <xf numFmtId="0" fontId="48" fillId="13" borderId="17" xfId="0" applyFont="1" applyFill="1" applyBorder="1" applyAlignment="1">
      <alignment horizontal="center" vertical="center"/>
    </xf>
    <xf numFmtId="0" fontId="52" fillId="4" borderId="5" xfId="0" applyFont="1" applyFill="1" applyBorder="1" applyAlignment="1">
      <alignment horizontal="center" vertical="center"/>
    </xf>
    <xf numFmtId="0" fontId="99" fillId="4" borderId="15" xfId="0" applyFont="1" applyFill="1" applyBorder="1" applyAlignment="1">
      <alignment horizontal="center" vertical="center" wrapText="1"/>
    </xf>
    <xf numFmtId="0" fontId="99" fillId="4" borderId="17" xfId="0" applyFont="1" applyFill="1" applyBorder="1" applyAlignment="1">
      <alignment horizontal="center" vertical="center" wrapText="1"/>
    </xf>
    <xf numFmtId="0" fontId="99" fillId="4" borderId="19" xfId="0" applyFont="1" applyFill="1" applyBorder="1" applyAlignment="1">
      <alignment horizontal="center" vertical="center" wrapText="1"/>
    </xf>
    <xf numFmtId="0" fontId="99" fillId="4" borderId="4" xfId="0" applyFont="1" applyFill="1" applyBorder="1" applyAlignment="1">
      <alignment horizontal="center" vertical="center" wrapText="1"/>
    </xf>
    <xf numFmtId="0" fontId="99" fillId="4" borderId="5" xfId="0" applyFont="1" applyFill="1" applyBorder="1" applyAlignment="1">
      <alignment horizontal="center" vertical="center" wrapText="1"/>
    </xf>
    <xf numFmtId="0" fontId="99" fillId="4" borderId="6" xfId="0" applyFont="1" applyFill="1" applyBorder="1" applyAlignment="1">
      <alignment horizontal="center" vertical="center" wrapText="1"/>
    </xf>
    <xf numFmtId="0" fontId="48" fillId="13" borderId="19" xfId="0" applyFont="1" applyFill="1" applyBorder="1" applyAlignment="1">
      <alignment horizontal="center" vertical="center"/>
    </xf>
    <xf numFmtId="0" fontId="48" fillId="2" borderId="15" xfId="0" applyFont="1" applyFill="1" applyBorder="1" applyAlignment="1">
      <alignment horizontal="center" vertical="center" wrapText="1"/>
    </xf>
    <xf numFmtId="0" fontId="48" fillId="2" borderId="1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99" fillId="4" borderId="15" xfId="0" applyFont="1" applyFill="1" applyBorder="1" applyAlignment="1">
      <alignment horizontal="center" vertical="center"/>
    </xf>
    <xf numFmtId="0" fontId="99" fillId="4" borderId="19" xfId="0" applyFont="1" applyFill="1" applyBorder="1" applyAlignment="1">
      <alignment horizontal="center" vertical="center"/>
    </xf>
    <xf numFmtId="0" fontId="99" fillId="4" borderId="17" xfId="0" applyFont="1" applyFill="1" applyBorder="1" applyAlignment="1">
      <alignment horizontal="center" vertical="center"/>
    </xf>
    <xf numFmtId="0" fontId="48" fillId="0" borderId="25" xfId="0" applyFont="1" applyBorder="1" applyAlignment="1">
      <alignment horizontal="center" vertical="center"/>
    </xf>
    <xf numFmtId="0" fontId="48" fillId="0" borderId="19" xfId="0" applyFont="1" applyBorder="1" applyAlignment="1">
      <alignment horizontal="center" vertical="center"/>
    </xf>
    <xf numFmtId="0" fontId="48" fillId="0" borderId="17" xfId="0" applyFont="1" applyBorder="1" applyAlignment="1">
      <alignment horizontal="center" vertical="center"/>
    </xf>
    <xf numFmtId="0" fontId="48" fillId="0" borderId="15" xfId="0" applyFont="1" applyBorder="1" applyAlignment="1">
      <alignment horizontal="center" vertical="center"/>
    </xf>
    <xf numFmtId="0" fontId="52" fillId="4" borderId="14" xfId="0" applyFont="1" applyFill="1" applyBorder="1" applyAlignment="1">
      <alignment horizontal="center" vertical="center" wrapText="1"/>
    </xf>
    <xf numFmtId="0" fontId="52" fillId="4" borderId="9" xfId="0" applyFont="1" applyFill="1" applyBorder="1" applyAlignment="1">
      <alignment horizontal="center" vertical="center" wrapText="1"/>
    </xf>
    <xf numFmtId="0" fontId="52" fillId="4" borderId="11" xfId="0" applyFont="1" applyFill="1" applyBorder="1" applyAlignment="1">
      <alignment horizontal="center" vertical="center" wrapText="1"/>
    </xf>
    <xf numFmtId="0" fontId="52" fillId="4" borderId="16" xfId="0" applyFont="1" applyFill="1" applyBorder="1" applyAlignment="1">
      <alignment horizontal="center" vertical="center" wrapText="1"/>
    </xf>
    <xf numFmtId="0" fontId="52" fillId="4" borderId="13" xfId="0" applyFont="1" applyFill="1" applyBorder="1" applyAlignment="1">
      <alignment horizontal="center" vertical="center" wrapText="1"/>
    </xf>
    <xf numFmtId="0" fontId="52" fillId="29" borderId="15" xfId="0" applyFont="1" applyFill="1" applyBorder="1" applyAlignment="1">
      <alignment horizontal="center" vertical="center" wrapText="1"/>
    </xf>
    <xf numFmtId="0" fontId="52" fillId="29" borderId="19" xfId="0" applyFont="1" applyFill="1" applyBorder="1" applyAlignment="1">
      <alignment horizontal="center" vertical="center" wrapText="1"/>
    </xf>
    <xf numFmtId="0" fontId="52" fillId="29" borderId="17" xfId="0" applyFont="1" applyFill="1" applyBorder="1" applyAlignment="1">
      <alignment horizontal="center" vertical="center" wrapText="1"/>
    </xf>
    <xf numFmtId="0" fontId="52" fillId="29" borderId="4" xfId="0" applyFont="1" applyFill="1" applyBorder="1" applyAlignment="1">
      <alignment horizontal="center" wrapText="1" readingOrder="1"/>
    </xf>
    <xf numFmtId="0" fontId="52" fillId="29" borderId="6" xfId="0" applyFont="1" applyFill="1" applyBorder="1" applyAlignment="1">
      <alignment horizontal="center" wrapText="1" readingOrder="1"/>
    </xf>
    <xf numFmtId="0" fontId="52" fillId="4" borderId="4" xfId="0" applyFont="1" applyFill="1" applyBorder="1" applyAlignment="1">
      <alignment horizontal="left" vertical="center" indent="1"/>
    </xf>
    <xf numFmtId="0" fontId="52" fillId="4" borderId="5" xfId="0" applyFont="1" applyFill="1" applyBorder="1" applyAlignment="1">
      <alignment horizontal="left" vertical="center" indent="1"/>
    </xf>
    <xf numFmtId="0" fontId="52" fillId="4" borderId="6" xfId="0" applyFont="1" applyFill="1" applyBorder="1" applyAlignment="1">
      <alignment horizontal="left" vertical="center" indent="1"/>
    </xf>
    <xf numFmtId="0" fontId="46" fillId="0" borderId="4" xfId="0" quotePrefix="1" applyFont="1" applyBorder="1" applyAlignment="1">
      <alignment horizontal="left"/>
    </xf>
    <xf numFmtId="0" fontId="46" fillId="0" borderId="5" xfId="0" applyFont="1" applyBorder="1" applyAlignment="1">
      <alignment horizontal="left"/>
    </xf>
    <xf numFmtId="0" fontId="46" fillId="0" borderId="6" xfId="0" applyFont="1" applyBorder="1" applyAlignment="1">
      <alignment horizontal="left"/>
    </xf>
    <xf numFmtId="0" fontId="46" fillId="0" borderId="81" xfId="0" quotePrefix="1" applyFont="1" applyBorder="1" applyAlignment="1">
      <alignment horizontal="left" wrapText="1"/>
    </xf>
    <xf numFmtId="0" fontId="0" fillId="0" borderId="78" xfId="0" applyBorder="1" applyAlignment="1">
      <alignment horizontal="left" vertical="center" wrapText="1"/>
    </xf>
    <xf numFmtId="0" fontId="52" fillId="4" borderId="0" xfId="0" applyFont="1" applyFill="1" applyAlignment="1">
      <alignment horizontal="left"/>
    </xf>
  </cellXfs>
  <cellStyles count="12">
    <cellStyle name="60% - Cor2" xfId="8" builtinId="36"/>
    <cellStyle name="Editáveis" xfId="6" xr:uid="{856D5C0E-25B2-4826-B462-8DA17CEB6D0B}"/>
    <cellStyle name="Escopo 1" xfId="4" xr:uid="{B2B1E8A3-5DBC-4D29-9C1A-B8D64674982F}"/>
    <cellStyle name="Exemplo" xfId="7" xr:uid="{08CE30BC-C49F-40E1-98CA-557D1E131386}"/>
    <cellStyle name="Hiperligação" xfId="3" builtinId="8"/>
    <cellStyle name="Normal" xfId="0" builtinId="0"/>
    <cellStyle name="Normal 2" xfId="9" xr:uid="{E3E1C142-F8F6-4840-B6F3-9FC42CE5509A}"/>
    <cellStyle name="Percentagem" xfId="5" builtinId="5"/>
    <cellStyle name="Vírgula" xfId="2" builtinId="3"/>
    <cellStyle name="Vírgula 2" xfId="11" xr:uid="{303808E0-FB88-4627-A693-E28E0FAECFE2}"/>
    <cellStyle name="Vírgula 3" xfId="1" xr:uid="{9CC4C78A-8A05-4757-A08C-FA03EE1B7983}"/>
    <cellStyle name="Vírgula 3 2" xfId="10" xr:uid="{601B0D90-7A63-4B55-B7D3-AFEBC6D127B3}"/>
  </cellStyles>
  <dxfs count="91">
    <dxf>
      <font>
        <color rgb="FFC00000"/>
      </font>
    </dxf>
    <dxf>
      <font>
        <color rgb="FFC00000"/>
      </font>
    </dxf>
    <dxf>
      <font>
        <color theme="0"/>
      </font>
    </dxf>
    <dxf>
      <font>
        <color theme="2" tint="-0.24994659260841701"/>
      </font>
    </dxf>
    <dxf>
      <font>
        <color rgb="FFFF0000"/>
      </font>
      <fill>
        <patternFill>
          <bgColor theme="7" tint="0.79998168889431442"/>
        </patternFill>
      </fill>
    </dxf>
    <dxf>
      <fill>
        <patternFill>
          <bgColor theme="0"/>
        </patternFill>
      </fill>
    </dxf>
    <dxf>
      <font>
        <color rgb="FFFF0000"/>
      </font>
      <fill>
        <patternFill patternType="darkUp">
          <fgColor auto="1"/>
          <bgColor auto="1"/>
        </patternFill>
      </fill>
    </dxf>
    <dxf>
      <fill>
        <patternFill>
          <bgColor theme="8" tint="0.59996337778862885"/>
        </patternFill>
      </fill>
    </dxf>
    <dxf>
      <font>
        <color auto="1"/>
      </font>
      <fill>
        <patternFill>
          <bgColor theme="8" tint="0.59996337778862885"/>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ill>
        <patternFill patternType="darkUp"/>
      </fill>
    </dxf>
    <dxf>
      <font>
        <b/>
        <i val="0"/>
        <color rgb="FFFF0000"/>
      </font>
    </dxf>
    <dxf>
      <fill>
        <patternFill patternType="darkUp"/>
      </fill>
    </dxf>
    <dxf>
      <fill>
        <patternFill>
          <bgColor theme="8" tint="0.59996337778862885"/>
        </patternFill>
      </fill>
    </dxf>
    <dxf>
      <fill>
        <patternFill>
          <bgColor theme="8" tint="0.59996337778862885"/>
        </patternFill>
      </fill>
    </dxf>
    <dxf>
      <font>
        <color auto="1"/>
      </font>
      <fill>
        <patternFill patternType="solid">
          <bgColor theme="8" tint="0.59996337778862885"/>
        </patternFill>
      </fill>
    </dxf>
    <dxf>
      <font>
        <color rgb="FFFF0000"/>
      </font>
      <fill>
        <patternFill patternType="none">
          <bgColor auto="1"/>
        </patternFill>
      </fill>
    </dxf>
    <dxf>
      <fill>
        <patternFill>
          <bgColor theme="8" tint="0.59996337778862885"/>
        </patternFill>
      </fill>
    </dxf>
    <dxf>
      <fill>
        <patternFill patternType="darkUp"/>
      </fill>
    </dxf>
    <dxf>
      <fill>
        <patternFill>
          <bgColor theme="8" tint="0.59996337778862885"/>
        </patternFill>
      </fill>
    </dxf>
    <dxf>
      <fill>
        <patternFill>
          <bgColor theme="8" tint="0.59996337778862885"/>
        </patternFill>
      </fill>
    </dxf>
    <dxf>
      <font>
        <color rgb="FFFF0000"/>
      </font>
      <fill>
        <patternFill patternType="none">
          <bgColor auto="1"/>
        </patternFill>
      </fill>
    </dxf>
    <dxf>
      <fill>
        <patternFill>
          <bgColor theme="8" tint="0.59996337778862885"/>
        </patternFill>
      </fill>
    </dxf>
    <dxf>
      <fill>
        <patternFill patternType="darkUp">
          <bgColor theme="0"/>
        </patternFill>
      </fill>
    </dxf>
    <dxf>
      <fill>
        <patternFill>
          <bgColor theme="8" tint="0.59996337778862885"/>
        </patternFill>
      </fill>
    </dxf>
    <dxf>
      <fill>
        <patternFill>
          <bgColor theme="8" tint="0.59996337778862885"/>
        </patternFill>
      </fill>
    </dxf>
    <dxf>
      <fill>
        <patternFill patternType="darkUp">
          <bgColor theme="0"/>
        </patternFill>
      </fill>
    </dxf>
    <dxf>
      <fill>
        <patternFill patternType="darkUp">
          <bgColor theme="0"/>
        </patternFill>
      </fill>
    </dxf>
    <dxf>
      <font>
        <color theme="0"/>
      </font>
    </dxf>
    <dxf>
      <font>
        <color rgb="FFFF0000"/>
      </font>
      <fill>
        <patternFill patternType="none">
          <bgColor auto="1"/>
        </patternFill>
      </fill>
    </dxf>
    <dxf>
      <fill>
        <patternFill patternType="none">
          <bgColor auto="1"/>
        </patternFill>
      </fill>
    </dxf>
    <dxf>
      <fill>
        <patternFill>
          <bgColor theme="8" tint="0.59996337778862885"/>
        </patternFill>
      </fill>
    </dxf>
    <dxf>
      <fill>
        <patternFill>
          <bgColor theme="8" tint="0.59996337778862885"/>
        </patternFill>
      </fill>
    </dxf>
    <dxf>
      <fill>
        <patternFill>
          <bgColor theme="0"/>
        </patternFill>
      </fill>
    </dxf>
    <dxf>
      <font>
        <color auto="1"/>
      </font>
      <fill>
        <patternFill patternType="solid">
          <bgColor theme="8" tint="0.59996337778862885"/>
        </patternFill>
      </fill>
    </dxf>
    <dxf>
      <fill>
        <patternFill>
          <bgColor theme="8" tint="0.59996337778862885"/>
        </patternFill>
      </fill>
    </dxf>
    <dxf>
      <fill>
        <patternFill>
          <bgColor theme="8" tint="0.59996337778862885"/>
        </patternFill>
      </fill>
    </dxf>
    <dxf>
      <font>
        <color auto="1"/>
      </font>
    </dxf>
    <dxf>
      <fill>
        <patternFill patternType="darkUp">
          <bgColor theme="0"/>
        </patternFill>
      </fill>
    </dxf>
    <dxf>
      <font>
        <color theme="0"/>
      </font>
    </dxf>
    <dxf>
      <fill>
        <patternFill>
          <bgColor theme="8" tint="0.59996337778862885"/>
        </patternFill>
      </fill>
    </dxf>
    <dxf>
      <fill>
        <patternFill patternType="darkUp">
          <bgColor theme="0"/>
        </patternFill>
      </fill>
    </dxf>
    <dxf>
      <fill>
        <patternFill>
          <bgColor theme="8" tint="0.59996337778862885"/>
        </patternFill>
      </fill>
    </dxf>
    <dxf>
      <fill>
        <patternFill patternType="darkUp">
          <bgColor theme="0"/>
        </patternFill>
      </fill>
    </dxf>
    <dxf>
      <font>
        <color auto="1"/>
      </font>
      <fill>
        <patternFill>
          <bgColor theme="0"/>
        </patternFill>
      </fill>
    </dxf>
    <dxf>
      <font>
        <color theme="2" tint="-0.24994659260841701"/>
      </font>
    </dxf>
    <dxf>
      <font>
        <b/>
        <i val="0"/>
        <u val="double"/>
        <color rgb="FFFF0000"/>
      </font>
      <fill>
        <patternFill>
          <bgColor theme="7" tint="0.79998168889431442"/>
        </patternFill>
      </fill>
    </dxf>
    <dxf>
      <fill>
        <patternFill>
          <bgColor theme="0"/>
        </patternFill>
      </fill>
    </dxf>
    <dxf>
      <font>
        <color rgb="FFFF0000"/>
      </font>
      <fill>
        <patternFill patternType="darkUp">
          <bgColor theme="0"/>
        </patternFill>
      </fill>
    </dxf>
    <dxf>
      <fill>
        <patternFill>
          <bgColor theme="8" tint="0.59996337778862885"/>
        </patternFill>
      </fill>
    </dxf>
    <dxf>
      <font>
        <color rgb="FFFF0000"/>
      </font>
      <fill>
        <patternFill patternType="darkUp">
          <bgColor theme="0"/>
        </patternFill>
      </fill>
    </dxf>
    <dxf>
      <fill>
        <patternFill>
          <bgColor theme="0"/>
        </patternFill>
      </fill>
    </dxf>
    <dxf>
      <font>
        <color rgb="FFFF0000"/>
      </font>
      <fill>
        <patternFill patternType="darkUp">
          <fgColor auto="1"/>
          <bgColor theme="0"/>
        </patternFill>
      </fill>
    </dxf>
    <dxf>
      <fill>
        <patternFill>
          <bgColor theme="8" tint="0.59996337778862885"/>
        </patternFill>
      </fill>
    </dxf>
    <dxf>
      <font>
        <color auto="1"/>
      </font>
      <fill>
        <patternFill>
          <bgColor theme="8" tint="0.59996337778862885"/>
        </patternFill>
      </fill>
    </dxf>
    <dxf>
      <font>
        <color theme="2" tint="-0.24994659260841701"/>
      </font>
    </dxf>
    <dxf>
      <font>
        <b/>
        <i val="0"/>
        <u val="double"/>
        <color rgb="FFFF0000"/>
      </font>
      <fill>
        <patternFill>
          <bgColor theme="7" tint="0.7999816888943144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patternType="darkUp">
          <fgColor auto="1"/>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darkUp">
          <fgColor auto="1"/>
          <bgColor theme="0"/>
        </patternFill>
      </fill>
    </dxf>
    <dxf>
      <font>
        <b/>
        <i val="0"/>
        <u val="double"/>
        <color rgb="FFFF0000"/>
      </font>
      <fill>
        <patternFill>
          <bgColor theme="7" tint="0.79998168889431442"/>
        </patternFill>
      </fill>
    </dxf>
    <dxf>
      <font>
        <color theme="2" tint="-0.499984740745262"/>
      </font>
    </dxf>
    <dxf>
      <fill>
        <patternFill>
          <bgColor theme="8" tint="0.39994506668294322"/>
        </patternFill>
      </fill>
    </dxf>
    <dxf>
      <fill>
        <patternFill>
          <bgColor theme="8" tint="0.39994506668294322"/>
        </patternFill>
      </fill>
    </dxf>
    <dxf>
      <fill>
        <patternFill patternType="darkUp"/>
      </fill>
    </dxf>
    <dxf>
      <fill>
        <patternFill patternType="darkUp"/>
      </fill>
    </dxf>
    <dxf>
      <font>
        <b/>
        <i val="0"/>
        <u val="double"/>
        <color rgb="FFFF0000"/>
      </font>
      <fill>
        <patternFill>
          <bgColor theme="7" tint="0.79998168889431442"/>
        </patternFill>
      </fill>
    </dxf>
    <dxf>
      <font>
        <color theme="2" tint="-0.499984740745262"/>
      </font>
    </dxf>
    <dxf>
      <font>
        <color theme="2" tint="-0.24994659260841701"/>
      </font>
    </dxf>
    <dxf>
      <font>
        <b/>
        <i val="0"/>
        <u val="double"/>
        <color rgb="FFFF0000"/>
      </font>
      <fill>
        <patternFill>
          <bgColor theme="7" tint="0.59996337778862885"/>
        </patternFill>
      </fill>
    </dxf>
    <dxf>
      <font>
        <b val="0"/>
        <i val="0"/>
        <color rgb="FFFF0000"/>
      </font>
    </dxf>
    <dxf>
      <font>
        <b/>
        <i val="0"/>
        <strike val="0"/>
      </font>
    </dxf>
    <dxf>
      <fill>
        <patternFill>
          <bgColor theme="0" tint="-0.14996795556505021"/>
        </patternFill>
      </fill>
    </dxf>
  </dxfs>
  <tableStyles count="0" defaultTableStyle="TableStyleMedium2" defaultPivotStyle="PivotStyleLight16"/>
  <colors>
    <mruColors>
      <color rgb="FFA3D9FF"/>
      <color rgb="FF02A39C"/>
      <color rgb="FF58D4CC"/>
      <color rgb="FF005480"/>
      <color rgb="FFA3D961"/>
      <color rgb="FF4472C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Total acumulado por fase do projeto </a:t>
            </a:r>
            <a:br>
              <a:rPr lang="en-US" b="1"/>
            </a:br>
            <a:r>
              <a:rPr lang="en-US" b="1"/>
              <a:t>- sem usos do solo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PT"/>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3-3649-47A5-B4AB-C50E185F6C5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3649-47A5-B4AB-C50E185F6C5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3649-47A5-B4AB-C50E185F6C52}"/>
              </c:ext>
            </c:extLst>
          </c:dPt>
          <c:dLbls>
            <c:dLbl>
              <c:idx val="0"/>
              <c:layout>
                <c:manualLayout>
                  <c:x val="-0.375"/>
                  <c:y val="-1.3888888888888911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649-47A5-B4AB-C50E185F6C52}"/>
                </c:ext>
              </c:extLst>
            </c:dLbl>
            <c:dLbl>
              <c:idx val="1"/>
              <c:layout>
                <c:manualLayout>
                  <c:x val="0.21944444444444433"/>
                  <c:y val="3.240740740740740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649-47A5-B4AB-C50E185F6C52}"/>
                </c:ext>
              </c:extLst>
            </c:dLbl>
            <c:dLbl>
              <c:idx val="2"/>
              <c:layout>
                <c:manualLayout>
                  <c:x val="0.211111111111111"/>
                  <c:y val="-2.777777777777777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649-47A5-B4AB-C50E185F6C52}"/>
                </c:ext>
              </c:extLst>
            </c:dLbl>
            <c:spPr>
              <a:noFill/>
              <a:ln w="6350">
                <a:noFill/>
              </a:ln>
              <a:effectLst/>
            </c:spPr>
            <c:txPr>
              <a:bodyPr rot="0" spcFirstLastPara="1" vertOverflow="clip" horzOverflow="clip" vert="horz" wrap="square" lIns="38100" tIns="19050" rIns="38100" bIns="19050" anchor="ctr" anchorCtr="1">
                <a:spAutoFit/>
              </a:bodyPr>
              <a:lstStyle/>
              <a:p>
                <a:pPr>
                  <a:defRPr sz="1200" b="1" i="0" u="none" strike="noStrike" kern="1200" baseline="0">
                    <a:solidFill>
                      <a:schemeClr val="dk1">
                        <a:lumMod val="65000"/>
                        <a:lumOff val="3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Resultados!$D$16:$F$16</c:f>
              <c:strCache>
                <c:ptCount val="3"/>
                <c:pt idx="0">
                  <c:v>Construção ou fase preparatória</c:v>
                </c:pt>
                <c:pt idx="1">
                  <c:v>Exploração</c:v>
                </c:pt>
                <c:pt idx="2">
                  <c:v>Desativação</c:v>
                </c:pt>
              </c:strCache>
            </c:strRef>
          </c:cat>
          <c:val>
            <c:numRef>
              <c:f>Resultados!$G$20:$I$20</c:f>
              <c:numCache>
                <c:formatCode>_-* #\ ##0.0_-;\-* #\ ##0.0_-;_-* "-"?_-;_-@_-</c:formatCode>
                <c:ptCount val="3"/>
                <c:pt idx="0">
                  <c:v>0</c:v>
                </c:pt>
                <c:pt idx="1">
                  <c:v>0</c:v>
                </c:pt>
                <c:pt idx="2">
                  <c:v>0</c:v>
                </c:pt>
              </c:numCache>
            </c:numRef>
          </c:val>
          <c:extLst>
            <c:ext xmlns:c16="http://schemas.microsoft.com/office/drawing/2014/chart" uri="{C3380CC4-5D6E-409C-BE32-E72D297353CC}">
              <c16:uniqueId val="{00000000-3649-47A5-B4AB-C50E185F6C52}"/>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a:t>Total acumulado por emissões diretas e indiretas </a:t>
            </a:r>
            <a:br>
              <a:rPr lang="en-US" sz="1400"/>
            </a:br>
            <a:r>
              <a:rPr lang="en-US" sz="1400" b="1" i="0" u="none" strike="noStrike" kern="1200" spc="0" baseline="0">
                <a:solidFill>
                  <a:sysClr val="windowText" lastClr="000000">
                    <a:lumMod val="65000"/>
                    <a:lumOff val="35000"/>
                  </a:sysClr>
                </a:solidFill>
              </a:rPr>
              <a:t>- sem usos do solo -</a:t>
            </a:r>
            <a:endParaRPr lang="en-US" sz="140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6CE-49C9-B4EF-43D077C32C1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6CE-49C9-B4EF-43D077C32C1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6CE-49C9-B4EF-43D077C32C17}"/>
              </c:ext>
            </c:extLst>
          </c:dPt>
          <c:dLbls>
            <c:dLbl>
              <c:idx val="0"/>
              <c:layout>
                <c:manualLayout>
                  <c:x val="0.2717949266696803"/>
                  <c:y val="-8.969406829526034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6CE-49C9-B4EF-43D077C32C17}"/>
                </c:ext>
              </c:extLst>
            </c:dLbl>
            <c:dLbl>
              <c:idx val="1"/>
              <c:layout>
                <c:manualLayout>
                  <c:x val="0.31967634014431712"/>
                  <c:y val="0.23282224182850011"/>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6CE-49C9-B4EF-43D077C32C17}"/>
                </c:ext>
              </c:extLst>
            </c:dLbl>
            <c:dLbl>
              <c:idx val="2"/>
              <c:layout>
                <c:manualLayout>
                  <c:x val="-0.23076927736104932"/>
                  <c:y val="4.0409563417885083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6CE-49C9-B4EF-43D077C32C1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Resultados!$C$17:$C$19</c:f>
              <c:strCache>
                <c:ptCount val="3"/>
                <c:pt idx="0">
                  <c:v>EMISSÕES DIRETAS sem usos do solo</c:v>
                </c:pt>
                <c:pt idx="1">
                  <c:v>EMISSÕES INDIRETAS DE ELETRICIDADE</c:v>
                </c:pt>
                <c:pt idx="2">
                  <c:v>OUTRAS EMISSÕES INDIRETAS</c:v>
                </c:pt>
              </c:strCache>
            </c:strRef>
          </c:cat>
          <c:val>
            <c:numRef>
              <c:f>Resultados!$J$17:$J$19</c:f>
              <c:numCache>
                <c:formatCode>_-* #\ ##0.0_-;\-* #\ ##0.0_-;_-* "-"?_-;_-@_-</c:formatCode>
                <c:ptCount val="3"/>
                <c:pt idx="0">
                  <c:v>0</c:v>
                </c:pt>
                <c:pt idx="1">
                  <c:v>0</c:v>
                </c:pt>
                <c:pt idx="2">
                  <c:v>0</c:v>
                </c:pt>
              </c:numCache>
            </c:numRef>
          </c:val>
          <c:extLst>
            <c:ext xmlns:c16="http://schemas.microsoft.com/office/drawing/2014/chart" uri="{C3380CC4-5D6E-409C-BE32-E72D297353CC}">
              <c16:uniqueId val="{00000006-56CE-49C9-B4EF-43D077C32C17}"/>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b="1"/>
              <a:t>Emissões médias anuais de cada fase (tCO</a:t>
            </a:r>
            <a:r>
              <a:rPr lang="en-US" sz="1400" b="1" baseline="-25000"/>
              <a:t>2</a:t>
            </a:r>
            <a:r>
              <a:rPr lang="en-US" sz="1400" b="1"/>
              <a:t>e/ano) - </a:t>
            </a:r>
            <a:r>
              <a:rPr lang="en-US" sz="1400" b="1" i="0" u="none" strike="noStrike" kern="1200" spc="0" baseline="0">
                <a:solidFill>
                  <a:sysClr val="windowText" lastClr="000000">
                    <a:lumMod val="65000"/>
                    <a:lumOff val="35000"/>
                  </a:sysClr>
                </a:solidFill>
              </a:rPr>
              <a:t>sem usos do solo -</a:t>
            </a:r>
            <a:endParaRPr lang="en-US"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Resultados!$D$16:$F$16</c:f>
              <c:strCache>
                <c:ptCount val="3"/>
                <c:pt idx="0">
                  <c:v>Construção ou fase preparatória</c:v>
                </c:pt>
                <c:pt idx="1">
                  <c:v>Exploração</c:v>
                </c:pt>
                <c:pt idx="2">
                  <c:v>Desativação</c:v>
                </c:pt>
              </c:strCache>
            </c:strRef>
          </c:cat>
          <c:val>
            <c:numRef>
              <c:f>Resultados!$D$20:$F$20</c:f>
              <c:numCache>
                <c:formatCode>_-* #\ ##0.0_-;\-* #\ ##0.0_-;_-* "-"?_-;_-@_-</c:formatCode>
                <c:ptCount val="3"/>
                <c:pt idx="0">
                  <c:v>0</c:v>
                </c:pt>
                <c:pt idx="1">
                  <c:v>0</c:v>
                </c:pt>
                <c:pt idx="2">
                  <c:v>0</c:v>
                </c:pt>
              </c:numCache>
            </c:numRef>
          </c:val>
          <c:extLst>
            <c:ext xmlns:c16="http://schemas.microsoft.com/office/drawing/2014/chart" uri="{C3380CC4-5D6E-409C-BE32-E72D297353CC}">
              <c16:uniqueId val="{00000006-5787-4B37-9602-3CCB397F84E0}"/>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1"/>
        <c:axPos val="b"/>
        <c:majorGridlines>
          <c:spPr>
            <a:ln w="9525" cap="flat" cmpd="sng" algn="ctr">
              <a:solidFill>
                <a:schemeClr val="tx1">
                  <a:lumMod val="15000"/>
                  <a:lumOff val="85000"/>
                </a:schemeClr>
              </a:solidFill>
              <a:round/>
            </a:ln>
            <a:effectLst/>
          </c:spPr>
        </c:majorGridlines>
        <c:numFmt formatCode="_-* #\ ##0.0_-;\-* #\ ##0.0_-;_-* &quot;-&quot;?_-;_-@_-" sourceLinked="1"/>
        <c:majorTickMark val="out"/>
        <c:minorTickMark val="none"/>
        <c:tickLblPos val="nextTo"/>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US" sz="1400" b="1">
                <a:latin typeface="Poppins" panose="00000500000000000000" pitchFamily="2" charset="0"/>
                <a:cs typeface="Poppins" panose="00000500000000000000" pitchFamily="2" charset="0"/>
              </a:rPr>
              <a:t>Emissões totais</a:t>
            </a:r>
            <a:r>
              <a:rPr lang="en-US" sz="1400" b="1" baseline="0">
                <a:latin typeface="Poppins" panose="00000500000000000000" pitchFamily="2" charset="0"/>
                <a:cs typeface="Poppins" panose="00000500000000000000" pitchFamily="2" charset="0"/>
              </a:rPr>
              <a:t> de cada componente</a:t>
            </a:r>
            <a:r>
              <a:rPr lang="en-US" sz="1400" b="1">
                <a:latin typeface="Poppins" panose="00000500000000000000" pitchFamily="2" charset="0"/>
                <a:cs typeface="Poppins" panose="00000500000000000000" pitchFamily="2" charset="0"/>
              </a:rPr>
              <a:t> </a:t>
            </a:r>
            <a:br>
              <a:rPr lang="en-US" sz="1400" b="1">
                <a:latin typeface="Poppins" panose="00000500000000000000" pitchFamily="2" charset="0"/>
                <a:cs typeface="Poppins" panose="00000500000000000000" pitchFamily="2" charset="0"/>
              </a:rPr>
            </a:br>
            <a:r>
              <a:rPr lang="en-US" sz="1400" b="1" i="0" u="none" strike="noStrike" kern="1200" spc="0" baseline="0">
                <a:solidFill>
                  <a:sysClr val="windowText" lastClr="000000">
                    <a:lumMod val="65000"/>
                    <a:lumOff val="35000"/>
                  </a:sysClr>
                </a:solidFill>
                <a:latin typeface="Poppins" panose="00000500000000000000" pitchFamily="2" charset="0"/>
                <a:cs typeface="Poppins" panose="00000500000000000000" pitchFamily="2" charset="0"/>
              </a:rPr>
              <a:t>- sem usos do solo - </a:t>
            </a:r>
            <a:endParaRPr lang="en-US" sz="1400" b="1">
              <a:latin typeface="Poppins" panose="00000500000000000000" pitchFamily="2" charset="0"/>
              <a:cs typeface="Poppins" panose="00000500000000000000" pitchFamily="2"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Pt>
            <c:idx val="0"/>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0-BB46-41D6-BACC-091DF8239247}"/>
              </c:ext>
            </c:extLst>
          </c:dPt>
          <c:dPt>
            <c:idx val="1"/>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1-BB46-41D6-BACC-091DF8239247}"/>
              </c:ext>
            </c:extLst>
          </c:dPt>
          <c:dPt>
            <c:idx val="2"/>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2-BB46-41D6-BACC-091DF8239247}"/>
              </c:ext>
            </c:extLst>
          </c:dPt>
          <c:dPt>
            <c:idx val="3"/>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3-BB46-41D6-BACC-091DF8239247}"/>
              </c:ext>
            </c:extLst>
          </c:dPt>
          <c:dPt>
            <c:idx val="4"/>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4-BB46-41D6-BACC-091DF8239247}"/>
              </c:ext>
            </c:extLst>
          </c:dPt>
          <c:dPt>
            <c:idx val="5"/>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F-4BBA-415E-A336-3ADCE4F3E31D}"/>
              </c:ext>
            </c:extLst>
          </c:dPt>
          <c:dPt>
            <c:idx val="6"/>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5-BB46-41D6-BACC-091DF8239247}"/>
              </c:ext>
            </c:extLst>
          </c:dPt>
          <c:dPt>
            <c:idx val="7"/>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E-4BBA-415E-A336-3ADCE4F3E31D}"/>
              </c:ext>
            </c:extLst>
          </c:dPt>
          <c:dPt>
            <c:idx val="8"/>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6-BB46-41D6-BACC-091DF8239247}"/>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(Resultados!$C$48:$C$53,Resultados!$C$56:$C$58,Resultados!$C$60:$C$67)</c:f>
              <c:strCache>
                <c:ptCount val="17"/>
                <c:pt idx="0">
                  <c:v>Combustão Estacionária</c:v>
                </c:pt>
                <c:pt idx="1">
                  <c:v>Combustão Móvel</c:v>
                </c:pt>
                <c:pt idx="2">
                  <c:v>Emissões Fugitivas</c:v>
                </c:pt>
                <c:pt idx="3">
                  <c:v>Processos Industriais</c:v>
                </c:pt>
                <c:pt idx="4">
                  <c:v>Agricultura e pecuária</c:v>
                </c:pt>
                <c:pt idx="5">
                  <c:v>Resíduos e águas residuais</c:v>
                </c:pt>
                <c:pt idx="6">
                  <c:v>Eletricidade em edifícios</c:v>
                </c:pt>
                <c:pt idx="7">
                  <c:v>Eletricidade em ferrovia</c:v>
                </c:pt>
                <c:pt idx="8">
                  <c:v>Energia térmica</c:v>
                </c:pt>
                <c:pt idx="9">
                  <c:v>Aquisição de bens e serviços</c:v>
                </c:pt>
                <c:pt idx="10">
                  <c:v>Emissões indiretas da produção de combustíveis</c:v>
                </c:pt>
                <c:pt idx="11">
                  <c:v>Transporte a montante do projeto</c:v>
                </c:pt>
                <c:pt idx="12">
                  <c:v>Produção de resíduos e águas residuais</c:v>
                </c:pt>
                <c:pt idx="13">
                  <c:v>Viagens a negócios</c:v>
                </c:pt>
                <c:pt idx="14">
                  <c:v>Deslocações casa-trabalho</c:v>
                </c:pt>
                <c:pt idx="15">
                  <c:v>Transporte a jusante do projeto</c:v>
                </c:pt>
                <c:pt idx="16">
                  <c:v>Uso dos produtos do projeto</c:v>
                </c:pt>
              </c:strCache>
            </c:strRef>
          </c:cat>
          <c:val>
            <c:numRef>
              <c:f>(Resultados!$K$48:$K$53,Resultados!$K$56:$K$58,Resultados!$K$60:$K$67)</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07D0-45DE-9797-34B2134B812C}"/>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Instru&#231;&#245;es!A1"/><Relationship Id="rId2" Type="http://schemas.openxmlformats.org/officeDocument/2006/relationships/image" Target="../media/image1.emf"/><Relationship Id="rId1" Type="http://schemas.openxmlformats.org/officeDocument/2006/relationships/hyperlink" Target="#Conte&#250;dos!A1"/><Relationship Id="rId5" Type="http://schemas.openxmlformats.org/officeDocument/2006/relationships/image" Target="../media/image3.emf"/><Relationship Id="rId4"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3" Type="http://schemas.openxmlformats.org/officeDocument/2006/relationships/hyperlink" Target="#'Combust&#227;o M&#243;vel'!A1"/><Relationship Id="rId2" Type="http://schemas.openxmlformats.org/officeDocument/2006/relationships/hyperlink" Target="#'Processos Industriais'!A1"/><Relationship Id="rId1" Type="http://schemas.openxmlformats.org/officeDocument/2006/relationships/hyperlink" Target="#Conte&#250;dos!A1"/></Relationships>
</file>

<file path=xl/drawings/_rels/drawing13.xml.rels><?xml version="1.0" encoding="UTF-8" standalone="yes"?>
<Relationships xmlns="http://schemas.openxmlformats.org/package/2006/relationships"><Relationship Id="rId3" Type="http://schemas.openxmlformats.org/officeDocument/2006/relationships/hyperlink" Target="#'Emiss&#245;es Fugitivas'!A1"/><Relationship Id="rId2" Type="http://schemas.openxmlformats.org/officeDocument/2006/relationships/hyperlink" Target="#'Outras emiss&#245;es de processo'!A1"/><Relationship Id="rId1" Type="http://schemas.openxmlformats.org/officeDocument/2006/relationships/hyperlink" Target="#Conte&#250;dos!A1"/></Relationships>
</file>

<file path=xl/drawings/_rels/drawing15.xml.rels><?xml version="1.0" encoding="UTF-8" standalone="yes"?>
<Relationships xmlns="http://schemas.openxmlformats.org/package/2006/relationships"><Relationship Id="rId3" Type="http://schemas.openxmlformats.org/officeDocument/2006/relationships/hyperlink" Target="#'Processos Industriais'!A1"/><Relationship Id="rId2" Type="http://schemas.openxmlformats.org/officeDocument/2006/relationships/hyperlink" Target="#'Energia El&#233;trica e t&#233;rmica'!A1"/><Relationship Id="rId1" Type="http://schemas.openxmlformats.org/officeDocument/2006/relationships/hyperlink" Target="#Conte&#250;dos!A1"/></Relationships>
</file>

<file path=xl/drawings/_rels/drawing18.xml.rels><?xml version="1.0" encoding="UTF-8" standalone="yes"?>
<Relationships xmlns="http://schemas.openxmlformats.org/package/2006/relationships"><Relationship Id="rId3" Type="http://schemas.openxmlformats.org/officeDocument/2006/relationships/hyperlink" Target="#'Outras emiss&#245;es de processo'!A1"/><Relationship Id="rId2" Type="http://schemas.openxmlformats.org/officeDocument/2006/relationships/hyperlink" Target="#'Emiss&#245;es Evitadas'!A1"/><Relationship Id="rId1" Type="http://schemas.openxmlformats.org/officeDocument/2006/relationships/hyperlink" Target="#Conte&#250;dos!A1"/></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Introdu&#231;&#227;o!A1"/><Relationship Id="rId1" Type="http://schemas.openxmlformats.org/officeDocument/2006/relationships/hyperlink" Target="#Conte&#250;dos!A1"/></Relationships>
</file>

<file path=xl/drawings/_rels/drawing20.xml.rels><?xml version="1.0" encoding="UTF-8" standalone="yes"?>
<Relationships xmlns="http://schemas.openxmlformats.org/package/2006/relationships"><Relationship Id="rId3" Type="http://schemas.openxmlformats.org/officeDocument/2006/relationships/hyperlink" Target="#'Energia El&#233;trica e t&#233;rmica'!A1"/><Relationship Id="rId2" Type="http://schemas.openxmlformats.org/officeDocument/2006/relationships/hyperlink" Target="#'Aquisi&#231;&#227;o de bens e servi&#231;os'!A1"/><Relationship Id="rId1" Type="http://schemas.openxmlformats.org/officeDocument/2006/relationships/hyperlink" Target="#Conte&#250;dos!A1"/></Relationships>
</file>

<file path=xl/drawings/_rels/drawing22.xml.rels><?xml version="1.0" encoding="UTF-8" standalone="yes"?>
<Relationships xmlns="http://schemas.openxmlformats.org/package/2006/relationships"><Relationship Id="rId3" Type="http://schemas.openxmlformats.org/officeDocument/2006/relationships/hyperlink" Target="#'Emiss&#245;es Evitadas'!A1"/><Relationship Id="rId2" Type="http://schemas.openxmlformats.org/officeDocument/2006/relationships/hyperlink" Target="#'Uso dos produtos do projeto'!A1"/><Relationship Id="rId1" Type="http://schemas.openxmlformats.org/officeDocument/2006/relationships/hyperlink" Target="#Conte&#250;dos!A1"/></Relationships>
</file>

<file path=xl/drawings/_rels/drawing24.xml.rels><?xml version="1.0" encoding="UTF-8" standalone="yes"?>
<Relationships xmlns="http://schemas.openxmlformats.org/package/2006/relationships"><Relationship Id="rId3" Type="http://schemas.openxmlformats.org/officeDocument/2006/relationships/hyperlink" Target="#'Aquisi&#231;&#227;o de bens e servi&#231;os'!A1"/><Relationship Id="rId2" Type="http://schemas.openxmlformats.org/officeDocument/2006/relationships/hyperlink" Target="#Resultados!A1"/><Relationship Id="rId1" Type="http://schemas.openxmlformats.org/officeDocument/2006/relationships/hyperlink" Target="#Conte&#250;dos!A1"/></Relationships>
</file>

<file path=xl/drawings/_rels/drawing27.xml.rels><?xml version="1.0" encoding="UTF-8" standalone="yes"?>
<Relationships xmlns="http://schemas.openxmlformats.org/package/2006/relationships"><Relationship Id="rId3" Type="http://schemas.openxmlformats.org/officeDocument/2006/relationships/hyperlink" Target="#'Uso dos produtos do projeto'!A1"/><Relationship Id="rId7" Type="http://schemas.openxmlformats.org/officeDocument/2006/relationships/chart" Target="../charts/chart4.xml"/><Relationship Id="rId2" Type="http://schemas.openxmlformats.org/officeDocument/2006/relationships/hyperlink" Target="#'Fatores de Emiss&#227;o'!A1"/><Relationship Id="rId1" Type="http://schemas.openxmlformats.org/officeDocument/2006/relationships/hyperlink" Target="#Conte&#250;dos!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s>
</file>

<file path=xl/drawings/_rels/drawing28.xml.rels><?xml version="1.0" encoding="UTF-8" standalone="yes"?>
<Relationships xmlns="http://schemas.openxmlformats.org/package/2006/relationships"><Relationship Id="rId3" Type="http://schemas.openxmlformats.org/officeDocument/2006/relationships/hyperlink" Target="#Resultados!A1"/><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29.xml.rels><?xml version="1.0" encoding="UTF-8" standalone="yes"?>
<Relationships xmlns="http://schemas.openxmlformats.org/package/2006/relationships"><Relationship Id="rId3" Type="http://schemas.openxmlformats.org/officeDocument/2006/relationships/hyperlink" Target="#'Ficha t&#233;cnica'!A1"/><Relationship Id="rId2" Type="http://schemas.openxmlformats.org/officeDocument/2006/relationships/hyperlink" Target="#'Fatores de Emiss&#227;o'!A1"/><Relationship Id="rId1" Type="http://schemas.openxmlformats.org/officeDocument/2006/relationships/hyperlink" Target="#Conte&#250;dos!A1"/></Relationships>
</file>

<file path=xl/drawings/_rels/drawing3.xml.rels><?xml version="1.0" encoding="UTF-8" standalone="yes"?>
<Relationships xmlns="http://schemas.openxmlformats.org/package/2006/relationships"><Relationship Id="rId8" Type="http://schemas.openxmlformats.org/officeDocument/2006/relationships/hyperlink" Target="#'Emiss&#245;es Fugitivas'!A1"/><Relationship Id="rId13" Type="http://schemas.openxmlformats.org/officeDocument/2006/relationships/hyperlink" Target="#'Outras emiss&#245;es de processo'!A1"/><Relationship Id="rId3" Type="http://schemas.openxmlformats.org/officeDocument/2006/relationships/hyperlink" Target="#'Fatores de Convers&#227;o'!A1"/><Relationship Id="rId7" Type="http://schemas.openxmlformats.org/officeDocument/2006/relationships/hyperlink" Target="#'Combust&#227;o M&#243;vel'!A1"/><Relationship Id="rId12" Type="http://schemas.openxmlformats.org/officeDocument/2006/relationships/hyperlink" Target="#'Dados gerais'!A1"/><Relationship Id="rId2" Type="http://schemas.openxmlformats.org/officeDocument/2006/relationships/hyperlink" Target="#'Fatores de Emiss&#227;o'!A1"/><Relationship Id="rId16" Type="http://schemas.openxmlformats.org/officeDocument/2006/relationships/hyperlink" Target="#'Uso dos produtos do projeto'!A1"/><Relationship Id="rId1" Type="http://schemas.openxmlformats.org/officeDocument/2006/relationships/hyperlink" Target="#Introdu&#231;&#227;o!A1"/><Relationship Id="rId6" Type="http://schemas.openxmlformats.org/officeDocument/2006/relationships/hyperlink" Target="#'Combust&#227;o Estacion&#225;ria'!A1"/><Relationship Id="rId11" Type="http://schemas.openxmlformats.org/officeDocument/2006/relationships/hyperlink" Target="#Instru&#231;&#245;es!A1"/><Relationship Id="rId5" Type="http://schemas.openxmlformats.org/officeDocument/2006/relationships/hyperlink" Target="#Resultados!A1"/><Relationship Id="rId15" Type="http://schemas.openxmlformats.org/officeDocument/2006/relationships/hyperlink" Target="#'Aquisi&#231;&#227;o de bens e servi&#231;os'!A1"/><Relationship Id="rId10" Type="http://schemas.openxmlformats.org/officeDocument/2006/relationships/hyperlink" Target="#'Energia El&#233;trica e t&#233;rmica'!A1"/><Relationship Id="rId4" Type="http://schemas.openxmlformats.org/officeDocument/2006/relationships/hyperlink" Target="#Triagem!A1"/><Relationship Id="rId9" Type="http://schemas.openxmlformats.org/officeDocument/2006/relationships/hyperlink" Target="#'Processos Industriais'!A1"/><Relationship Id="rId14" Type="http://schemas.openxmlformats.org/officeDocument/2006/relationships/hyperlink" Target="#'Emiss&#245;es Evitadas'!A1"/></Relationships>
</file>

<file path=xl/drawings/_rels/drawing3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Dados gerais'!A1"/><Relationship Id="rId1" Type="http://schemas.openxmlformats.org/officeDocument/2006/relationships/hyperlink" Target="#Conte&#250;dos!A1"/></Relationships>
</file>

<file path=xl/drawings/_rels/drawing5.xml.rels><?xml version="1.0" encoding="UTF-8" standalone="yes"?>
<Relationships xmlns="http://schemas.openxmlformats.org/package/2006/relationships"><Relationship Id="rId2" Type="http://schemas.openxmlformats.org/officeDocument/2006/relationships/hyperlink" Target="#'Combust&#227;o Estacion&#225;ria'!A1"/><Relationship Id="rId1" Type="http://schemas.openxmlformats.org/officeDocument/2006/relationships/hyperlink" Target="#Conte&#250;dos!A1"/></Relationships>
</file>

<file path=xl/drawings/_rels/drawing6.xml.rels><?xml version="1.0" encoding="UTF-8" standalone="yes"?>
<Relationships xmlns="http://schemas.openxmlformats.org/package/2006/relationships"><Relationship Id="rId3" Type="http://schemas.openxmlformats.org/officeDocument/2006/relationships/hyperlink" Target="#'Dados gerais'!A1"/><Relationship Id="rId2" Type="http://schemas.openxmlformats.org/officeDocument/2006/relationships/hyperlink" Target="#'Combust&#227;o M&#243;vel'!A1"/><Relationship Id="rId1" Type="http://schemas.openxmlformats.org/officeDocument/2006/relationships/hyperlink" Target="#Conte&#250;dos!A1"/></Relationships>
</file>

<file path=xl/drawings/_rels/drawing9.xml.rels><?xml version="1.0" encoding="UTF-8" standalone="yes"?>
<Relationships xmlns="http://schemas.openxmlformats.org/package/2006/relationships"><Relationship Id="rId3" Type="http://schemas.openxmlformats.org/officeDocument/2006/relationships/hyperlink" Target="#'Combust&#227;o Estacion&#225;ria'!A1"/><Relationship Id="rId2" Type="http://schemas.openxmlformats.org/officeDocument/2006/relationships/hyperlink" Target="#'Emiss&#245;es Fugitivas'!A1"/><Relationship Id="rId1" Type="http://schemas.openxmlformats.org/officeDocument/2006/relationships/hyperlink" Target="#Conte&#250;dos!A1"/></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73025</xdr:rowOff>
    </xdr:from>
    <xdr:to>
      <xdr:col>2</xdr:col>
      <xdr:colOff>527049</xdr:colOff>
      <xdr:row>6</xdr:row>
      <xdr:rowOff>28948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5F7C792E-53FF-4A99-BABA-341D484979E2}"/>
            </a:ext>
          </a:extLst>
        </xdr:cNvPr>
        <xdr:cNvSpPr/>
      </xdr:nvSpPr>
      <xdr:spPr>
        <a:xfrm>
          <a:off x="601980" y="438785"/>
          <a:ext cx="1129029" cy="68744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editAs="oneCell">
    <xdr:from>
      <xdr:col>22</xdr:col>
      <xdr:colOff>354874</xdr:colOff>
      <xdr:row>10</xdr:row>
      <xdr:rowOff>0</xdr:rowOff>
    </xdr:from>
    <xdr:to>
      <xdr:col>22</xdr:col>
      <xdr:colOff>354874</xdr:colOff>
      <xdr:row>27</xdr:row>
      <xdr:rowOff>52153</xdr:rowOff>
    </xdr:to>
    <xdr:pic>
      <xdr:nvPicPr>
        <xdr:cNvPr id="6" name="Picture 5">
          <a:extLst>
            <a:ext uri="{FF2B5EF4-FFF2-40B4-BE49-F238E27FC236}">
              <a16:creationId xmlns:a16="http://schemas.microsoft.com/office/drawing/2014/main" id="{ED29B4A6-723D-4CF3-B4C6-0A0158BE05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98434" y="2198915"/>
          <a:ext cx="2053046" cy="5785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97971</xdr:colOff>
      <xdr:row>6</xdr:row>
      <xdr:rowOff>108858</xdr:rowOff>
    </xdr:from>
    <xdr:to>
      <xdr:col>1</xdr:col>
      <xdr:colOff>402772</xdr:colOff>
      <xdr:row>8</xdr:row>
      <xdr:rowOff>54429</xdr:rowOff>
    </xdr:to>
    <xdr:sp macro="" textlink="">
      <xdr:nvSpPr>
        <xdr:cNvPr id="7" name="Arrow: Right 6">
          <a:hlinkClick xmlns:r="http://schemas.openxmlformats.org/officeDocument/2006/relationships" r:id="rId3"/>
          <a:extLst>
            <a:ext uri="{FF2B5EF4-FFF2-40B4-BE49-F238E27FC236}">
              <a16:creationId xmlns:a16="http://schemas.microsoft.com/office/drawing/2014/main" id="{B9A44387-67F0-DF70-18F7-CDDF2D8C6CB5}"/>
            </a:ext>
          </a:extLst>
        </xdr:cNvPr>
        <xdr:cNvSpPr/>
      </xdr:nvSpPr>
      <xdr:spPr>
        <a:xfrm>
          <a:off x="696685" y="1480458"/>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329736</xdr:colOff>
      <xdr:row>17</xdr:row>
      <xdr:rowOff>43293</xdr:rowOff>
    </xdr:from>
    <xdr:to>
      <xdr:col>15</xdr:col>
      <xdr:colOff>360953</xdr:colOff>
      <xdr:row>21</xdr:row>
      <xdr:rowOff>74478</xdr:rowOff>
    </xdr:to>
    <xdr:pic>
      <xdr:nvPicPr>
        <xdr:cNvPr id="2" name="Picture 1">
          <a:extLst>
            <a:ext uri="{FF2B5EF4-FFF2-40B4-BE49-F238E27FC236}">
              <a16:creationId xmlns:a16="http://schemas.microsoft.com/office/drawing/2014/main" id="{050B1D68-5FA0-4BB7-87AF-5F5458203ED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62645" y="6641520"/>
          <a:ext cx="5330581" cy="1001004"/>
        </a:xfrm>
        <a:prstGeom prst="rect">
          <a:avLst/>
        </a:prstGeom>
      </xdr:spPr>
    </xdr:pic>
    <xdr:clientData/>
  </xdr:twoCellAnchor>
  <xdr:twoCellAnchor>
    <xdr:from>
      <xdr:col>7</xdr:col>
      <xdr:colOff>434388</xdr:colOff>
      <xdr:row>1</xdr:row>
      <xdr:rowOff>119742</xdr:rowOff>
    </xdr:from>
    <xdr:to>
      <xdr:col>18</xdr:col>
      <xdr:colOff>103417</xdr:colOff>
      <xdr:row>6</xdr:row>
      <xdr:rowOff>77657</xdr:rowOff>
    </xdr:to>
    <xdr:grpSp>
      <xdr:nvGrpSpPr>
        <xdr:cNvPr id="3" name="Group 2">
          <a:extLst>
            <a:ext uri="{FF2B5EF4-FFF2-40B4-BE49-F238E27FC236}">
              <a16:creationId xmlns:a16="http://schemas.microsoft.com/office/drawing/2014/main" id="{24CDCE43-204D-449D-AE6A-27A8AF6F975D}"/>
            </a:ext>
          </a:extLst>
        </xdr:cNvPr>
        <xdr:cNvGrpSpPr/>
      </xdr:nvGrpSpPr>
      <xdr:grpSpPr>
        <a:xfrm>
          <a:off x="4722506" y="351330"/>
          <a:ext cx="6407499" cy="1115856"/>
          <a:chOff x="187325" y="0"/>
          <a:chExt cx="6475406" cy="862351"/>
        </a:xfrm>
      </xdr:grpSpPr>
      <xdr:sp macro="" textlink="">
        <xdr:nvSpPr>
          <xdr:cNvPr id="8" name="CaixaDeTexto 10">
            <a:extLst>
              <a:ext uri="{FF2B5EF4-FFF2-40B4-BE49-F238E27FC236}">
                <a16:creationId xmlns:a16="http://schemas.microsoft.com/office/drawing/2014/main" id="{FCF8245B-77A3-2D93-F08A-03F65303F1D2}"/>
              </a:ext>
            </a:extLst>
          </xdr:cNvPr>
          <xdr:cNvSpPr txBox="1"/>
        </xdr:nvSpPr>
        <xdr:spPr>
          <a:xfrm>
            <a:off x="187325" y="0"/>
            <a:ext cx="5708650" cy="8623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5400" b="1">
                <a:solidFill>
                  <a:srgbClr val="58D4CC"/>
                </a:solidFill>
                <a:latin typeface="+mn-lt"/>
                <a:cs typeface="Poppins" panose="00000500000000000000" pitchFamily="2" charset="0"/>
              </a:rPr>
              <a:t>Calc</a:t>
            </a:r>
            <a:r>
              <a:rPr lang="pt-PT" sz="5400" b="1">
                <a:solidFill>
                  <a:srgbClr val="02A39C"/>
                </a:solidFill>
                <a:latin typeface="+mn-lt"/>
                <a:cs typeface="Poppins" panose="00000500000000000000" pitchFamily="2" charset="0"/>
              </a:rPr>
              <a:t>ula</a:t>
            </a:r>
            <a:r>
              <a:rPr lang="pt-PT" sz="5400" b="1">
                <a:solidFill>
                  <a:srgbClr val="A3D961"/>
                </a:solidFill>
                <a:latin typeface="+mn-lt"/>
                <a:cs typeface="Poppins" panose="00000500000000000000" pitchFamily="2" charset="0"/>
              </a:rPr>
              <a:t>dora</a:t>
            </a:r>
            <a:r>
              <a:rPr lang="pt-PT" sz="5400" b="1">
                <a:latin typeface="+mn-lt"/>
                <a:cs typeface="Poppins" panose="00000500000000000000" pitchFamily="2" charset="0"/>
              </a:rPr>
              <a:t> </a:t>
            </a:r>
            <a:r>
              <a:rPr lang="pt-PT" sz="5400" b="1">
                <a:solidFill>
                  <a:srgbClr val="58D4CC"/>
                </a:solidFill>
                <a:latin typeface="+mn-lt"/>
                <a:cs typeface="Poppins" panose="00000500000000000000" pitchFamily="2" charset="0"/>
              </a:rPr>
              <a:t>GEE</a:t>
            </a:r>
            <a:endParaRPr lang="pt-PT" sz="5400" b="1">
              <a:solidFill>
                <a:srgbClr val="A3D961"/>
              </a:solidFill>
              <a:latin typeface="+mn-lt"/>
              <a:cs typeface="Poppins" panose="00000500000000000000" pitchFamily="2" charset="0"/>
            </a:endParaRPr>
          </a:p>
        </xdr:txBody>
      </xdr:sp>
      <xdr:sp macro="" textlink="">
        <xdr:nvSpPr>
          <xdr:cNvPr id="9" name="CaixaDeTexto 14">
            <a:extLst>
              <a:ext uri="{FF2B5EF4-FFF2-40B4-BE49-F238E27FC236}">
                <a16:creationId xmlns:a16="http://schemas.microsoft.com/office/drawing/2014/main" id="{B8DA64A9-3840-E832-CDA6-A5A24E561A05}"/>
              </a:ext>
            </a:extLst>
          </xdr:cNvPr>
          <xdr:cNvSpPr txBox="1"/>
        </xdr:nvSpPr>
        <xdr:spPr>
          <a:xfrm>
            <a:off x="5231242" y="216226"/>
            <a:ext cx="1431489" cy="5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PT" sz="1100" b="0">
                <a:solidFill>
                  <a:sysClr val="windowText" lastClr="000000"/>
                </a:solidFill>
                <a:latin typeface="Poppins" panose="00000500000000000000" pitchFamily="2" charset="0"/>
                <a:cs typeface="Poppins" panose="00000500000000000000" pitchFamily="2" charset="0"/>
              </a:rPr>
              <a:t>Versão de</a:t>
            </a:r>
          </a:p>
          <a:p>
            <a:r>
              <a:rPr lang="pt-PT" sz="1100" b="0">
                <a:solidFill>
                  <a:sysClr val="windowText" lastClr="000000"/>
                </a:solidFill>
                <a:latin typeface="Poppins" panose="00000500000000000000" pitchFamily="2" charset="0"/>
                <a:cs typeface="Poppins" panose="00000500000000000000" pitchFamily="2" charset="0"/>
              </a:rPr>
              <a:t>maio 2024</a:t>
            </a:r>
          </a:p>
        </xdr:txBody>
      </xdr:sp>
    </xdr:grpSp>
    <xdr:clientData/>
  </xdr:twoCellAnchor>
  <xdr:twoCellAnchor editAs="oneCell">
    <xdr:from>
      <xdr:col>22</xdr:col>
      <xdr:colOff>223899</xdr:colOff>
      <xdr:row>0</xdr:row>
      <xdr:rowOff>118750</xdr:rowOff>
    </xdr:from>
    <xdr:to>
      <xdr:col>26</xdr:col>
      <xdr:colOff>0</xdr:colOff>
      <xdr:row>2</xdr:row>
      <xdr:rowOff>170329</xdr:rowOff>
    </xdr:to>
    <xdr:pic>
      <xdr:nvPicPr>
        <xdr:cNvPr id="13" name="Picture 12">
          <a:extLst>
            <a:ext uri="{FF2B5EF4-FFF2-40B4-BE49-F238E27FC236}">
              <a16:creationId xmlns:a16="http://schemas.microsoft.com/office/drawing/2014/main" id="{130E5E67-F4C7-B88F-D8C3-D23380B750F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240652" y="118750"/>
          <a:ext cx="2142783" cy="517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609600</xdr:colOff>
      <xdr:row>1</xdr:row>
      <xdr:rowOff>43543</xdr:rowOff>
    </xdr:from>
    <xdr:to>
      <xdr:col>17</xdr:col>
      <xdr:colOff>1360714</xdr:colOff>
      <xdr:row>6</xdr:row>
      <xdr:rowOff>123825</xdr:rowOff>
    </xdr:to>
    <xdr:sp macro="" textlink="">
      <xdr:nvSpPr>
        <xdr:cNvPr id="2" name="Retângulo: Cantos Arredondados 5">
          <a:extLst>
            <a:ext uri="{FF2B5EF4-FFF2-40B4-BE49-F238E27FC236}">
              <a16:creationId xmlns:a16="http://schemas.microsoft.com/office/drawing/2014/main" id="{7D3E06F2-D8A3-4434-B05C-BB24CFBEE1F1}"/>
            </a:ext>
          </a:extLst>
        </xdr:cNvPr>
        <xdr:cNvSpPr/>
      </xdr:nvSpPr>
      <xdr:spPr>
        <a:xfrm>
          <a:off x="609600" y="228600"/>
          <a:ext cx="1835331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Combustão Móvel</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696683</xdr:colOff>
      <xdr:row>1</xdr:row>
      <xdr:rowOff>182789</xdr:rowOff>
    </xdr:from>
    <xdr:to>
      <xdr:col>9</xdr:col>
      <xdr:colOff>217256</xdr:colOff>
      <xdr:row>5</xdr:row>
      <xdr:rowOff>163285</xdr:rowOff>
    </xdr:to>
    <xdr:sp macro="" textlink="">
      <xdr:nvSpPr>
        <xdr:cNvPr id="4" name="Retângulo: Cantos Arredondados 5">
          <a:extLst>
            <a:ext uri="{FF2B5EF4-FFF2-40B4-BE49-F238E27FC236}">
              <a16:creationId xmlns:a16="http://schemas.microsoft.com/office/drawing/2014/main" id="{4CDE1E17-C258-40F4-8945-E609A24E94D7}"/>
            </a:ext>
          </a:extLst>
        </xdr:cNvPr>
        <xdr:cNvSpPr/>
      </xdr:nvSpPr>
      <xdr:spPr>
        <a:xfrm>
          <a:off x="3047997" y="378732"/>
          <a:ext cx="11571059" cy="76426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Emissões Fugitivas</a:t>
          </a:r>
        </a:p>
      </xdr:txBody>
    </xdr:sp>
    <xdr:clientData/>
  </xdr:twoCellAnchor>
  <xdr:twoCellAnchor>
    <xdr:from>
      <xdr:col>1</xdr:col>
      <xdr:colOff>180975</xdr:colOff>
      <xdr:row>1</xdr:row>
      <xdr:rowOff>137436</xdr:rowOff>
    </xdr:from>
    <xdr:to>
      <xdr:col>2</xdr:col>
      <xdr:colOff>66674</xdr:colOff>
      <xdr:row>4</xdr:row>
      <xdr:rowOff>185058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23B72F82-3851-49F9-8EFB-3261AB7D4E40}"/>
            </a:ext>
          </a:extLst>
        </xdr:cNvPr>
        <xdr:cNvSpPr/>
      </xdr:nvSpPr>
      <xdr:spPr>
        <a:xfrm>
          <a:off x="1095375" y="333379"/>
          <a:ext cx="1322613" cy="6354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892629</xdr:colOff>
      <xdr:row>5</xdr:row>
      <xdr:rowOff>12252</xdr:rowOff>
    </xdr:from>
    <xdr:to>
      <xdr:col>1</xdr:col>
      <xdr:colOff>1230086</xdr:colOff>
      <xdr:row>7</xdr:row>
      <xdr:rowOff>29921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A8E6D3BE-7584-4712-986D-3CCDD9A250FD}"/>
            </a:ext>
          </a:extLst>
        </xdr:cNvPr>
        <xdr:cNvSpPr/>
      </xdr:nvSpPr>
      <xdr:spPr>
        <a:xfrm>
          <a:off x="1778454" y="1012377"/>
          <a:ext cx="337457" cy="455819"/>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326570</xdr:colOff>
      <xdr:row>5</xdr:row>
      <xdr:rowOff>13342</xdr:rowOff>
    </xdr:from>
    <xdr:to>
      <xdr:col>1</xdr:col>
      <xdr:colOff>664025</xdr:colOff>
      <xdr:row>7</xdr:row>
      <xdr:rowOff>28576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99C85CAD-07F0-449D-8C97-0E78F4EB8E97}"/>
            </a:ext>
          </a:extLst>
        </xdr:cNvPr>
        <xdr:cNvSpPr/>
      </xdr:nvSpPr>
      <xdr:spPr>
        <a:xfrm flipH="1">
          <a:off x="1212395" y="1013467"/>
          <a:ext cx="337455" cy="45338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358586</xdr:colOff>
      <xdr:row>1</xdr:row>
      <xdr:rowOff>23533</xdr:rowOff>
    </xdr:from>
    <xdr:to>
      <xdr:col>8</xdr:col>
      <xdr:colOff>5226423</xdr:colOff>
      <xdr:row>6</xdr:row>
      <xdr:rowOff>96558</xdr:rowOff>
    </xdr:to>
    <xdr:sp macro="" textlink="">
      <xdr:nvSpPr>
        <xdr:cNvPr id="2" name="Retângulo: Cantos Arredondados 5">
          <a:extLst>
            <a:ext uri="{FF2B5EF4-FFF2-40B4-BE49-F238E27FC236}">
              <a16:creationId xmlns:a16="http://schemas.microsoft.com/office/drawing/2014/main" id="{3A91594C-6D47-440A-BB28-4F61F3FCE5F4}"/>
            </a:ext>
          </a:extLst>
        </xdr:cNvPr>
        <xdr:cNvSpPr/>
      </xdr:nvSpPr>
      <xdr:spPr>
        <a:xfrm>
          <a:off x="358586" y="202827"/>
          <a:ext cx="14827625" cy="9694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Fugitivas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130629</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5A86954D-DCCB-4851-90CE-25129E67664A}"/>
            </a:ext>
          </a:extLst>
        </xdr:cNvPr>
        <xdr:cNvSpPr/>
      </xdr:nvSpPr>
      <xdr:spPr>
        <a:xfrm>
          <a:off x="702128" y="290284"/>
          <a:ext cx="1213758" cy="71392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2</xdr:col>
      <xdr:colOff>1323975</xdr:colOff>
      <xdr:row>1</xdr:row>
      <xdr:rowOff>57150</xdr:rowOff>
    </xdr:from>
    <xdr:to>
      <xdr:col>9</xdr:col>
      <xdr:colOff>609600</xdr:colOff>
      <xdr:row>6</xdr:row>
      <xdr:rowOff>133350</xdr:rowOff>
    </xdr:to>
    <xdr:sp macro="" textlink="">
      <xdr:nvSpPr>
        <xdr:cNvPr id="4" name="Retângulo: Cantos Arredondados 5">
          <a:extLst>
            <a:ext uri="{FF2B5EF4-FFF2-40B4-BE49-F238E27FC236}">
              <a16:creationId xmlns:a16="http://schemas.microsoft.com/office/drawing/2014/main" id="{5D854A36-0AD3-48A0-9665-4C3EBB9E0F6C}"/>
            </a:ext>
          </a:extLst>
        </xdr:cNvPr>
        <xdr:cNvSpPr/>
      </xdr:nvSpPr>
      <xdr:spPr>
        <a:xfrm>
          <a:off x="3109232" y="242207"/>
          <a:ext cx="12087225" cy="100148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Processos Industriais</a:t>
          </a:r>
        </a:p>
      </xdr:txBody>
    </xdr:sp>
    <xdr:clientData/>
  </xdr:twoCellAnchor>
  <xdr:twoCellAnchor>
    <xdr:from>
      <xdr:col>1</xdr:col>
      <xdr:colOff>816430</xdr:colOff>
      <xdr:row>5</xdr:row>
      <xdr:rowOff>87086</xdr:rowOff>
    </xdr:from>
    <xdr:to>
      <xdr:col>1</xdr:col>
      <xdr:colOff>1121231</xdr:colOff>
      <xdr:row>7</xdr:row>
      <xdr:rowOff>32657</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C56F8903-BBED-4141-B3F9-B91293C72FD1}"/>
            </a:ext>
          </a:extLst>
        </xdr:cNvPr>
        <xdr:cNvSpPr/>
      </xdr:nvSpPr>
      <xdr:spPr>
        <a:xfrm>
          <a:off x="1447801" y="10668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F4C6CE75-CE59-41AD-A1CF-6E22EB4D634A}"/>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1408338</xdr:colOff>
      <xdr:row>1</xdr:row>
      <xdr:rowOff>19050</xdr:rowOff>
    </xdr:from>
    <xdr:to>
      <xdr:col>17</xdr:col>
      <xdr:colOff>315685</xdr:colOff>
      <xdr:row>6</xdr:row>
      <xdr:rowOff>99332</xdr:rowOff>
    </xdr:to>
    <xdr:sp macro="" textlink="">
      <xdr:nvSpPr>
        <xdr:cNvPr id="2" name="Retângulo: Cantos Arredondados 5">
          <a:extLst>
            <a:ext uri="{FF2B5EF4-FFF2-40B4-BE49-F238E27FC236}">
              <a16:creationId xmlns:a16="http://schemas.microsoft.com/office/drawing/2014/main" id="{8509EFCC-F251-42A8-9FCB-64EECF7D40E9}"/>
            </a:ext>
          </a:extLst>
        </xdr:cNvPr>
        <xdr:cNvSpPr/>
      </xdr:nvSpPr>
      <xdr:spPr>
        <a:xfrm>
          <a:off x="1408338" y="204107"/>
          <a:ext cx="16498661"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13607</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BE5186C6-65F1-4253-AB20-560324BB7EED}"/>
            </a:ext>
          </a:extLst>
        </xdr:cNvPr>
        <xdr:cNvSpPr/>
      </xdr:nvSpPr>
      <xdr:spPr>
        <a:xfrm>
          <a:off x="703217" y="277221"/>
          <a:ext cx="1101090" cy="66167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391886</xdr:colOff>
      <xdr:row>1</xdr:row>
      <xdr:rowOff>57150</xdr:rowOff>
    </xdr:from>
    <xdr:to>
      <xdr:col>9</xdr:col>
      <xdr:colOff>674914</xdr:colOff>
      <xdr:row>6</xdr:row>
      <xdr:rowOff>133350</xdr:rowOff>
    </xdr:to>
    <xdr:sp macro="" textlink="">
      <xdr:nvSpPr>
        <xdr:cNvPr id="3" name="Retângulo: Cantos Arredondados 5">
          <a:extLst>
            <a:ext uri="{FF2B5EF4-FFF2-40B4-BE49-F238E27FC236}">
              <a16:creationId xmlns:a16="http://schemas.microsoft.com/office/drawing/2014/main" id="{DD416C00-449A-42E9-ACFA-7927E69229DA}"/>
            </a:ext>
          </a:extLst>
        </xdr:cNvPr>
        <xdr:cNvSpPr/>
      </xdr:nvSpPr>
      <xdr:spPr>
        <a:xfrm>
          <a:off x="2177143" y="253093"/>
          <a:ext cx="15501257" cy="105591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Outras emissões de processo</a:t>
          </a:r>
        </a:p>
      </xdr:txBody>
    </xdr:sp>
    <xdr:clientData/>
  </xdr:twoCellAnchor>
  <xdr:twoCellAnchor>
    <xdr:from>
      <xdr:col>1</xdr:col>
      <xdr:colOff>740228</xdr:colOff>
      <xdr:row>5</xdr:row>
      <xdr:rowOff>76200</xdr:rowOff>
    </xdr:from>
    <xdr:to>
      <xdr:col>1</xdr:col>
      <xdr:colOff>1045029</xdr:colOff>
      <xdr:row>7</xdr:row>
      <xdr:rowOff>21771</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535D0CA5-02C5-4087-A980-85870DE0F7AC}"/>
            </a:ext>
          </a:extLst>
        </xdr:cNvPr>
        <xdr:cNvSpPr/>
      </xdr:nvSpPr>
      <xdr:spPr>
        <a:xfrm>
          <a:off x="1371599" y="10014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142A2D13-55F4-4276-ABF7-7B810D7B7C6F}"/>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1147082</xdr:colOff>
      <xdr:row>1</xdr:row>
      <xdr:rowOff>73478</xdr:rowOff>
    </xdr:from>
    <xdr:to>
      <xdr:col>12</xdr:col>
      <xdr:colOff>10886</xdr:colOff>
      <xdr:row>6</xdr:row>
      <xdr:rowOff>153760</xdr:rowOff>
    </xdr:to>
    <xdr:sp macro="" textlink="">
      <xdr:nvSpPr>
        <xdr:cNvPr id="2" name="Retângulo: Cantos Arredondados 5">
          <a:extLst>
            <a:ext uri="{FF2B5EF4-FFF2-40B4-BE49-F238E27FC236}">
              <a16:creationId xmlns:a16="http://schemas.microsoft.com/office/drawing/2014/main" id="{A99AA874-C838-4CD9-A6D9-BE85FB25E496}"/>
            </a:ext>
          </a:extLst>
        </xdr:cNvPr>
        <xdr:cNvSpPr/>
      </xdr:nvSpPr>
      <xdr:spPr>
        <a:xfrm>
          <a:off x="1147082" y="258535"/>
          <a:ext cx="1296080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1268556</xdr:colOff>
      <xdr:row>1</xdr:row>
      <xdr:rowOff>34636</xdr:rowOff>
    </xdr:from>
    <xdr:to>
      <xdr:col>18</xdr:col>
      <xdr:colOff>13854</xdr:colOff>
      <xdr:row>6</xdr:row>
      <xdr:rowOff>110836</xdr:rowOff>
    </xdr:to>
    <xdr:sp macro="" textlink="">
      <xdr:nvSpPr>
        <xdr:cNvPr id="3" name="Retângulo: Cantos Arredondados 5">
          <a:extLst>
            <a:ext uri="{FF2B5EF4-FFF2-40B4-BE49-F238E27FC236}">
              <a16:creationId xmlns:a16="http://schemas.microsoft.com/office/drawing/2014/main" id="{5A01ABC6-E9CD-4D3F-963A-E5CF3D79B19D}"/>
            </a:ext>
          </a:extLst>
        </xdr:cNvPr>
        <xdr:cNvSpPr/>
      </xdr:nvSpPr>
      <xdr:spPr>
        <a:xfrm>
          <a:off x="1268556" y="214745"/>
          <a:ext cx="22838353" cy="9767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Alteração dos Usos de Solo</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666751</xdr:colOff>
      <xdr:row>1</xdr:row>
      <xdr:rowOff>170863</xdr:rowOff>
    </xdr:from>
    <xdr:to>
      <xdr:col>7</xdr:col>
      <xdr:colOff>1390651</xdr:colOff>
      <xdr:row>7</xdr:row>
      <xdr:rowOff>21772</xdr:rowOff>
    </xdr:to>
    <xdr:sp macro="" textlink="">
      <xdr:nvSpPr>
        <xdr:cNvPr id="7" name="Retângulo: Cantos Arredondados 5">
          <a:extLst>
            <a:ext uri="{FF2B5EF4-FFF2-40B4-BE49-F238E27FC236}">
              <a16:creationId xmlns:a16="http://schemas.microsoft.com/office/drawing/2014/main" id="{A06A4A52-3AA4-42FE-8B88-CC99755CABEF}"/>
            </a:ext>
          </a:extLst>
        </xdr:cNvPr>
        <xdr:cNvSpPr/>
      </xdr:nvSpPr>
      <xdr:spPr>
        <a:xfrm>
          <a:off x="2781301" y="361363"/>
          <a:ext cx="13144500" cy="99390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Energia Elétrica e Térmica Contratada</a:t>
          </a:r>
        </a:p>
      </xdr:txBody>
    </xdr:sp>
    <xdr:clientData/>
  </xdr:twoCellAnchor>
  <xdr:twoCellAnchor>
    <xdr:from>
      <xdr:col>0</xdr:col>
      <xdr:colOff>817791</xdr:colOff>
      <xdr:row>1</xdr:row>
      <xdr:rowOff>172677</xdr:rowOff>
    </xdr:from>
    <xdr:to>
      <xdr:col>2</xdr:col>
      <xdr:colOff>97972</xdr:colOff>
      <xdr:row>5</xdr:row>
      <xdr:rowOff>43543</xdr:rowOff>
    </xdr:to>
    <xdr:sp macro="" textlink="">
      <xdr:nvSpPr>
        <xdr:cNvPr id="8" name="Retângulo: Cantos Arredondados 3">
          <a:hlinkClick xmlns:r="http://schemas.openxmlformats.org/officeDocument/2006/relationships" r:id="rId1"/>
          <a:extLst>
            <a:ext uri="{FF2B5EF4-FFF2-40B4-BE49-F238E27FC236}">
              <a16:creationId xmlns:a16="http://schemas.microsoft.com/office/drawing/2014/main" id="{0C7D2AB3-6A16-4712-9F7D-22E79D37DC22}"/>
            </a:ext>
          </a:extLst>
        </xdr:cNvPr>
        <xdr:cNvSpPr/>
      </xdr:nvSpPr>
      <xdr:spPr>
        <a:xfrm>
          <a:off x="817791" y="357734"/>
          <a:ext cx="1392010" cy="61109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827314</xdr:colOff>
      <xdr:row>5</xdr:row>
      <xdr:rowOff>87086</xdr:rowOff>
    </xdr:from>
    <xdr:to>
      <xdr:col>1</xdr:col>
      <xdr:colOff>1132115</xdr:colOff>
      <xdr:row>7</xdr:row>
      <xdr:rowOff>32657</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677CF074-757A-4E13-A295-7DC25281D3C8}"/>
            </a:ext>
          </a:extLst>
        </xdr:cNvPr>
        <xdr:cNvSpPr/>
      </xdr:nvSpPr>
      <xdr:spPr>
        <a:xfrm>
          <a:off x="1654628" y="1012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261258</xdr:colOff>
      <xdr:row>5</xdr:row>
      <xdr:rowOff>87086</xdr:rowOff>
    </xdr:from>
    <xdr:to>
      <xdr:col>1</xdr:col>
      <xdr:colOff>566057</xdr:colOff>
      <xdr:row>7</xdr:row>
      <xdr:rowOff>43544</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8C046757-131F-4A7D-BACF-2BA5A507289F}"/>
            </a:ext>
          </a:extLst>
        </xdr:cNvPr>
        <xdr:cNvSpPr/>
      </xdr:nvSpPr>
      <xdr:spPr>
        <a:xfrm flipH="1">
          <a:off x="1088572" y="1012372"/>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597353</xdr:colOff>
      <xdr:row>1</xdr:row>
      <xdr:rowOff>65314</xdr:rowOff>
    </xdr:from>
    <xdr:to>
      <xdr:col>12</xdr:col>
      <xdr:colOff>130629</xdr:colOff>
      <xdr:row>6</xdr:row>
      <xdr:rowOff>161124</xdr:rowOff>
    </xdr:to>
    <xdr:sp macro="" textlink="">
      <xdr:nvSpPr>
        <xdr:cNvPr id="2" name="Retângulo: Cantos Arredondados 5">
          <a:extLst>
            <a:ext uri="{FF2B5EF4-FFF2-40B4-BE49-F238E27FC236}">
              <a16:creationId xmlns:a16="http://schemas.microsoft.com/office/drawing/2014/main" id="{BB31F3E5-52E8-44FD-A1CD-1F425F5F59A9}"/>
            </a:ext>
          </a:extLst>
        </xdr:cNvPr>
        <xdr:cNvSpPr/>
      </xdr:nvSpPr>
      <xdr:spPr>
        <a:xfrm>
          <a:off x="597353" y="250371"/>
          <a:ext cx="17440276" cy="10210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Energia Elétrica e térmica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326571</xdr:colOff>
      <xdr:row>1</xdr:row>
      <xdr:rowOff>87405</xdr:rowOff>
    </xdr:from>
    <xdr:to>
      <xdr:col>22</xdr:col>
      <xdr:colOff>43543</xdr:colOff>
      <xdr:row>7</xdr:row>
      <xdr:rowOff>1951</xdr:rowOff>
    </xdr:to>
    <xdr:sp macro="" textlink="">
      <xdr:nvSpPr>
        <xdr:cNvPr id="2" name="Retângulo: Cantos Arredondados 5">
          <a:extLst>
            <a:ext uri="{FF2B5EF4-FFF2-40B4-BE49-F238E27FC236}">
              <a16:creationId xmlns:a16="http://schemas.microsoft.com/office/drawing/2014/main" id="{C7C99B9A-AC8B-46C8-90FF-195BB0A26FE3}"/>
            </a:ext>
          </a:extLst>
        </xdr:cNvPr>
        <xdr:cNvSpPr/>
      </xdr:nvSpPr>
      <xdr:spPr>
        <a:xfrm>
          <a:off x="2122714" y="316005"/>
          <a:ext cx="11495315" cy="12861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Como Usar</a:t>
          </a:r>
          <a:r>
            <a:rPr lang="pt-PT" sz="2800" b="1" baseline="0">
              <a:solidFill>
                <a:sysClr val="windowText" lastClr="000000"/>
              </a:solidFill>
              <a:latin typeface="+mn-lt"/>
              <a:cs typeface="Poppins" panose="00000500000000000000" pitchFamily="2" charset="0"/>
            </a:rPr>
            <a:t> a Calculadora</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54429</xdr:colOff>
      <xdr:row>1</xdr:row>
      <xdr:rowOff>160111</xdr:rowOff>
    </xdr:from>
    <xdr:to>
      <xdr:col>2</xdr:col>
      <xdr:colOff>581478</xdr:colOff>
      <xdr:row>5</xdr:row>
      <xdr:rowOff>116034</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280B8D7C-E555-40B9-9962-DB54EB7DE04C}"/>
            </a:ext>
          </a:extLst>
        </xdr:cNvPr>
        <xdr:cNvSpPr/>
      </xdr:nvSpPr>
      <xdr:spPr>
        <a:xfrm>
          <a:off x="653143" y="388711"/>
          <a:ext cx="1125764" cy="87032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87085</xdr:colOff>
      <xdr:row>5</xdr:row>
      <xdr:rowOff>152400</xdr:rowOff>
    </xdr:from>
    <xdr:to>
      <xdr:col>2</xdr:col>
      <xdr:colOff>391886</xdr:colOff>
      <xdr:row>7</xdr:row>
      <xdr:rowOff>97971</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A0D11853-B87A-4DD1-9D17-03115FDB2C1D}"/>
            </a:ext>
          </a:extLst>
        </xdr:cNvPr>
        <xdr:cNvSpPr/>
      </xdr:nvSpPr>
      <xdr:spPr>
        <a:xfrm>
          <a:off x="1284514" y="1295400"/>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195944</xdr:colOff>
      <xdr:row>5</xdr:row>
      <xdr:rowOff>152400</xdr:rowOff>
    </xdr:from>
    <xdr:to>
      <xdr:col>1</xdr:col>
      <xdr:colOff>500743</xdr:colOff>
      <xdr:row>7</xdr:row>
      <xdr:rowOff>108858</xdr:rowOff>
    </xdr:to>
    <xdr:sp macro="" textlink="">
      <xdr:nvSpPr>
        <xdr:cNvPr id="5" name="Arrow: Right 4">
          <a:hlinkClick xmlns:r="http://schemas.openxmlformats.org/officeDocument/2006/relationships" r:id="rId2"/>
          <a:extLst>
            <a:ext uri="{FF2B5EF4-FFF2-40B4-BE49-F238E27FC236}">
              <a16:creationId xmlns:a16="http://schemas.microsoft.com/office/drawing/2014/main" id="{173E6F8D-E597-4CEE-A7A4-7B97620AA061}"/>
            </a:ext>
          </a:extLst>
        </xdr:cNvPr>
        <xdr:cNvSpPr/>
      </xdr:nvSpPr>
      <xdr:spPr>
        <a:xfrm flipH="1">
          <a:off x="794658" y="1295400"/>
          <a:ext cx="304799" cy="41365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21</xdr:col>
      <xdr:colOff>943351</xdr:colOff>
      <xdr:row>10</xdr:row>
      <xdr:rowOff>6539</xdr:rowOff>
    </xdr:from>
    <xdr:to>
      <xdr:col>26</xdr:col>
      <xdr:colOff>0</xdr:colOff>
      <xdr:row>35</xdr:row>
      <xdr:rowOff>968836</xdr:rowOff>
    </xdr:to>
    <xdr:pic>
      <xdr:nvPicPr>
        <xdr:cNvPr id="6" name="Picture 5">
          <a:extLst>
            <a:ext uri="{FF2B5EF4-FFF2-40B4-BE49-F238E27FC236}">
              <a16:creationId xmlns:a16="http://schemas.microsoft.com/office/drawing/2014/main" id="{F488FEF0-7015-7068-B348-D04A0CA8A065}"/>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4589" t="-653" r="33379" b="-653"/>
        <a:stretch/>
      </xdr:blipFill>
      <xdr:spPr bwMode="auto">
        <a:xfrm>
          <a:off x="13516351" y="2357853"/>
          <a:ext cx="2452992" cy="6394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xdr:row>
      <xdr:rowOff>15874</xdr:rowOff>
    </xdr:from>
    <xdr:to>
      <xdr:col>2</xdr:col>
      <xdr:colOff>177800</xdr:colOff>
      <xdr:row>5</xdr:row>
      <xdr:rowOff>126999</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3B406C85-BAD3-4855-903C-98658C739851}"/>
            </a:ext>
          </a:extLst>
        </xdr:cNvPr>
        <xdr:cNvSpPr/>
      </xdr:nvSpPr>
      <xdr:spPr>
        <a:xfrm>
          <a:off x="609600" y="377824"/>
          <a:ext cx="1120775" cy="6540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1402079</xdr:colOff>
      <xdr:row>1</xdr:row>
      <xdr:rowOff>83457</xdr:rowOff>
    </xdr:from>
    <xdr:to>
      <xdr:col>10</xdr:col>
      <xdr:colOff>274320</xdr:colOff>
      <xdr:row>6</xdr:row>
      <xdr:rowOff>169182</xdr:rowOff>
    </xdr:to>
    <xdr:sp macro="" textlink="">
      <xdr:nvSpPr>
        <xdr:cNvPr id="6" name="Retângulo: Cantos Arredondados 5">
          <a:extLst>
            <a:ext uri="{FF2B5EF4-FFF2-40B4-BE49-F238E27FC236}">
              <a16:creationId xmlns:a16="http://schemas.microsoft.com/office/drawing/2014/main" id="{5EF3FAE4-D1D0-4169-8CD8-4A3C68586E3F}"/>
            </a:ext>
          </a:extLst>
        </xdr:cNvPr>
        <xdr:cNvSpPr/>
      </xdr:nvSpPr>
      <xdr:spPr>
        <a:xfrm>
          <a:off x="2956559" y="296817"/>
          <a:ext cx="21457921" cy="1152525"/>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Emissões Evitadas</a:t>
          </a:r>
        </a:p>
      </xdr:txBody>
    </xdr:sp>
    <xdr:clientData/>
  </xdr:twoCellAnchor>
  <xdr:twoCellAnchor>
    <xdr:from>
      <xdr:col>1</xdr:col>
      <xdr:colOff>659492</xdr:colOff>
      <xdr:row>5</xdr:row>
      <xdr:rowOff>177347</xdr:rowOff>
    </xdr:from>
    <xdr:to>
      <xdr:col>2</xdr:col>
      <xdr:colOff>39007</xdr:colOff>
      <xdr:row>7</xdr:row>
      <xdr:rowOff>122918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28EEC85A-0039-4777-AC56-5130F670AA9E}"/>
            </a:ext>
          </a:extLst>
        </xdr:cNvPr>
        <xdr:cNvSpPr/>
      </xdr:nvSpPr>
      <xdr:spPr>
        <a:xfrm>
          <a:off x="1258206" y="115706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93436</xdr:colOff>
      <xdr:row>5</xdr:row>
      <xdr:rowOff>177347</xdr:rowOff>
    </xdr:from>
    <xdr:to>
      <xdr:col>1</xdr:col>
      <xdr:colOff>398235</xdr:colOff>
      <xdr:row>7</xdr:row>
      <xdr:rowOff>133805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AEB799AC-DB8B-443C-9962-DF23259FA6BF}"/>
            </a:ext>
          </a:extLst>
        </xdr:cNvPr>
        <xdr:cNvSpPr/>
      </xdr:nvSpPr>
      <xdr:spPr>
        <a:xfrm flipH="1">
          <a:off x="692150" y="115706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601979</xdr:colOff>
      <xdr:row>1</xdr:row>
      <xdr:rowOff>163830</xdr:rowOff>
    </xdr:from>
    <xdr:to>
      <xdr:col>6</xdr:col>
      <xdr:colOff>38100</xdr:colOff>
      <xdr:row>5</xdr:row>
      <xdr:rowOff>30480</xdr:rowOff>
    </xdr:to>
    <xdr:sp macro="" textlink="">
      <xdr:nvSpPr>
        <xdr:cNvPr id="2" name="Retângulo: Cantos Arredondados 5">
          <a:extLst>
            <a:ext uri="{FF2B5EF4-FFF2-40B4-BE49-F238E27FC236}">
              <a16:creationId xmlns:a16="http://schemas.microsoft.com/office/drawing/2014/main" id="{47ADCE84-39FB-4606-93D7-EF6331528FC4}"/>
            </a:ext>
          </a:extLst>
        </xdr:cNvPr>
        <xdr:cNvSpPr/>
      </xdr:nvSpPr>
      <xdr:spPr>
        <a:xfrm>
          <a:off x="601979" y="346710"/>
          <a:ext cx="4739641" cy="59817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Emissões Evitadas</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263236</xdr:colOff>
      <xdr:row>1</xdr:row>
      <xdr:rowOff>18220</xdr:rowOff>
    </xdr:from>
    <xdr:to>
      <xdr:col>10</xdr:col>
      <xdr:colOff>2244437</xdr:colOff>
      <xdr:row>6</xdr:row>
      <xdr:rowOff>84961</xdr:rowOff>
    </xdr:to>
    <xdr:sp macro="" textlink="">
      <xdr:nvSpPr>
        <xdr:cNvPr id="6" name="Retângulo: Cantos Arredondados 5">
          <a:extLst>
            <a:ext uri="{FF2B5EF4-FFF2-40B4-BE49-F238E27FC236}">
              <a16:creationId xmlns:a16="http://schemas.microsoft.com/office/drawing/2014/main" id="{5FF6F6EE-E2E6-4A8B-B2BD-7002010DEAA4}"/>
            </a:ext>
          </a:extLst>
        </xdr:cNvPr>
        <xdr:cNvSpPr/>
      </xdr:nvSpPr>
      <xdr:spPr>
        <a:xfrm>
          <a:off x="1939636" y="212184"/>
          <a:ext cx="13300365" cy="103655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Aquisição de</a:t>
          </a:r>
          <a:r>
            <a:rPr lang="pt-PT" sz="2800" b="1" baseline="0">
              <a:solidFill>
                <a:sysClr val="windowText" lastClr="000000"/>
              </a:solidFill>
              <a:latin typeface="+mn-lt"/>
              <a:cs typeface="Poppins" panose="00000500000000000000" pitchFamily="2" charset="0"/>
            </a:rPr>
            <a:t> bens e serviços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4" name="Retângulo: Cantos Arredondados 3">
          <a:hlinkClick xmlns:r="http://schemas.openxmlformats.org/officeDocument/2006/relationships" r:id="rId1"/>
          <a:extLst>
            <a:ext uri="{FF2B5EF4-FFF2-40B4-BE49-F238E27FC236}">
              <a16:creationId xmlns:a16="http://schemas.microsoft.com/office/drawing/2014/main" id="{C6811086-6C98-437A-89CC-363906D54ECF}"/>
            </a:ext>
          </a:extLst>
        </xdr:cNvPr>
        <xdr:cNvSpPr/>
      </xdr:nvSpPr>
      <xdr:spPr>
        <a:xfrm>
          <a:off x="683160" y="264556"/>
          <a:ext cx="1049399" cy="71260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E5536F7-B74C-4F0B-A43F-CBB754798AA5}"/>
            </a:ext>
          </a:extLst>
        </xdr:cNvPr>
        <xdr:cNvSpPr/>
      </xdr:nvSpPr>
      <xdr:spPr>
        <a:xfrm>
          <a:off x="1314532" y="1015668"/>
          <a:ext cx="307770" cy="33349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47CF0628-4F66-4920-8D83-CA7503AA1081}"/>
            </a:ext>
          </a:extLst>
        </xdr:cNvPr>
        <xdr:cNvSpPr/>
      </xdr:nvSpPr>
      <xdr:spPr>
        <a:xfrm flipH="1">
          <a:off x="748476" y="1015668"/>
          <a:ext cx="304799" cy="3443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762000</xdr:colOff>
      <xdr:row>1</xdr:row>
      <xdr:rowOff>0</xdr:rowOff>
    </xdr:from>
    <xdr:to>
      <xdr:col>9</xdr:col>
      <xdr:colOff>43543</xdr:colOff>
      <xdr:row>4</xdr:row>
      <xdr:rowOff>129540</xdr:rowOff>
    </xdr:to>
    <xdr:sp macro="" textlink="">
      <xdr:nvSpPr>
        <xdr:cNvPr id="2" name="Retângulo: Cantos Arredondados 5">
          <a:extLst>
            <a:ext uri="{FF2B5EF4-FFF2-40B4-BE49-F238E27FC236}">
              <a16:creationId xmlns:a16="http://schemas.microsoft.com/office/drawing/2014/main" id="{B7EB4B73-C71C-4F8F-9EB6-7FA51FA0EAB5}"/>
            </a:ext>
          </a:extLst>
        </xdr:cNvPr>
        <xdr:cNvSpPr/>
      </xdr:nvSpPr>
      <xdr:spPr>
        <a:xfrm>
          <a:off x="2209800" y="185057"/>
          <a:ext cx="6868886" cy="68471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Bens de consumo e de capital</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426523</xdr:colOff>
      <xdr:row>1</xdr:row>
      <xdr:rowOff>59783</xdr:rowOff>
    </xdr:from>
    <xdr:to>
      <xdr:col>10</xdr:col>
      <xdr:colOff>2247901</xdr:colOff>
      <xdr:row>6</xdr:row>
      <xdr:rowOff>126524</xdr:rowOff>
    </xdr:to>
    <xdr:sp macro="" textlink="">
      <xdr:nvSpPr>
        <xdr:cNvPr id="2" name="Retângulo: Cantos Arredondados 5">
          <a:extLst>
            <a:ext uri="{FF2B5EF4-FFF2-40B4-BE49-F238E27FC236}">
              <a16:creationId xmlns:a16="http://schemas.microsoft.com/office/drawing/2014/main" id="{8A600445-ACC1-4DA1-BBCE-D653A3ED5D56}"/>
            </a:ext>
          </a:extLst>
        </xdr:cNvPr>
        <xdr:cNvSpPr/>
      </xdr:nvSpPr>
      <xdr:spPr>
        <a:xfrm>
          <a:off x="2102923" y="250283"/>
          <a:ext cx="15423078" cy="101924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Uso dos produtos do projeto</a:t>
          </a: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9860FE73-593E-4C8F-84AA-EB72271631D5}"/>
            </a:ext>
          </a:extLst>
        </xdr:cNvPr>
        <xdr:cNvSpPr/>
      </xdr:nvSpPr>
      <xdr:spPr>
        <a:xfrm>
          <a:off x="678806" y="266733"/>
          <a:ext cx="1053753" cy="71913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A1561A69-2DD2-4343-A02C-00A186DDF186}"/>
            </a:ext>
          </a:extLst>
        </xdr:cNvPr>
        <xdr:cNvSpPr/>
      </xdr:nvSpPr>
      <xdr:spPr>
        <a:xfrm>
          <a:off x="1310178" y="1026554"/>
          <a:ext cx="307770" cy="33567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6196F66D-7F8C-440B-ACE9-9C4AD5E9E9AB}"/>
            </a:ext>
          </a:extLst>
        </xdr:cNvPr>
        <xdr:cNvSpPr/>
      </xdr:nvSpPr>
      <xdr:spPr>
        <a:xfrm flipH="1">
          <a:off x="744122" y="1026554"/>
          <a:ext cx="304799" cy="34656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699621</xdr:colOff>
      <xdr:row>0</xdr:row>
      <xdr:rowOff>174066</xdr:rowOff>
    </xdr:from>
    <xdr:to>
      <xdr:col>3</xdr:col>
      <xdr:colOff>35859</xdr:colOff>
      <xdr:row>4</xdr:row>
      <xdr:rowOff>26896</xdr:rowOff>
    </xdr:to>
    <xdr:sp macro="" textlink="">
      <xdr:nvSpPr>
        <xdr:cNvPr id="2" name="Retângulo: Cantos Arredondados 5">
          <a:extLst>
            <a:ext uri="{FF2B5EF4-FFF2-40B4-BE49-F238E27FC236}">
              <a16:creationId xmlns:a16="http://schemas.microsoft.com/office/drawing/2014/main" id="{95B52C48-204C-4F15-9F24-D91F4162EB5D}"/>
            </a:ext>
          </a:extLst>
        </xdr:cNvPr>
        <xdr:cNvSpPr/>
      </xdr:nvSpPr>
      <xdr:spPr>
        <a:xfrm>
          <a:off x="699621" y="174066"/>
          <a:ext cx="7933391" cy="57000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Usos do Produto</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413658</xdr:colOff>
      <xdr:row>0</xdr:row>
      <xdr:rowOff>130629</xdr:rowOff>
    </xdr:from>
    <xdr:to>
      <xdr:col>7</xdr:col>
      <xdr:colOff>348344</xdr:colOff>
      <xdr:row>6</xdr:row>
      <xdr:rowOff>31586</xdr:rowOff>
    </xdr:to>
    <xdr:sp macro="" textlink="">
      <xdr:nvSpPr>
        <xdr:cNvPr id="2" name="Retângulo: Cantos Arredondados 5">
          <a:extLst>
            <a:ext uri="{FF2B5EF4-FFF2-40B4-BE49-F238E27FC236}">
              <a16:creationId xmlns:a16="http://schemas.microsoft.com/office/drawing/2014/main" id="{DDDF4D2B-8774-4A51-A0FC-3C967675ECDD}"/>
            </a:ext>
          </a:extLst>
        </xdr:cNvPr>
        <xdr:cNvSpPr/>
      </xdr:nvSpPr>
      <xdr:spPr>
        <a:xfrm>
          <a:off x="413658" y="130629"/>
          <a:ext cx="12126686" cy="101130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Dados gerais e Permuta</a:t>
          </a:r>
          <a:r>
            <a:rPr lang="pt-PT" b="0" baseline="0">
              <a:latin typeface="Poppins" panose="00000500000000000000" pitchFamily="2" charset="0"/>
              <a:cs typeface="Poppins" panose="00000500000000000000" pitchFamily="2" charset="0"/>
            </a:rPr>
            <a:t> Casa-Trabalho</a:t>
          </a:r>
          <a:endParaRPr lang="pt-PT" b="0">
            <a:latin typeface="Poppins" panose="00000500000000000000" pitchFamily="2" charset="0"/>
            <a:cs typeface="Poppins" panose="00000500000000000000"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459442</xdr:colOff>
      <xdr:row>1</xdr:row>
      <xdr:rowOff>174889</xdr:rowOff>
    </xdr:from>
    <xdr:to>
      <xdr:col>2</xdr:col>
      <xdr:colOff>930648</xdr:colOff>
      <xdr:row>5</xdr:row>
      <xdr:rowOff>120735</xdr:rowOff>
    </xdr:to>
    <xdr:sp macro="" textlink="">
      <xdr:nvSpPr>
        <xdr:cNvPr id="6" name="Retângulo: Cantos Arredondados 3">
          <a:hlinkClick xmlns:r="http://schemas.openxmlformats.org/officeDocument/2006/relationships" r:id="rId1"/>
          <a:extLst>
            <a:ext uri="{FF2B5EF4-FFF2-40B4-BE49-F238E27FC236}">
              <a16:creationId xmlns:a16="http://schemas.microsoft.com/office/drawing/2014/main" id="{96B2DF1A-547B-437F-AC02-B8CD71B0B600}"/>
            </a:ext>
          </a:extLst>
        </xdr:cNvPr>
        <xdr:cNvSpPr/>
      </xdr:nvSpPr>
      <xdr:spPr>
        <a:xfrm>
          <a:off x="753356" y="370832"/>
          <a:ext cx="1080806" cy="729617"/>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1251858</xdr:colOff>
      <xdr:row>1</xdr:row>
      <xdr:rowOff>108228</xdr:rowOff>
    </xdr:from>
    <xdr:to>
      <xdr:col>9</xdr:col>
      <xdr:colOff>1230087</xdr:colOff>
      <xdr:row>7</xdr:row>
      <xdr:rowOff>4151</xdr:rowOff>
    </xdr:to>
    <xdr:sp macro="" textlink="">
      <xdr:nvSpPr>
        <xdr:cNvPr id="8" name="Retângulo: Cantos Arredondados 5">
          <a:extLst>
            <a:ext uri="{FF2B5EF4-FFF2-40B4-BE49-F238E27FC236}">
              <a16:creationId xmlns:a16="http://schemas.microsoft.com/office/drawing/2014/main" id="{B3011A9C-E9B5-4BF5-A5E9-279B661AAFCD}"/>
            </a:ext>
          </a:extLst>
        </xdr:cNvPr>
        <xdr:cNvSpPr/>
      </xdr:nvSpPr>
      <xdr:spPr>
        <a:xfrm>
          <a:off x="2155372" y="304171"/>
          <a:ext cx="11299372" cy="107158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Resultados</a:t>
          </a:r>
        </a:p>
      </xdr:txBody>
    </xdr:sp>
    <xdr:clientData/>
  </xdr:twoCellAnchor>
  <xdr:twoCellAnchor>
    <xdr:from>
      <xdr:col>2</xdr:col>
      <xdr:colOff>499472</xdr:colOff>
      <xdr:row>5</xdr:row>
      <xdr:rowOff>162657</xdr:rowOff>
    </xdr:from>
    <xdr:to>
      <xdr:col>2</xdr:col>
      <xdr:colOff>804273</xdr:colOff>
      <xdr:row>7</xdr:row>
      <xdr:rowOff>108228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444B9E4-15F1-41E4-A55E-329910DF337C}"/>
            </a:ext>
          </a:extLst>
        </xdr:cNvPr>
        <xdr:cNvSpPr/>
      </xdr:nvSpPr>
      <xdr:spPr>
        <a:xfrm>
          <a:off x="1402986" y="114237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543016</xdr:colOff>
      <xdr:row>5</xdr:row>
      <xdr:rowOff>162657</xdr:rowOff>
    </xdr:from>
    <xdr:to>
      <xdr:col>2</xdr:col>
      <xdr:colOff>238215</xdr:colOff>
      <xdr:row>7</xdr:row>
      <xdr:rowOff>119115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0DF91AA6-426B-43C9-8429-9832CB342589}"/>
            </a:ext>
          </a:extLst>
        </xdr:cNvPr>
        <xdr:cNvSpPr/>
      </xdr:nvSpPr>
      <xdr:spPr>
        <a:xfrm flipH="1">
          <a:off x="836930" y="114237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607968</xdr:colOff>
      <xdr:row>23</xdr:row>
      <xdr:rowOff>179613</xdr:rowOff>
    </xdr:from>
    <xdr:to>
      <xdr:col>3</xdr:col>
      <xdr:colOff>1651907</xdr:colOff>
      <xdr:row>36</xdr:row>
      <xdr:rowOff>130625</xdr:rowOff>
    </xdr:to>
    <xdr:graphicFrame macro="">
      <xdr:nvGraphicFramePr>
        <xdr:cNvPr id="5" name="Chart 4">
          <a:extLst>
            <a:ext uri="{FF2B5EF4-FFF2-40B4-BE49-F238E27FC236}">
              <a16:creationId xmlns:a16="http://schemas.microsoft.com/office/drawing/2014/main" id="{4ACE02D4-C0BD-36CE-2026-FA0095F608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1774372</xdr:colOff>
      <xdr:row>23</xdr:row>
      <xdr:rowOff>185056</xdr:rowOff>
    </xdr:from>
    <xdr:to>
      <xdr:col>7</xdr:col>
      <xdr:colOff>1055914</xdr:colOff>
      <xdr:row>36</xdr:row>
      <xdr:rowOff>136068</xdr:rowOff>
    </xdr:to>
    <xdr:graphicFrame macro="">
      <xdr:nvGraphicFramePr>
        <xdr:cNvPr id="7" name="Chart 6">
          <a:extLst>
            <a:ext uri="{FF2B5EF4-FFF2-40B4-BE49-F238E27FC236}">
              <a16:creationId xmlns:a16="http://schemas.microsoft.com/office/drawing/2014/main" id="{413A4D19-D5C0-43BE-AFB7-3D6F64447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1217565</xdr:colOff>
      <xdr:row>23</xdr:row>
      <xdr:rowOff>193222</xdr:rowOff>
    </xdr:from>
    <xdr:to>
      <xdr:col>11</xdr:col>
      <xdr:colOff>2043791</xdr:colOff>
      <xdr:row>36</xdr:row>
      <xdr:rowOff>152400</xdr:rowOff>
    </xdr:to>
    <xdr:graphicFrame macro="">
      <xdr:nvGraphicFramePr>
        <xdr:cNvPr id="9" name="Chart 8">
          <a:extLst>
            <a:ext uri="{FF2B5EF4-FFF2-40B4-BE49-F238E27FC236}">
              <a16:creationId xmlns:a16="http://schemas.microsoft.com/office/drawing/2014/main" id="{E0A9C803-1247-47E3-8066-5BEFC0ECF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582386</xdr:colOff>
      <xdr:row>69</xdr:row>
      <xdr:rowOff>141515</xdr:rowOff>
    </xdr:from>
    <xdr:to>
      <xdr:col>10</xdr:col>
      <xdr:colOff>10886</xdr:colOff>
      <xdr:row>93</xdr:row>
      <xdr:rowOff>123007</xdr:rowOff>
    </xdr:to>
    <xdr:graphicFrame macro="">
      <xdr:nvGraphicFramePr>
        <xdr:cNvPr id="10" name="Chart 9">
          <a:extLst>
            <a:ext uri="{FF2B5EF4-FFF2-40B4-BE49-F238E27FC236}">
              <a16:creationId xmlns:a16="http://schemas.microsoft.com/office/drawing/2014/main" id="{1E9266EB-2D17-43FB-8476-59E3F1FCB6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1611085</xdr:colOff>
      <xdr:row>1</xdr:row>
      <xdr:rowOff>0</xdr:rowOff>
    </xdr:from>
    <xdr:to>
      <xdr:col>8</xdr:col>
      <xdr:colOff>87086</xdr:colOff>
      <xdr:row>6</xdr:row>
      <xdr:rowOff>10885</xdr:rowOff>
    </xdr:to>
    <xdr:sp macro="" textlink="">
      <xdr:nvSpPr>
        <xdr:cNvPr id="7" name="Retângulo: Cantos Arredondados 5">
          <a:extLst>
            <a:ext uri="{FF2B5EF4-FFF2-40B4-BE49-F238E27FC236}">
              <a16:creationId xmlns:a16="http://schemas.microsoft.com/office/drawing/2014/main" id="{F356B713-4801-4F80-99E5-A309BD975FA3}"/>
            </a:ext>
          </a:extLst>
        </xdr:cNvPr>
        <xdr:cNvSpPr/>
      </xdr:nvSpPr>
      <xdr:spPr>
        <a:xfrm>
          <a:off x="1926771" y="195943"/>
          <a:ext cx="14717486" cy="99059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Fatores de Emissão</a:t>
          </a:r>
        </a:p>
      </xdr:txBody>
    </xdr:sp>
    <xdr:clientData/>
  </xdr:twoCellAnchor>
  <xdr:twoCellAnchor>
    <xdr:from>
      <xdr:col>1</xdr:col>
      <xdr:colOff>152400</xdr:colOff>
      <xdr:row>1</xdr:row>
      <xdr:rowOff>0</xdr:rowOff>
    </xdr:from>
    <xdr:to>
      <xdr:col>1</xdr:col>
      <xdr:colOff>1285874</xdr:colOff>
      <xdr:row>4</xdr:row>
      <xdr:rowOff>82923</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7CD85AE4-7D18-48E3-8C0B-2AB37333879B}"/>
            </a:ext>
          </a:extLst>
        </xdr:cNvPr>
        <xdr:cNvSpPr/>
      </xdr:nvSpPr>
      <xdr:spPr>
        <a:xfrm>
          <a:off x="468086" y="195943"/>
          <a:ext cx="1133474" cy="67075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838199</xdr:colOff>
      <xdr:row>4</xdr:row>
      <xdr:rowOff>152401</xdr:rowOff>
    </xdr:from>
    <xdr:to>
      <xdr:col>1</xdr:col>
      <xdr:colOff>1143000</xdr:colOff>
      <xdr:row>6</xdr:row>
      <xdr:rowOff>97972</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9D626015-0AFC-4020-89A5-88D850324F8F}"/>
            </a:ext>
          </a:extLst>
        </xdr:cNvPr>
        <xdr:cNvSpPr/>
      </xdr:nvSpPr>
      <xdr:spPr>
        <a:xfrm>
          <a:off x="1153885" y="936172"/>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272143</xdr:colOff>
      <xdr:row>4</xdr:row>
      <xdr:rowOff>152401</xdr:rowOff>
    </xdr:from>
    <xdr:to>
      <xdr:col>1</xdr:col>
      <xdr:colOff>576942</xdr:colOff>
      <xdr:row>6</xdr:row>
      <xdr:rowOff>108859</xdr:rowOff>
    </xdr:to>
    <xdr:sp macro="" textlink="">
      <xdr:nvSpPr>
        <xdr:cNvPr id="6" name="Arrow: Right 5">
          <a:hlinkClick xmlns:r="http://schemas.openxmlformats.org/officeDocument/2006/relationships" r:id="rId3"/>
          <a:extLst>
            <a:ext uri="{FF2B5EF4-FFF2-40B4-BE49-F238E27FC236}">
              <a16:creationId xmlns:a16="http://schemas.microsoft.com/office/drawing/2014/main" id="{4284FF2B-041B-4C63-B08A-F0AF074A7BCE}"/>
            </a:ext>
          </a:extLst>
        </xdr:cNvPr>
        <xdr:cNvSpPr/>
      </xdr:nvSpPr>
      <xdr:spPr>
        <a:xfrm flipH="1">
          <a:off x="587829" y="93617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6A602B93-D9F7-465E-AE3E-7F978C15AC73}"/>
            </a:ext>
          </a:extLst>
        </xdr:cNvPr>
        <xdr:cNvSpPr/>
      </xdr:nvSpPr>
      <xdr:spPr>
        <a:xfrm>
          <a:off x="610960" y="238813"/>
          <a:ext cx="1206954" cy="6984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5</xdr:col>
      <xdr:colOff>21772</xdr:colOff>
      <xdr:row>6</xdr:row>
      <xdr:rowOff>95960</xdr:rowOff>
    </xdr:to>
    <xdr:sp macro="" textlink="">
      <xdr:nvSpPr>
        <xdr:cNvPr id="7" name="Retângulo: Cantos Arredondados 5">
          <a:extLst>
            <a:ext uri="{FF2B5EF4-FFF2-40B4-BE49-F238E27FC236}">
              <a16:creationId xmlns:a16="http://schemas.microsoft.com/office/drawing/2014/main" id="{5C28DFA9-5827-4F3F-B9E8-A43C74A3097B}"/>
            </a:ext>
          </a:extLst>
        </xdr:cNvPr>
        <xdr:cNvSpPr/>
      </xdr:nvSpPr>
      <xdr:spPr>
        <a:xfrm>
          <a:off x="1988280" y="225090"/>
          <a:ext cx="7362549" cy="104652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Conversão</a:t>
          </a:r>
          <a:r>
            <a:rPr lang="pt-PT" sz="2800" b="1" baseline="0">
              <a:solidFill>
                <a:sysClr val="windowText" lastClr="000000"/>
              </a:solidFill>
              <a:latin typeface="+mn-lt"/>
              <a:cs typeface="Poppins" panose="00000500000000000000" pitchFamily="2" charset="0"/>
            </a:rPr>
            <a:t> de Unidades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131988</xdr:colOff>
      <xdr:row>4</xdr:row>
      <xdr:rowOff>195271</xdr:rowOff>
    </xdr:from>
    <xdr:to>
      <xdr:col>1</xdr:col>
      <xdr:colOff>436787</xdr:colOff>
      <xdr:row>6</xdr:row>
      <xdr:rowOff>151729</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8A590A86-6896-4516-86AA-411EACC39732}"/>
            </a:ext>
          </a:extLst>
        </xdr:cNvPr>
        <xdr:cNvSpPr/>
      </xdr:nvSpPr>
      <xdr:spPr>
        <a:xfrm flipH="1">
          <a:off x="730702"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783771</xdr:colOff>
      <xdr:row>5</xdr:row>
      <xdr:rowOff>10886</xdr:rowOff>
    </xdr:from>
    <xdr:to>
      <xdr:col>1</xdr:col>
      <xdr:colOff>1088572</xdr:colOff>
      <xdr:row>6</xdr:row>
      <xdr:rowOff>152400</xdr:rowOff>
    </xdr:to>
    <xdr:sp macro="" textlink="">
      <xdr:nvSpPr>
        <xdr:cNvPr id="4" name="Arrow: Right 3">
          <a:hlinkClick xmlns:r="http://schemas.openxmlformats.org/officeDocument/2006/relationships" r:id="rId3"/>
          <a:extLst>
            <a:ext uri="{FF2B5EF4-FFF2-40B4-BE49-F238E27FC236}">
              <a16:creationId xmlns:a16="http://schemas.microsoft.com/office/drawing/2014/main" id="{8854BDB6-2FF1-4794-9ECA-75A1B5D833E1}"/>
            </a:ext>
          </a:extLst>
        </xdr:cNvPr>
        <xdr:cNvSpPr/>
      </xdr:nvSpPr>
      <xdr:spPr>
        <a:xfrm>
          <a:off x="1382485" y="9906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258991</xdr:colOff>
      <xdr:row>10</xdr:row>
      <xdr:rowOff>11075</xdr:rowOff>
    </xdr:from>
    <xdr:to>
      <xdr:col>7</xdr:col>
      <xdr:colOff>547915</xdr:colOff>
      <xdr:row>13</xdr:row>
      <xdr:rowOff>58950</xdr:rowOff>
    </xdr:to>
    <xdr:sp macro="" textlink="">
      <xdr:nvSpPr>
        <xdr:cNvPr id="25" name="Retângulo: Cantos Arredondados 24">
          <a:hlinkClick xmlns:r="http://schemas.openxmlformats.org/officeDocument/2006/relationships" r:id="rId1"/>
          <a:extLst>
            <a:ext uri="{FF2B5EF4-FFF2-40B4-BE49-F238E27FC236}">
              <a16:creationId xmlns:a16="http://schemas.microsoft.com/office/drawing/2014/main" id="{64CC59C4-528C-4230-8F20-8C190FF145E5}"/>
            </a:ext>
          </a:extLst>
        </xdr:cNvPr>
        <xdr:cNvSpPr/>
      </xdr:nvSpPr>
      <xdr:spPr>
        <a:xfrm>
          <a:off x="3981905" y="1861646"/>
          <a:ext cx="1486353" cy="97316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Introdução</a:t>
          </a:r>
        </a:p>
      </xdr:txBody>
    </xdr:sp>
    <xdr:clientData/>
  </xdr:twoCellAnchor>
  <xdr:twoCellAnchor>
    <xdr:from>
      <xdr:col>11</xdr:col>
      <xdr:colOff>328841</xdr:colOff>
      <xdr:row>19</xdr:row>
      <xdr:rowOff>43542</xdr:rowOff>
    </xdr:from>
    <xdr:to>
      <xdr:col>14</xdr:col>
      <xdr:colOff>19052</xdr:colOff>
      <xdr:row>23</xdr:row>
      <xdr:rowOff>129265</xdr:rowOff>
    </xdr:to>
    <xdr:sp macro="" textlink="">
      <xdr:nvSpPr>
        <xdr:cNvPr id="27" name="Retângulo: Cantos Arredondados 26">
          <a:hlinkClick xmlns:r="http://schemas.openxmlformats.org/officeDocument/2006/relationships" r:id="rId2"/>
          <a:extLst>
            <a:ext uri="{FF2B5EF4-FFF2-40B4-BE49-F238E27FC236}">
              <a16:creationId xmlns:a16="http://schemas.microsoft.com/office/drawing/2014/main" id="{30C67E4E-924F-4DC0-B3D4-20C48BBF9646}"/>
            </a:ext>
          </a:extLst>
        </xdr:cNvPr>
        <xdr:cNvSpPr/>
      </xdr:nvSpPr>
      <xdr:spPr>
        <a:xfrm>
          <a:off x="7850870" y="4386942"/>
          <a:ext cx="1486353" cy="1130752"/>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Fatores de Emissão</a:t>
          </a:r>
        </a:p>
      </xdr:txBody>
    </xdr:sp>
    <xdr:clientData/>
  </xdr:twoCellAnchor>
  <xdr:twoCellAnchor>
    <xdr:from>
      <xdr:col>14</xdr:col>
      <xdr:colOff>380548</xdr:colOff>
      <xdr:row>19</xdr:row>
      <xdr:rowOff>43543</xdr:rowOff>
    </xdr:from>
    <xdr:to>
      <xdr:col>17</xdr:col>
      <xdr:colOff>64409</xdr:colOff>
      <xdr:row>23</xdr:row>
      <xdr:rowOff>108858</xdr:rowOff>
    </xdr:to>
    <xdr:sp macro="" textlink="">
      <xdr:nvSpPr>
        <xdr:cNvPr id="29" name="Retângulo: Cantos Arredondados 28">
          <a:hlinkClick xmlns:r="http://schemas.openxmlformats.org/officeDocument/2006/relationships" r:id="rId3"/>
          <a:extLst>
            <a:ext uri="{FF2B5EF4-FFF2-40B4-BE49-F238E27FC236}">
              <a16:creationId xmlns:a16="http://schemas.microsoft.com/office/drawing/2014/main" id="{654EFFB3-E96D-49A6-9BF5-458F21426313}"/>
            </a:ext>
          </a:extLst>
        </xdr:cNvPr>
        <xdr:cNvSpPr/>
      </xdr:nvSpPr>
      <xdr:spPr>
        <a:xfrm>
          <a:off x="9698719" y="4386943"/>
          <a:ext cx="1480004" cy="1110344"/>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Fatores de Conversão</a:t>
          </a:r>
          <a:endParaRPr lang="pt-PT" sz="1600">
            <a:solidFill>
              <a:schemeClr val="tx1"/>
            </a:solidFill>
            <a:effectLst/>
            <a:latin typeface="+mn-lt"/>
            <a:cs typeface="Poppins" panose="00000500000000000000" pitchFamily="2" charset="0"/>
          </a:endParaRPr>
        </a:p>
      </xdr:txBody>
    </xdr:sp>
    <xdr:clientData/>
  </xdr:twoCellAnchor>
  <xdr:twoCellAnchor>
    <xdr:from>
      <xdr:col>11</xdr:col>
      <xdr:colOff>305007</xdr:colOff>
      <xdr:row>10</xdr:row>
      <xdr:rowOff>14792</xdr:rowOff>
    </xdr:from>
    <xdr:to>
      <xdr:col>13</xdr:col>
      <xdr:colOff>587581</xdr:colOff>
      <xdr:row>13</xdr:row>
      <xdr:rowOff>82897</xdr:rowOff>
    </xdr:to>
    <xdr:sp macro="" textlink="">
      <xdr:nvSpPr>
        <xdr:cNvPr id="33" name="Retângulo: Cantos Arredondados 32">
          <a:hlinkClick xmlns:r="http://schemas.openxmlformats.org/officeDocument/2006/relationships" r:id="rId4"/>
          <a:extLst>
            <a:ext uri="{FF2B5EF4-FFF2-40B4-BE49-F238E27FC236}">
              <a16:creationId xmlns:a16="http://schemas.microsoft.com/office/drawing/2014/main" id="{912BA71F-99EB-4BBD-97BE-212A94111B66}"/>
            </a:ext>
          </a:extLst>
        </xdr:cNvPr>
        <xdr:cNvSpPr/>
      </xdr:nvSpPr>
      <xdr:spPr>
        <a:xfrm>
          <a:off x="7620207" y="1865363"/>
          <a:ext cx="1480003" cy="99339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Triagem</a:t>
          </a:r>
        </a:p>
      </xdr:txBody>
    </xdr:sp>
    <xdr:clientData/>
  </xdr:twoCellAnchor>
  <xdr:twoCellAnchor>
    <xdr:from>
      <xdr:col>8</xdr:col>
      <xdr:colOff>277133</xdr:colOff>
      <xdr:row>19</xdr:row>
      <xdr:rowOff>43542</xdr:rowOff>
    </xdr:from>
    <xdr:to>
      <xdr:col>10</xdr:col>
      <xdr:colOff>566059</xdr:colOff>
      <xdr:row>23</xdr:row>
      <xdr:rowOff>136920</xdr:rowOff>
    </xdr:to>
    <xdr:sp macro="" textlink="">
      <xdr:nvSpPr>
        <xdr:cNvPr id="37" name="Retângulo: Cantos Arredondados 36">
          <a:hlinkClick xmlns:r="http://schemas.openxmlformats.org/officeDocument/2006/relationships" r:id="rId5"/>
          <a:extLst>
            <a:ext uri="{FF2B5EF4-FFF2-40B4-BE49-F238E27FC236}">
              <a16:creationId xmlns:a16="http://schemas.microsoft.com/office/drawing/2014/main" id="{21B35F74-024C-490C-A77F-BA0D33FED017}"/>
            </a:ext>
          </a:extLst>
        </xdr:cNvPr>
        <xdr:cNvSpPr/>
      </xdr:nvSpPr>
      <xdr:spPr>
        <a:xfrm>
          <a:off x="6003019" y="4386942"/>
          <a:ext cx="1486354" cy="11384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Resultados</a:t>
          </a:r>
        </a:p>
      </xdr:txBody>
    </xdr:sp>
    <xdr:clientData/>
  </xdr:twoCellAnchor>
  <xdr:twoCellAnchor>
    <xdr:from>
      <xdr:col>17</xdr:col>
      <xdr:colOff>308881</xdr:colOff>
      <xdr:row>10</xdr:row>
      <xdr:rowOff>16123</xdr:rowOff>
    </xdr:from>
    <xdr:to>
      <xdr:col>19</xdr:col>
      <xdr:colOff>594631</xdr:colOff>
      <xdr:row>13</xdr:row>
      <xdr:rowOff>75854</xdr:rowOff>
    </xdr:to>
    <xdr:sp macro="" textlink="">
      <xdr:nvSpPr>
        <xdr:cNvPr id="96" name="Retângulo: Cantos Arredondados 95">
          <a:hlinkClick xmlns:r="http://schemas.openxmlformats.org/officeDocument/2006/relationships" r:id="rId6"/>
          <a:extLst>
            <a:ext uri="{FF2B5EF4-FFF2-40B4-BE49-F238E27FC236}">
              <a16:creationId xmlns:a16="http://schemas.microsoft.com/office/drawing/2014/main" id="{8B9BC9B1-DBA9-40E7-9B07-56E781A0BBA0}"/>
            </a:ext>
          </a:extLst>
        </xdr:cNvPr>
        <xdr:cNvSpPr/>
      </xdr:nvSpPr>
      <xdr:spPr>
        <a:xfrm>
          <a:off x="11216367" y="1866694"/>
          <a:ext cx="1483178" cy="985017"/>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Combustão Estacionária</a:t>
          </a:r>
        </a:p>
      </xdr:txBody>
    </xdr:sp>
    <xdr:clientData/>
  </xdr:twoCellAnchor>
  <xdr:twoCellAnchor>
    <xdr:from>
      <xdr:col>20</xdr:col>
      <xdr:colOff>393246</xdr:colOff>
      <xdr:row>10</xdr:row>
      <xdr:rowOff>32804</xdr:rowOff>
    </xdr:from>
    <xdr:to>
      <xdr:col>23</xdr:col>
      <xdr:colOff>80281</xdr:colOff>
      <xdr:row>13</xdr:row>
      <xdr:rowOff>86593</xdr:rowOff>
    </xdr:to>
    <xdr:sp macro="" textlink="">
      <xdr:nvSpPr>
        <xdr:cNvPr id="98" name="Retângulo: Cantos Arredondados 97">
          <a:hlinkClick xmlns:r="http://schemas.openxmlformats.org/officeDocument/2006/relationships" r:id="rId7"/>
          <a:extLst>
            <a:ext uri="{FF2B5EF4-FFF2-40B4-BE49-F238E27FC236}">
              <a16:creationId xmlns:a16="http://schemas.microsoft.com/office/drawing/2014/main" id="{92F74ED2-3FB8-41D4-8B74-631EABB9B2AF}"/>
            </a:ext>
          </a:extLst>
        </xdr:cNvPr>
        <xdr:cNvSpPr/>
      </xdr:nvSpPr>
      <xdr:spPr>
        <a:xfrm>
          <a:off x="13096875" y="1883375"/>
          <a:ext cx="1483177" cy="979075"/>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Combustão Móvel</a:t>
          </a:r>
          <a:endParaRPr lang="pt-PT" sz="1600">
            <a:solidFill>
              <a:schemeClr val="tx1"/>
            </a:solidFill>
            <a:effectLst/>
            <a:latin typeface="+mn-lt"/>
            <a:cs typeface="Poppins" panose="00000500000000000000" pitchFamily="2" charset="0"/>
          </a:endParaRPr>
        </a:p>
      </xdr:txBody>
    </xdr:sp>
    <xdr:clientData/>
  </xdr:twoCellAnchor>
  <xdr:twoCellAnchor>
    <xdr:from>
      <xdr:col>5</xdr:col>
      <xdr:colOff>235403</xdr:colOff>
      <xdr:row>14</xdr:row>
      <xdr:rowOff>12301</xdr:rowOff>
    </xdr:from>
    <xdr:to>
      <xdr:col>7</xdr:col>
      <xdr:colOff>521153</xdr:colOff>
      <xdr:row>18</xdr:row>
      <xdr:rowOff>108854</xdr:rowOff>
    </xdr:to>
    <xdr:sp macro="" textlink="">
      <xdr:nvSpPr>
        <xdr:cNvPr id="100" name="Retângulo: Cantos Arredondados 99">
          <a:hlinkClick xmlns:r="http://schemas.openxmlformats.org/officeDocument/2006/relationships" r:id="rId8"/>
          <a:extLst>
            <a:ext uri="{FF2B5EF4-FFF2-40B4-BE49-F238E27FC236}">
              <a16:creationId xmlns:a16="http://schemas.microsoft.com/office/drawing/2014/main" id="{AF26131C-9C38-4A93-BAD7-A99F4B17E462}"/>
            </a:ext>
          </a:extLst>
        </xdr:cNvPr>
        <xdr:cNvSpPr/>
      </xdr:nvSpPr>
      <xdr:spPr>
        <a:xfrm>
          <a:off x="395831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Fugitivas</a:t>
          </a:r>
        </a:p>
      </xdr:txBody>
    </xdr:sp>
    <xdr:clientData/>
  </xdr:twoCellAnchor>
  <xdr:twoCellAnchor>
    <xdr:from>
      <xdr:col>8</xdr:col>
      <xdr:colOff>287110</xdr:colOff>
      <xdr:row>14</xdr:row>
      <xdr:rowOff>12301</xdr:rowOff>
    </xdr:from>
    <xdr:to>
      <xdr:col>10</xdr:col>
      <xdr:colOff>572860</xdr:colOff>
      <xdr:row>18</xdr:row>
      <xdr:rowOff>108854</xdr:rowOff>
    </xdr:to>
    <xdr:sp macro="" textlink="">
      <xdr:nvSpPr>
        <xdr:cNvPr id="102" name="Retângulo: Cantos Arredondados 101">
          <a:hlinkClick xmlns:r="http://schemas.openxmlformats.org/officeDocument/2006/relationships" r:id="rId9"/>
          <a:extLst>
            <a:ext uri="{FF2B5EF4-FFF2-40B4-BE49-F238E27FC236}">
              <a16:creationId xmlns:a16="http://schemas.microsoft.com/office/drawing/2014/main" id="{5AFDE55F-FCC4-48C2-95AD-901D772D8649}"/>
            </a:ext>
          </a:extLst>
        </xdr:cNvPr>
        <xdr:cNvSpPr/>
      </xdr:nvSpPr>
      <xdr:spPr>
        <a:xfrm>
          <a:off x="580616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Processos Industriais</a:t>
          </a:r>
        </a:p>
      </xdr:txBody>
    </xdr:sp>
    <xdr:clientData/>
  </xdr:twoCellAnchor>
  <xdr:twoCellAnchor>
    <xdr:from>
      <xdr:col>14</xdr:col>
      <xdr:colOff>312936</xdr:colOff>
      <xdr:row>14</xdr:row>
      <xdr:rowOff>12301</xdr:rowOff>
    </xdr:from>
    <xdr:to>
      <xdr:col>16</xdr:col>
      <xdr:colOff>598686</xdr:colOff>
      <xdr:row>18</xdr:row>
      <xdr:rowOff>118379</xdr:rowOff>
    </xdr:to>
    <xdr:sp macro="" textlink="">
      <xdr:nvSpPr>
        <xdr:cNvPr id="111" name="Retângulo: Cantos Arredondados 110">
          <a:hlinkClick xmlns:r="http://schemas.openxmlformats.org/officeDocument/2006/relationships" r:id="rId10"/>
          <a:extLst>
            <a:ext uri="{FF2B5EF4-FFF2-40B4-BE49-F238E27FC236}">
              <a16:creationId xmlns:a16="http://schemas.microsoft.com/office/drawing/2014/main" id="{94AB86D0-9665-49BB-879D-3751849112B4}"/>
            </a:ext>
          </a:extLst>
        </xdr:cNvPr>
        <xdr:cNvSpPr/>
      </xdr:nvSpPr>
      <xdr:spPr>
        <a:xfrm>
          <a:off x="9424279" y="3049415"/>
          <a:ext cx="1483178" cy="9225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Energia Elétrica e Térmica</a:t>
          </a:r>
        </a:p>
      </xdr:txBody>
    </xdr:sp>
    <xdr:clientData/>
  </xdr:twoCellAnchor>
  <xdr:twoCellAnchor>
    <xdr:from>
      <xdr:col>8</xdr:col>
      <xdr:colOff>277585</xdr:colOff>
      <xdr:row>10</xdr:row>
      <xdr:rowOff>23836</xdr:rowOff>
    </xdr:from>
    <xdr:to>
      <xdr:col>10</xdr:col>
      <xdr:colOff>587827</xdr:colOff>
      <xdr:row>13</xdr:row>
      <xdr:rowOff>70844</xdr:rowOff>
    </xdr:to>
    <xdr:sp macro="" textlink="">
      <xdr:nvSpPr>
        <xdr:cNvPr id="39" name="Retângulo: Cantos Arredondados 3">
          <a:hlinkClick xmlns:r="http://schemas.openxmlformats.org/officeDocument/2006/relationships" r:id="rId11"/>
          <a:extLst>
            <a:ext uri="{FF2B5EF4-FFF2-40B4-BE49-F238E27FC236}">
              <a16:creationId xmlns:a16="http://schemas.microsoft.com/office/drawing/2014/main" id="{1806D60C-0D36-4BB1-898A-46FFF4323CC7}"/>
            </a:ext>
          </a:extLst>
        </xdr:cNvPr>
        <xdr:cNvSpPr/>
      </xdr:nvSpPr>
      <xdr:spPr>
        <a:xfrm>
          <a:off x="5796642" y="1874407"/>
          <a:ext cx="1507671" cy="972294"/>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Instruções</a:t>
          </a:r>
          <a:endParaRPr lang="pt-PT" sz="1600">
            <a:solidFill>
              <a:schemeClr val="tx1"/>
            </a:solidFill>
            <a:effectLst/>
            <a:latin typeface="+mn-lt"/>
            <a:cs typeface="Poppins" panose="00000500000000000000" pitchFamily="2" charset="0"/>
          </a:endParaRPr>
        </a:p>
      </xdr:txBody>
    </xdr:sp>
    <xdr:clientData/>
  </xdr:twoCellAnchor>
  <xdr:twoCellAnchor>
    <xdr:from>
      <xdr:col>4</xdr:col>
      <xdr:colOff>261257</xdr:colOff>
      <xdr:row>0</xdr:row>
      <xdr:rowOff>151039</xdr:rowOff>
    </xdr:from>
    <xdr:to>
      <xdr:col>25</xdr:col>
      <xdr:colOff>261256</xdr:colOff>
      <xdr:row>6</xdr:row>
      <xdr:rowOff>65585</xdr:rowOff>
    </xdr:to>
    <xdr:sp macro="" textlink="">
      <xdr:nvSpPr>
        <xdr:cNvPr id="4" name="Retângulo: Cantos Arredondados 5">
          <a:extLst>
            <a:ext uri="{FF2B5EF4-FFF2-40B4-BE49-F238E27FC236}">
              <a16:creationId xmlns:a16="http://schemas.microsoft.com/office/drawing/2014/main" id="{C932A355-9026-445D-9BC2-C6664D0DAE2D}"/>
            </a:ext>
          </a:extLst>
        </xdr:cNvPr>
        <xdr:cNvSpPr/>
      </xdr:nvSpPr>
      <xdr:spPr>
        <a:xfrm>
          <a:off x="3499757" y="151039"/>
          <a:ext cx="12287249" cy="138411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Índice de conteúdos</a:t>
          </a:r>
        </a:p>
      </xdr:txBody>
    </xdr:sp>
    <xdr:clientData/>
  </xdr:twoCellAnchor>
  <xdr:twoCellAnchor>
    <xdr:from>
      <xdr:col>1</xdr:col>
      <xdr:colOff>163286</xdr:colOff>
      <xdr:row>1</xdr:row>
      <xdr:rowOff>65315</xdr:rowOff>
    </xdr:from>
    <xdr:to>
      <xdr:col>1</xdr:col>
      <xdr:colOff>468087</xdr:colOff>
      <xdr:row>3</xdr:row>
      <xdr:rowOff>10886</xdr:rowOff>
    </xdr:to>
    <xdr:sp macro="" textlink="">
      <xdr:nvSpPr>
        <xdr:cNvPr id="6" name="Arrow: Right 5">
          <a:hlinkClick xmlns:r="http://schemas.openxmlformats.org/officeDocument/2006/relationships" r:id="rId4"/>
          <a:extLst>
            <a:ext uri="{FF2B5EF4-FFF2-40B4-BE49-F238E27FC236}">
              <a16:creationId xmlns:a16="http://schemas.microsoft.com/office/drawing/2014/main" id="{EC16A40F-668A-4D31-8AB3-17239D01ECB6}"/>
            </a:ext>
          </a:extLst>
        </xdr:cNvPr>
        <xdr:cNvSpPr/>
      </xdr:nvSpPr>
      <xdr:spPr>
        <a:xfrm>
          <a:off x="674915" y="250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228597</xdr:colOff>
      <xdr:row>1</xdr:row>
      <xdr:rowOff>54429</xdr:rowOff>
    </xdr:from>
    <xdr:to>
      <xdr:col>1</xdr:col>
      <xdr:colOff>21768</xdr:colOff>
      <xdr:row>3</xdr:row>
      <xdr:rowOff>10887</xdr:rowOff>
    </xdr:to>
    <xdr:sp macro="" textlink="">
      <xdr:nvSpPr>
        <xdr:cNvPr id="7" name="Arrow: Right 6">
          <a:hlinkClick xmlns:r="http://schemas.openxmlformats.org/officeDocument/2006/relationships" r:id="rId11"/>
          <a:extLst>
            <a:ext uri="{FF2B5EF4-FFF2-40B4-BE49-F238E27FC236}">
              <a16:creationId xmlns:a16="http://schemas.microsoft.com/office/drawing/2014/main" id="{13A7601E-420A-4EF6-85B2-0F11554BA23B}"/>
            </a:ext>
          </a:extLst>
        </xdr:cNvPr>
        <xdr:cNvSpPr/>
      </xdr:nvSpPr>
      <xdr:spPr>
        <a:xfrm flipH="1">
          <a:off x="228597" y="239486"/>
          <a:ext cx="304800"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278492</xdr:colOff>
      <xdr:row>10</xdr:row>
      <xdr:rowOff>21770</xdr:rowOff>
    </xdr:from>
    <xdr:to>
      <xdr:col>16</xdr:col>
      <xdr:colOff>567417</xdr:colOff>
      <xdr:row>13</xdr:row>
      <xdr:rowOff>79322</xdr:rowOff>
    </xdr:to>
    <xdr:sp macro="" textlink="">
      <xdr:nvSpPr>
        <xdr:cNvPr id="8" name="Retângulo: Cantos Arredondados 36">
          <a:hlinkClick xmlns:r="http://schemas.openxmlformats.org/officeDocument/2006/relationships" r:id="rId12"/>
          <a:extLst>
            <a:ext uri="{FF2B5EF4-FFF2-40B4-BE49-F238E27FC236}">
              <a16:creationId xmlns:a16="http://schemas.microsoft.com/office/drawing/2014/main" id="{B8EC7832-157A-41A1-AA18-1CE7AFA717FB}"/>
            </a:ext>
          </a:extLst>
        </xdr:cNvPr>
        <xdr:cNvSpPr/>
      </xdr:nvSpPr>
      <xdr:spPr>
        <a:xfrm>
          <a:off x="9389835" y="1872341"/>
          <a:ext cx="1486353" cy="982838"/>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Dados gerais</a:t>
          </a:r>
        </a:p>
      </xdr:txBody>
    </xdr:sp>
    <xdr:clientData/>
  </xdr:twoCellAnchor>
  <xdr:twoCellAnchor>
    <xdr:from>
      <xdr:col>11</xdr:col>
      <xdr:colOff>341538</xdr:colOff>
      <xdr:row>14</xdr:row>
      <xdr:rowOff>12301</xdr:rowOff>
    </xdr:from>
    <xdr:to>
      <xdr:col>14</xdr:col>
      <xdr:colOff>28574</xdr:colOff>
      <xdr:row>18</xdr:row>
      <xdr:rowOff>108854</xdr:rowOff>
    </xdr:to>
    <xdr:sp macro="" textlink="">
      <xdr:nvSpPr>
        <xdr:cNvPr id="3" name="Retângulo: Cantos Arredondados 101">
          <a:hlinkClick xmlns:r="http://schemas.openxmlformats.org/officeDocument/2006/relationships" r:id="rId13"/>
          <a:extLst>
            <a:ext uri="{FF2B5EF4-FFF2-40B4-BE49-F238E27FC236}">
              <a16:creationId xmlns:a16="http://schemas.microsoft.com/office/drawing/2014/main" id="{B6AFAEC1-7218-497E-9438-A4C1B2F3B19A}"/>
            </a:ext>
          </a:extLst>
        </xdr:cNvPr>
        <xdr:cNvSpPr/>
      </xdr:nvSpPr>
      <xdr:spPr>
        <a:xfrm>
          <a:off x="7656738"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Outras emissões de processo</a:t>
          </a:r>
        </a:p>
      </xdr:txBody>
    </xdr:sp>
    <xdr:clientData/>
  </xdr:twoCellAnchor>
  <xdr:twoCellAnchor>
    <xdr:from>
      <xdr:col>17</xdr:col>
      <xdr:colOff>359229</xdr:colOff>
      <xdr:row>14</xdr:row>
      <xdr:rowOff>0</xdr:rowOff>
    </xdr:from>
    <xdr:to>
      <xdr:col>20</xdr:col>
      <xdr:colOff>46265</xdr:colOff>
      <xdr:row>18</xdr:row>
      <xdr:rowOff>106078</xdr:rowOff>
    </xdr:to>
    <xdr:sp macro="" textlink="">
      <xdr:nvSpPr>
        <xdr:cNvPr id="9" name="Retângulo: Cantos Arredondados 110">
          <a:hlinkClick xmlns:r="http://schemas.openxmlformats.org/officeDocument/2006/relationships" r:id="rId14"/>
          <a:extLst>
            <a:ext uri="{FF2B5EF4-FFF2-40B4-BE49-F238E27FC236}">
              <a16:creationId xmlns:a16="http://schemas.microsoft.com/office/drawing/2014/main" id="{ECD1D9DD-0F67-408A-B1E6-E6B473F9AE4F}"/>
            </a:ext>
          </a:extLst>
        </xdr:cNvPr>
        <xdr:cNvSpPr/>
      </xdr:nvSpPr>
      <xdr:spPr>
        <a:xfrm>
          <a:off x="11473543" y="303711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evitadas</a:t>
          </a:r>
        </a:p>
      </xdr:txBody>
    </xdr:sp>
    <xdr:clientData/>
  </xdr:twoCellAnchor>
  <xdr:twoCellAnchor>
    <xdr:from>
      <xdr:col>20</xdr:col>
      <xdr:colOff>424543</xdr:colOff>
      <xdr:row>13</xdr:row>
      <xdr:rowOff>239487</xdr:rowOff>
    </xdr:from>
    <xdr:to>
      <xdr:col>23</xdr:col>
      <xdr:colOff>111579</xdr:colOff>
      <xdr:row>18</xdr:row>
      <xdr:rowOff>84308</xdr:rowOff>
    </xdr:to>
    <xdr:sp macro="" textlink="">
      <xdr:nvSpPr>
        <xdr:cNvPr id="10" name="Retângulo: Cantos Arredondados 110">
          <a:hlinkClick xmlns:r="http://schemas.openxmlformats.org/officeDocument/2006/relationships" r:id="rId15"/>
          <a:extLst>
            <a:ext uri="{FF2B5EF4-FFF2-40B4-BE49-F238E27FC236}">
              <a16:creationId xmlns:a16="http://schemas.microsoft.com/office/drawing/2014/main" id="{9D024973-4C56-4F32-A60D-8F82B7320E1C}"/>
            </a:ext>
          </a:extLst>
        </xdr:cNvPr>
        <xdr:cNvSpPr/>
      </xdr:nvSpPr>
      <xdr:spPr>
        <a:xfrm>
          <a:off x="13335000" y="301534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Aquisição de bens e serviços</a:t>
          </a:r>
        </a:p>
      </xdr:txBody>
    </xdr:sp>
    <xdr:clientData/>
  </xdr:twoCellAnchor>
  <xdr:twoCellAnchor>
    <xdr:from>
      <xdr:col>5</xdr:col>
      <xdr:colOff>228600</xdr:colOff>
      <xdr:row>19</xdr:row>
      <xdr:rowOff>43542</xdr:rowOff>
    </xdr:from>
    <xdr:to>
      <xdr:col>7</xdr:col>
      <xdr:colOff>514351</xdr:colOff>
      <xdr:row>23</xdr:row>
      <xdr:rowOff>149620</xdr:rowOff>
    </xdr:to>
    <xdr:sp macro="" textlink="">
      <xdr:nvSpPr>
        <xdr:cNvPr id="11" name="Retângulo: Cantos Arredondados 110">
          <a:hlinkClick xmlns:r="http://schemas.openxmlformats.org/officeDocument/2006/relationships" r:id="rId16"/>
          <a:extLst>
            <a:ext uri="{FF2B5EF4-FFF2-40B4-BE49-F238E27FC236}">
              <a16:creationId xmlns:a16="http://schemas.microsoft.com/office/drawing/2014/main" id="{708FE1F4-A33F-408F-A6EE-BD4FD9145571}"/>
            </a:ext>
          </a:extLst>
        </xdr:cNvPr>
        <xdr:cNvSpPr/>
      </xdr:nvSpPr>
      <xdr:spPr>
        <a:xfrm>
          <a:off x="4158343" y="4386942"/>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Uso dos produtos do projeto</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FECF7806-7B24-4C67-B2F5-CF02DA5972CA}"/>
            </a:ext>
          </a:extLst>
        </xdr:cNvPr>
        <xdr:cNvSpPr/>
      </xdr:nvSpPr>
      <xdr:spPr>
        <a:xfrm>
          <a:off x="614226" y="240990"/>
          <a:ext cx="1206954" cy="704934"/>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7</xdr:col>
      <xdr:colOff>35859</xdr:colOff>
      <xdr:row>6</xdr:row>
      <xdr:rowOff>95960</xdr:rowOff>
    </xdr:to>
    <xdr:sp macro="" textlink="">
      <xdr:nvSpPr>
        <xdr:cNvPr id="3" name="Retângulo: Cantos Arredondados 5">
          <a:extLst>
            <a:ext uri="{FF2B5EF4-FFF2-40B4-BE49-F238E27FC236}">
              <a16:creationId xmlns:a16="http://schemas.microsoft.com/office/drawing/2014/main" id="{D0EA7167-7A93-4DC6-AB4E-194BAED622AE}"/>
            </a:ext>
          </a:extLst>
        </xdr:cNvPr>
        <xdr:cNvSpPr/>
      </xdr:nvSpPr>
      <xdr:spPr>
        <a:xfrm>
          <a:off x="1981237" y="226371"/>
          <a:ext cx="7288269" cy="105293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Ficha técnica</a:t>
          </a:r>
        </a:p>
      </xdr:txBody>
    </xdr:sp>
    <xdr:clientData/>
  </xdr:twoCellAnchor>
  <xdr:twoCellAnchor>
    <xdr:from>
      <xdr:col>1</xdr:col>
      <xdr:colOff>861330</xdr:colOff>
      <xdr:row>4</xdr:row>
      <xdr:rowOff>195271</xdr:rowOff>
    </xdr:from>
    <xdr:to>
      <xdr:col>1</xdr:col>
      <xdr:colOff>1166129</xdr:colOff>
      <xdr:row>6</xdr:row>
      <xdr:rowOff>151729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D31E5CEC-45A7-40F6-969B-4B729F86C6D4}"/>
            </a:ext>
          </a:extLst>
        </xdr:cNvPr>
        <xdr:cNvSpPr/>
      </xdr:nvSpPr>
      <xdr:spPr>
        <a:xfrm flipH="1">
          <a:off x="1460044"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54429</xdr:colOff>
      <xdr:row>29</xdr:row>
      <xdr:rowOff>13606</xdr:rowOff>
    </xdr:from>
    <xdr:to>
      <xdr:col>5</xdr:col>
      <xdr:colOff>1153566</xdr:colOff>
      <xdr:row>34</xdr:row>
      <xdr:rowOff>61231</xdr:rowOff>
    </xdr:to>
    <xdr:pic>
      <xdr:nvPicPr>
        <xdr:cNvPr id="5" name="Picture 4">
          <a:extLst>
            <a:ext uri="{FF2B5EF4-FFF2-40B4-BE49-F238E27FC236}">
              <a16:creationId xmlns:a16="http://schemas.microsoft.com/office/drawing/2014/main" id="{557537A7-518B-DCDC-862B-BA4BD0D3CB2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25536" y="6545035"/>
          <a:ext cx="533400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161925</xdr:colOff>
      <xdr:row>1</xdr:row>
      <xdr:rowOff>179731</xdr:rowOff>
    </xdr:from>
    <xdr:to>
      <xdr:col>1</xdr:col>
      <xdr:colOff>1279387</xdr:colOff>
      <xdr:row>5</xdr:row>
      <xdr:rowOff>112504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BAB2754-DE6A-4257-A634-69E4764DF5AD}"/>
            </a:ext>
          </a:extLst>
        </xdr:cNvPr>
        <xdr:cNvSpPr/>
      </xdr:nvSpPr>
      <xdr:spPr>
        <a:xfrm>
          <a:off x="771525" y="360706"/>
          <a:ext cx="1117462" cy="65667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2143125</xdr:colOff>
      <xdr:row>1</xdr:row>
      <xdr:rowOff>34925</xdr:rowOff>
    </xdr:from>
    <xdr:to>
      <xdr:col>5</xdr:col>
      <xdr:colOff>10885</xdr:colOff>
      <xdr:row>6</xdr:row>
      <xdr:rowOff>123963</xdr:rowOff>
    </xdr:to>
    <xdr:sp macro="" textlink="">
      <xdr:nvSpPr>
        <xdr:cNvPr id="6" name="Retângulo: Cantos Arredondados 5">
          <a:extLst>
            <a:ext uri="{FF2B5EF4-FFF2-40B4-BE49-F238E27FC236}">
              <a16:creationId xmlns:a16="http://schemas.microsoft.com/office/drawing/2014/main" id="{3749FFF6-552F-40C4-9B89-4CBF139BCE36}"/>
            </a:ext>
          </a:extLst>
        </xdr:cNvPr>
        <xdr:cNvSpPr/>
      </xdr:nvSpPr>
      <xdr:spPr>
        <a:xfrm>
          <a:off x="2741839" y="219982"/>
          <a:ext cx="11714389" cy="101432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Triagem - Que folhas deverá preencher?</a:t>
          </a:r>
        </a:p>
      </xdr:txBody>
    </xdr:sp>
    <xdr:clientData/>
  </xdr:twoCellAnchor>
  <xdr:twoCellAnchor>
    <xdr:from>
      <xdr:col>1</xdr:col>
      <xdr:colOff>847726</xdr:colOff>
      <xdr:row>5</xdr:row>
      <xdr:rowOff>139700</xdr:rowOff>
    </xdr:from>
    <xdr:to>
      <xdr:col>1</xdr:col>
      <xdr:colOff>1152527</xdr:colOff>
      <xdr:row>7</xdr:row>
      <xdr:rowOff>85271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14C3E2D3-FEE0-4DEF-9208-5FF209500CD9}"/>
            </a:ext>
          </a:extLst>
        </xdr:cNvPr>
        <xdr:cNvSpPr/>
      </xdr:nvSpPr>
      <xdr:spPr>
        <a:xfrm>
          <a:off x="1446440" y="10649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281670</xdr:colOff>
      <xdr:row>5</xdr:row>
      <xdr:rowOff>128814</xdr:rowOff>
    </xdr:from>
    <xdr:to>
      <xdr:col>1</xdr:col>
      <xdr:colOff>586469</xdr:colOff>
      <xdr:row>7</xdr:row>
      <xdr:rowOff>85272</xdr:rowOff>
    </xdr:to>
    <xdr:sp macro="" textlink="">
      <xdr:nvSpPr>
        <xdr:cNvPr id="3" name="Arrow: Right 2">
          <a:hlinkClick xmlns:r="http://schemas.openxmlformats.org/officeDocument/2006/relationships" r:id="rId1"/>
          <a:extLst>
            <a:ext uri="{FF2B5EF4-FFF2-40B4-BE49-F238E27FC236}">
              <a16:creationId xmlns:a16="http://schemas.microsoft.com/office/drawing/2014/main" id="{E9912738-725B-479A-A604-AB68DCB63D9A}"/>
            </a:ext>
          </a:extLst>
        </xdr:cNvPr>
        <xdr:cNvSpPr/>
      </xdr:nvSpPr>
      <xdr:spPr>
        <a:xfrm flipH="1">
          <a:off x="880384" y="1054100"/>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3</xdr:col>
      <xdr:colOff>839998</xdr:colOff>
      <xdr:row>12</xdr:row>
      <xdr:rowOff>21772</xdr:rowOff>
    </xdr:from>
    <xdr:to>
      <xdr:col>5</xdr:col>
      <xdr:colOff>24871</xdr:colOff>
      <xdr:row>24</xdr:row>
      <xdr:rowOff>76201</xdr:rowOff>
    </xdr:to>
    <xdr:pic>
      <xdr:nvPicPr>
        <xdr:cNvPr id="8" name="Picture 7">
          <a:extLst>
            <a:ext uri="{FF2B5EF4-FFF2-40B4-BE49-F238E27FC236}">
              <a16:creationId xmlns:a16="http://schemas.microsoft.com/office/drawing/2014/main" id="{1F3D6781-E7F2-F0FB-7255-8429AD894671}"/>
            </a:ext>
          </a:extLst>
        </xdr:cNvPr>
        <xdr:cNvPicPr>
          <a:picLocks noChangeAspect="1"/>
        </xdr:cNvPicPr>
      </xdr:nvPicPr>
      <xdr:blipFill>
        <a:blip xmlns:r="http://schemas.openxmlformats.org/officeDocument/2006/relationships" r:embed="rId3"/>
        <a:stretch>
          <a:fillRect/>
        </a:stretch>
      </xdr:blipFill>
      <xdr:spPr>
        <a:xfrm>
          <a:off x="7589141" y="2590801"/>
          <a:ext cx="9373901" cy="49421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87086</xdr:colOff>
      <xdr:row>1</xdr:row>
      <xdr:rowOff>126546</xdr:rowOff>
    </xdr:from>
    <xdr:to>
      <xdr:col>3</xdr:col>
      <xdr:colOff>69623</xdr:colOff>
      <xdr:row>5</xdr:row>
      <xdr:rowOff>55789</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846FFAF1-3771-4A0A-9BB3-AE2F04FE3E90}"/>
            </a:ext>
          </a:extLst>
        </xdr:cNvPr>
        <xdr:cNvSpPr/>
      </xdr:nvSpPr>
      <xdr:spPr>
        <a:xfrm>
          <a:off x="685800" y="311603"/>
          <a:ext cx="1179966" cy="66947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chemeClr val="tx1"/>
              </a:solidFill>
              <a:effectLst/>
              <a:latin typeface="+mn-lt"/>
              <a:ea typeface="+mn-ea"/>
              <a:cs typeface="Poppins" panose="00000500000000000000" pitchFamily="2" charset="0"/>
            </a:rPr>
            <a:t>Índice de coneúdos</a:t>
          </a:r>
          <a:endParaRPr lang="pt-PT" sz="1200" b="1">
            <a:solidFill>
              <a:schemeClr val="tx1"/>
            </a:solidFill>
            <a:effectLst/>
            <a:latin typeface="+mn-lt"/>
            <a:cs typeface="Poppins" panose="00000500000000000000" pitchFamily="2" charset="0"/>
          </a:endParaRPr>
        </a:p>
      </xdr:txBody>
    </xdr:sp>
    <xdr:clientData/>
  </xdr:twoCellAnchor>
  <xdr:twoCellAnchor>
    <xdr:from>
      <xdr:col>3</xdr:col>
      <xdr:colOff>443347</xdr:colOff>
      <xdr:row>1</xdr:row>
      <xdr:rowOff>171450</xdr:rowOff>
    </xdr:from>
    <xdr:to>
      <xdr:col>19</xdr:col>
      <xdr:colOff>415637</xdr:colOff>
      <xdr:row>5</xdr:row>
      <xdr:rowOff>163285</xdr:rowOff>
    </xdr:to>
    <xdr:sp macro="" textlink="">
      <xdr:nvSpPr>
        <xdr:cNvPr id="6" name="Retângulo: Cantos Arredondados 5">
          <a:extLst>
            <a:ext uri="{FF2B5EF4-FFF2-40B4-BE49-F238E27FC236}">
              <a16:creationId xmlns:a16="http://schemas.microsoft.com/office/drawing/2014/main" id="{4BF2B0FA-B414-44BD-9F03-E197EB62EE0F}"/>
            </a:ext>
          </a:extLst>
        </xdr:cNvPr>
        <xdr:cNvSpPr/>
      </xdr:nvSpPr>
      <xdr:spPr>
        <a:xfrm>
          <a:off x="2230583" y="351559"/>
          <a:ext cx="14450290" cy="71227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chemeClr val="tx1"/>
              </a:solidFill>
              <a:latin typeface="+mn-lt"/>
              <a:cs typeface="Poppins" panose="00000500000000000000" pitchFamily="2" charset="0"/>
            </a:rPr>
            <a:t>Dados gerais</a:t>
          </a:r>
        </a:p>
      </xdr:txBody>
    </xdr:sp>
    <xdr:clientData/>
  </xdr:twoCellAnchor>
  <xdr:twoCellAnchor>
    <xdr:from>
      <xdr:col>2</xdr:col>
      <xdr:colOff>206827</xdr:colOff>
      <xdr:row>5</xdr:row>
      <xdr:rowOff>119743</xdr:rowOff>
    </xdr:from>
    <xdr:to>
      <xdr:col>2</xdr:col>
      <xdr:colOff>511628</xdr:colOff>
      <xdr:row>7</xdr:row>
      <xdr:rowOff>65314</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7EA52F39-8C96-4D6A-9952-F8D929D131CC}"/>
            </a:ext>
          </a:extLst>
        </xdr:cNvPr>
        <xdr:cNvSpPr/>
      </xdr:nvSpPr>
      <xdr:spPr>
        <a:xfrm>
          <a:off x="1404256" y="1045029"/>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239486</xdr:colOff>
      <xdr:row>5</xdr:row>
      <xdr:rowOff>108857</xdr:rowOff>
    </xdr:from>
    <xdr:to>
      <xdr:col>1</xdr:col>
      <xdr:colOff>544285</xdr:colOff>
      <xdr:row>7</xdr:row>
      <xdr:rowOff>65315</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08ADD03E-9502-4A31-9838-6FEC36421550}"/>
            </a:ext>
          </a:extLst>
        </xdr:cNvPr>
        <xdr:cNvSpPr/>
      </xdr:nvSpPr>
      <xdr:spPr>
        <a:xfrm flipH="1">
          <a:off x="838200" y="1034143"/>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35379</xdr:colOff>
      <xdr:row>2</xdr:row>
      <xdr:rowOff>105227</xdr:rowOff>
    </xdr:from>
    <xdr:to>
      <xdr:col>1</xdr:col>
      <xdr:colOff>1159329</xdr:colOff>
      <xdr:row>6</xdr:row>
      <xdr:rowOff>35377</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225F1A5-C8A7-4D90-B1FE-E360103A967C}"/>
            </a:ext>
          </a:extLst>
        </xdr:cNvPr>
        <xdr:cNvSpPr/>
      </xdr:nvSpPr>
      <xdr:spPr>
        <a:xfrm>
          <a:off x="634093" y="290284"/>
          <a:ext cx="1123950" cy="670379"/>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1884589</xdr:colOff>
      <xdr:row>2</xdr:row>
      <xdr:rowOff>9525</xdr:rowOff>
    </xdr:from>
    <xdr:to>
      <xdr:col>7</xdr:col>
      <xdr:colOff>65314</xdr:colOff>
      <xdr:row>6</xdr:row>
      <xdr:rowOff>119743</xdr:rowOff>
    </xdr:to>
    <xdr:sp macro="" textlink="">
      <xdr:nvSpPr>
        <xdr:cNvPr id="7" name="Retângulo: Cantos Arredondados 5">
          <a:extLst>
            <a:ext uri="{FF2B5EF4-FFF2-40B4-BE49-F238E27FC236}">
              <a16:creationId xmlns:a16="http://schemas.microsoft.com/office/drawing/2014/main" id="{368605D8-8D53-4BA3-B1B4-B1626E2E8DBF}"/>
            </a:ext>
          </a:extLst>
        </xdr:cNvPr>
        <xdr:cNvSpPr/>
      </xdr:nvSpPr>
      <xdr:spPr>
        <a:xfrm>
          <a:off x="2842532" y="205468"/>
          <a:ext cx="12430125" cy="89398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1">
              <a:solidFill>
                <a:sysClr val="windowText" lastClr="000000"/>
              </a:solidFill>
              <a:latin typeface="+mn-lt"/>
              <a:cs typeface="Arial" panose="020B0604020202020204" pitchFamily="34" charset="0"/>
            </a:rPr>
            <a:t>Combustão</a:t>
          </a:r>
          <a:r>
            <a:rPr lang="pt-PT" b="1" baseline="0">
              <a:solidFill>
                <a:sysClr val="windowText" lastClr="000000"/>
              </a:solidFill>
              <a:latin typeface="+mn-lt"/>
              <a:cs typeface="Arial" panose="020B0604020202020204" pitchFamily="34" charset="0"/>
            </a:rPr>
            <a:t> Estacionária</a:t>
          </a:r>
          <a:endParaRPr lang="pt-PT" b="1">
            <a:solidFill>
              <a:sysClr val="windowText" lastClr="000000"/>
            </a:solidFill>
            <a:latin typeface="+mn-lt"/>
            <a:cs typeface="Arial" panose="020B0604020202020204" pitchFamily="34" charset="0"/>
          </a:endParaRPr>
        </a:p>
      </xdr:txBody>
    </xdr:sp>
    <xdr:clientData/>
  </xdr:twoCellAnchor>
  <xdr:twoCellAnchor>
    <xdr:from>
      <xdr:col>1</xdr:col>
      <xdr:colOff>707571</xdr:colOff>
      <xdr:row>6</xdr:row>
      <xdr:rowOff>108857</xdr:rowOff>
    </xdr:from>
    <xdr:to>
      <xdr:col>1</xdr:col>
      <xdr:colOff>1012372</xdr:colOff>
      <xdr:row>8</xdr:row>
      <xdr:rowOff>130628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724E515E-3A5E-4208-BE96-8DBC2715AF1D}"/>
            </a:ext>
          </a:extLst>
        </xdr:cNvPr>
        <xdr:cNvSpPr/>
      </xdr:nvSpPr>
      <xdr:spPr>
        <a:xfrm>
          <a:off x="1306285" y="1034143"/>
          <a:ext cx="304801" cy="3918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141515</xdr:colOff>
      <xdr:row>6</xdr:row>
      <xdr:rowOff>97971</xdr:rowOff>
    </xdr:from>
    <xdr:to>
      <xdr:col>1</xdr:col>
      <xdr:colOff>446314</xdr:colOff>
      <xdr:row>8</xdr:row>
      <xdr:rowOff>130629</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204BD14D-6FAE-4460-AF1C-705A07AEC235}"/>
            </a:ext>
          </a:extLst>
        </xdr:cNvPr>
        <xdr:cNvSpPr/>
      </xdr:nvSpPr>
      <xdr:spPr>
        <a:xfrm flipH="1">
          <a:off x="740229" y="1023257"/>
          <a:ext cx="304799" cy="4027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25398</xdr:colOff>
      <xdr:row>0</xdr:row>
      <xdr:rowOff>173718</xdr:rowOff>
    </xdr:from>
    <xdr:to>
      <xdr:col>6</xdr:col>
      <xdr:colOff>21771</xdr:colOff>
      <xdr:row>6</xdr:row>
      <xdr:rowOff>81643</xdr:rowOff>
    </xdr:to>
    <xdr:sp macro="" textlink="">
      <xdr:nvSpPr>
        <xdr:cNvPr id="2" name="Retângulo: Cantos Arredondados 1">
          <a:extLst>
            <a:ext uri="{FF2B5EF4-FFF2-40B4-BE49-F238E27FC236}">
              <a16:creationId xmlns:a16="http://schemas.microsoft.com/office/drawing/2014/main" id="{3857ADFE-B8C5-4EE3-9BFF-7A258CB33BFF}"/>
            </a:ext>
          </a:extLst>
        </xdr:cNvPr>
        <xdr:cNvSpPr/>
      </xdr:nvSpPr>
      <xdr:spPr>
        <a:xfrm>
          <a:off x="645884" y="173718"/>
          <a:ext cx="14833601" cy="108358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a:t>
          </a:r>
          <a:r>
            <a:rPr lang="pt-PT" b="0" baseline="0">
              <a:latin typeface="Poppins" panose="00000500000000000000" pitchFamily="2" charset="0"/>
              <a:cs typeface="Poppins" panose="00000500000000000000" pitchFamily="2" charset="0"/>
            </a:rPr>
            <a:t> de Apoio à combustão estacionária</a:t>
          </a:r>
          <a:endParaRPr lang="pt-PT" b="0">
            <a:latin typeface="Poppins" panose="00000500000000000000" pitchFamily="2" charset="0"/>
            <a:cs typeface="Poppins" panose="00000500000000000000"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367553</xdr:colOff>
      <xdr:row>1</xdr:row>
      <xdr:rowOff>82177</xdr:rowOff>
    </xdr:from>
    <xdr:to>
      <xdr:col>9</xdr:col>
      <xdr:colOff>0</xdr:colOff>
      <xdr:row>6</xdr:row>
      <xdr:rowOff>164422</xdr:rowOff>
    </xdr:to>
    <xdr:sp macro="" textlink="">
      <xdr:nvSpPr>
        <xdr:cNvPr id="2" name="Retângulo: Cantos Arredondados 5">
          <a:extLst>
            <a:ext uri="{FF2B5EF4-FFF2-40B4-BE49-F238E27FC236}">
              <a16:creationId xmlns:a16="http://schemas.microsoft.com/office/drawing/2014/main" id="{005EB6AD-43DA-446C-AD9B-C3675FA862EF}"/>
            </a:ext>
          </a:extLst>
        </xdr:cNvPr>
        <xdr:cNvSpPr/>
      </xdr:nvSpPr>
      <xdr:spPr>
        <a:xfrm>
          <a:off x="367553" y="261471"/>
          <a:ext cx="14469035" cy="97871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Categoria 3</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65555</xdr:colOff>
      <xdr:row>1</xdr:row>
      <xdr:rowOff>132469</xdr:rowOff>
    </xdr:from>
    <xdr:to>
      <xdr:col>1</xdr:col>
      <xdr:colOff>1145054</xdr:colOff>
      <xdr:row>5</xdr:row>
      <xdr:rowOff>69342</xdr:rowOff>
    </xdr:to>
    <xdr:sp macro="" textlink="">
      <xdr:nvSpPr>
        <xdr:cNvPr id="7" name="Retângulo: Cantos Arredondados 3">
          <a:hlinkClick xmlns:r="http://schemas.openxmlformats.org/officeDocument/2006/relationships" r:id="rId1"/>
          <a:extLst>
            <a:ext uri="{FF2B5EF4-FFF2-40B4-BE49-F238E27FC236}">
              <a16:creationId xmlns:a16="http://schemas.microsoft.com/office/drawing/2014/main" id="{2886774B-DBB9-4978-9605-D58A6ECB506D}"/>
            </a:ext>
          </a:extLst>
        </xdr:cNvPr>
        <xdr:cNvSpPr/>
      </xdr:nvSpPr>
      <xdr:spPr>
        <a:xfrm>
          <a:off x="871098" y="317526"/>
          <a:ext cx="1079499" cy="6771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000" b="1">
              <a:solidFill>
                <a:sysClr val="windowText" lastClr="000000"/>
              </a:solidFill>
              <a:effectLst/>
              <a:latin typeface="Poppins" panose="00000500000000000000" pitchFamily="2" charset="0"/>
              <a:ea typeface="+mn-ea"/>
              <a:cs typeface="Poppins" panose="00000500000000000000" pitchFamily="2" charset="0"/>
            </a:rPr>
            <a:t>Índice de conteúdos</a:t>
          </a:r>
          <a:endParaRPr lang="pt-PT" sz="1000" b="1">
            <a:solidFill>
              <a:sysClr val="windowText" lastClr="000000"/>
            </a:solidFill>
            <a:effectLst/>
            <a:latin typeface="Poppins" panose="00000500000000000000" pitchFamily="2" charset="0"/>
            <a:cs typeface="Poppins" panose="00000500000000000000" pitchFamily="2" charset="0"/>
          </a:endParaRPr>
        </a:p>
      </xdr:txBody>
    </xdr:sp>
    <xdr:clientData/>
  </xdr:twoCellAnchor>
  <xdr:twoCellAnchor>
    <xdr:from>
      <xdr:col>2</xdr:col>
      <xdr:colOff>947057</xdr:colOff>
      <xdr:row>1</xdr:row>
      <xdr:rowOff>126252</xdr:rowOff>
    </xdr:from>
    <xdr:to>
      <xdr:col>9</xdr:col>
      <xdr:colOff>979714</xdr:colOff>
      <xdr:row>5</xdr:row>
      <xdr:rowOff>141514</xdr:rowOff>
    </xdr:to>
    <xdr:sp macro="" textlink="">
      <xdr:nvSpPr>
        <xdr:cNvPr id="9" name="Retângulo: Cantos Arredondados 5">
          <a:extLst>
            <a:ext uri="{FF2B5EF4-FFF2-40B4-BE49-F238E27FC236}">
              <a16:creationId xmlns:a16="http://schemas.microsoft.com/office/drawing/2014/main" id="{0AB252EA-FB81-4D56-8796-3B7B17A6F8F9}"/>
            </a:ext>
          </a:extLst>
        </xdr:cNvPr>
        <xdr:cNvSpPr/>
      </xdr:nvSpPr>
      <xdr:spPr>
        <a:xfrm>
          <a:off x="2917371" y="322195"/>
          <a:ext cx="12289972" cy="799033"/>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Combustão Móvel</a:t>
          </a:r>
        </a:p>
      </xdr:txBody>
    </xdr:sp>
    <xdr:clientData/>
  </xdr:twoCellAnchor>
  <xdr:twoCellAnchor>
    <xdr:from>
      <xdr:col>1</xdr:col>
      <xdr:colOff>718456</xdr:colOff>
      <xdr:row>5</xdr:row>
      <xdr:rowOff>100533</xdr:rowOff>
    </xdr:from>
    <xdr:to>
      <xdr:col>1</xdr:col>
      <xdr:colOff>1023257</xdr:colOff>
      <xdr:row>7</xdr:row>
      <xdr:rowOff>125998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9027052A-6113-4905-A6DB-049AF7D7A246}"/>
            </a:ext>
          </a:extLst>
        </xdr:cNvPr>
        <xdr:cNvSpPr/>
      </xdr:nvSpPr>
      <xdr:spPr>
        <a:xfrm>
          <a:off x="1499506" y="1100658"/>
          <a:ext cx="304801" cy="46361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152399</xdr:colOff>
      <xdr:row>5</xdr:row>
      <xdr:rowOff>89648</xdr:rowOff>
    </xdr:from>
    <xdr:to>
      <xdr:col>1</xdr:col>
      <xdr:colOff>457198</xdr:colOff>
      <xdr:row>7</xdr:row>
      <xdr:rowOff>123826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DD4A5603-252E-4345-B8AB-6C6B1B67E972}"/>
            </a:ext>
          </a:extLst>
        </xdr:cNvPr>
        <xdr:cNvSpPr/>
      </xdr:nvSpPr>
      <xdr:spPr>
        <a:xfrm flipH="1">
          <a:off x="933449" y="1089773"/>
          <a:ext cx="304799" cy="47232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local\Pastas\Users\Tiago\Desktop\Calculadora%20APA\Base\ferramenta_ghg_protocol_v2023.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G:\My%20Drive\Work\Projects\APA\APA%20-%20proj\calculadora_hc_tcm30-485617.xlsx" TargetMode="External"/><Relationship Id="rId1" Type="http://schemas.openxmlformats.org/officeDocument/2006/relationships/externalLinkPath" Target="file:///G:\My%20Drive\Work\Projects\APA\APA%20-%20proj\calculadora_hc_tcm30-4856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Pastas\Users\Tiago\Desktop\Calculadora%20APA\Trabalho\Calculadora%20do%20Pro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Atualizações"/>
      <sheetName val="Listas"/>
      <sheetName val="Introdução"/>
      <sheetName val="Combustão estacionária"/>
      <sheetName val="Combustão móvel"/>
      <sheetName val="Emissões fugitivas"/>
      <sheetName val="Processos industriais"/>
      <sheetName val="Atividades de agricultura"/>
      <sheetName val="Mudança no uso do solo"/>
      <sheetName val="Resíduos sólidos"/>
      <sheetName val="Efluentes"/>
      <sheetName val="En. elétrica (localização)"/>
      <sheetName val="Perdas T&amp;D (abord. localização)"/>
      <sheetName val="Compra de Energia Térmica"/>
      <sheetName val="En. elétrica(escolha de compra)"/>
      <sheetName val="Perdas T&amp;D (escolha de compra)"/>
      <sheetName val="Categorias de Escopo 3"/>
      <sheetName val="Transp.&amp; Distribuição(Upstream)"/>
      <sheetName val="Resíduos sólidos da operação"/>
      <sheetName val="Efluentes gerados na operação"/>
      <sheetName val="Viagens a Negócios"/>
      <sheetName val="Deslocamento casa-trabalho"/>
      <sheetName val="Transp&amp;Distribuição(Downstream)"/>
      <sheetName val="Resumo"/>
      <sheetName val="Registro Público de Emissões"/>
      <sheetName val="Fatores de Emissão"/>
      <sheetName val="Fatores Variáveis"/>
      <sheetName val="Fugitivas - GEE não Quioto"/>
      <sheetName val="Aeroportos"/>
      <sheetName val="Fatores de conversão"/>
    </sheetNames>
    <sheetDataSet>
      <sheetData sheetId="0" refreshError="1"/>
      <sheetData sheetId="1" refreshError="1">
        <row r="11">
          <cell r="B11" t="str">
            <v>Versão 2023.0.1</v>
          </cell>
        </row>
      </sheetData>
      <sheetData sheetId="2" refreshError="1"/>
      <sheetData sheetId="3" refreshError="1">
        <row r="25">
          <cell r="E25">
            <v>2022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IDO"/>
      <sheetName val="1.Datos generales organización "/>
      <sheetName val="2. Hoja de trabajo. Consumos"/>
      <sheetName val="3. Instalaciones fijas"/>
      <sheetName val="4. Vehículos y maquinaria"/>
      <sheetName val="5. Emisiones Fugitivas"/>
      <sheetName val="6. Emisiones de proceso"/>
      <sheetName val="7. Información adicional"/>
      <sheetName val="8.Electricidad y otras energías"/>
      <sheetName val="9. Informe final. Resultados"/>
      <sheetName val="10. Factores de emisión"/>
      <sheetName val="11. Revisiones calculadora"/>
      <sheetName val="Dato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10">
          <cell r="C710" t="str">
            <v>CO2</v>
          </cell>
        </row>
        <row r="711">
          <cell r="C711" t="str">
            <v>CH4</v>
          </cell>
        </row>
        <row r="712">
          <cell r="C712" t="str">
            <v>N2O</v>
          </cell>
        </row>
        <row r="713">
          <cell r="C713" t="str">
            <v>SF6</v>
          </cell>
        </row>
        <row r="714">
          <cell r="C714" t="str">
            <v>NF3</v>
          </cell>
        </row>
        <row r="715">
          <cell r="C715" t="str">
            <v>HCFE-235da2</v>
          </cell>
        </row>
        <row r="716">
          <cell r="C716" t="str">
            <v>HFE-236ea2</v>
          </cell>
        </row>
        <row r="717">
          <cell r="C717" t="str">
            <v>HFE-347mmz1</v>
          </cell>
        </row>
        <row r="718">
          <cell r="C718" t="str">
            <v>C2F6(PFC-116)</v>
          </cell>
        </row>
        <row r="719">
          <cell r="C719" t="str">
            <v>C3F8 (PFC-218)</v>
          </cell>
        </row>
        <row r="720">
          <cell r="C720" t="str">
            <v>Otro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trodução"/>
      <sheetName val="Combustão estacionária"/>
      <sheetName val="Combustão móvel"/>
      <sheetName val="Emissões fugitivas"/>
      <sheetName val="Processos industriais"/>
      <sheetName val="Agrícolas e uso do solo"/>
      <sheetName val="Resíduos sólidos"/>
      <sheetName val="Listas"/>
      <sheetName val="Efluentes"/>
      <sheetName val="Compra de Energia Elétrica"/>
      <sheetName val="Compra de Energia Térmica"/>
      <sheetName val="Transp.&amp; Distribuição(Upstream)"/>
      <sheetName val="Resíduos sólidos da operação"/>
      <sheetName val="Efluentes gerados na operação"/>
      <sheetName val="Viagens a negócios"/>
      <sheetName val="Fatores de Emissão"/>
      <sheetName val="Permuta casa-trabalho"/>
      <sheetName val="Transp&amp;Distribuição(Downstream)"/>
      <sheetName val="Categorias de Ambito 3"/>
      <sheetName val="Resumo"/>
      <sheetName val="GRI"/>
      <sheetName val="Conversão Unidades"/>
    </sheetNames>
    <sheetDataSet>
      <sheetData sheetId="0"/>
      <sheetData sheetId="1"/>
      <sheetData sheetId="2"/>
      <sheetData sheetId="3"/>
      <sheetData sheetId="4"/>
      <sheetData sheetId="5"/>
      <sheetData sheetId="6"/>
      <sheetData sheetId="7"/>
      <sheetData sheetId="8">
        <row r="2">
          <cell r="D2" t="str">
            <v>Selecione o setor</v>
          </cell>
        </row>
        <row r="3">
          <cell r="D3" t="str">
            <v>Energia</v>
          </cell>
        </row>
        <row r="4">
          <cell r="D4" t="str">
            <v>Manufatura ou Construção</v>
          </cell>
        </row>
        <row r="5">
          <cell r="D5" t="str">
            <v>Comercial ou Institucional</v>
          </cell>
        </row>
        <row r="6">
          <cell r="D6" t="str">
            <v>Residencial, Agricultura, Florestal ou Pesca</v>
          </cell>
        </row>
      </sheetData>
      <sheetData sheetId="9"/>
      <sheetData sheetId="10"/>
      <sheetData sheetId="11"/>
      <sheetData sheetId="12">
        <row r="350">
          <cell r="F350">
            <v>0</v>
          </cell>
        </row>
      </sheetData>
      <sheetData sheetId="13"/>
      <sheetData sheetId="14"/>
      <sheetData sheetId="15"/>
      <sheetData sheetId="16">
        <row r="235">
          <cell r="E235">
            <v>1</v>
          </cell>
        </row>
        <row r="236">
          <cell r="E236">
            <v>25</v>
          </cell>
        </row>
        <row r="237">
          <cell r="E237">
            <v>298</v>
          </cell>
        </row>
      </sheetData>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7.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8.xml"/><Relationship Id="rId1" Type="http://schemas.openxmlformats.org/officeDocument/2006/relationships/printerSettings" Target="../printerSettings/printerSettings18.bin"/><Relationship Id="rId4" Type="http://schemas.openxmlformats.org/officeDocument/2006/relationships/comments" Target="../comments3.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17742-937D-4114-AB3A-FC3633EA7D0D}">
  <sheetPr codeName="Folha1">
    <tabColor rgb="FF58D4CC"/>
  </sheetPr>
  <dimension ref="A1:Z45"/>
  <sheetViews>
    <sheetView topLeftCell="A12" zoomScale="85" zoomScaleNormal="85" workbookViewId="0">
      <selection activeCell="Q10" sqref="Q10"/>
    </sheetView>
  </sheetViews>
  <sheetFormatPr defaultColWidth="0" defaultRowHeight="0" customHeight="1" zeroHeight="1" x14ac:dyDescent="0.45"/>
  <cols>
    <col min="1" max="26" width="8.7265625" style="377" customWidth="1"/>
    <col min="27" max="16384" width="8.7265625" style="377" hidden="1"/>
  </cols>
  <sheetData>
    <row r="1" spans="2:23" ht="18.5" x14ac:dyDescent="0.45"/>
    <row r="2" spans="2:23" ht="18.5" x14ac:dyDescent="0.45"/>
    <row r="3" spans="2:23" ht="18.5" x14ac:dyDescent="0.45"/>
    <row r="4" spans="2:23" ht="18.5" x14ac:dyDescent="0.45"/>
    <row r="5" spans="2:23" ht="18.5" x14ac:dyDescent="0.45"/>
    <row r="6" spans="2:23" ht="18.5" x14ac:dyDescent="0.45"/>
    <row r="7" spans="2:23" ht="18.5" x14ac:dyDescent="0.45"/>
    <row r="8" spans="2:23" ht="18.5" x14ac:dyDescent="0.45"/>
    <row r="9" spans="2:23" ht="18.5" x14ac:dyDescent="0.45"/>
    <row r="10" spans="2:23" ht="18.5" x14ac:dyDescent="0.45">
      <c r="B10" s="913"/>
    </row>
    <row r="11" spans="2:23" ht="60" customHeight="1" x14ac:dyDescent="0.45">
      <c r="B11" s="1054" t="s">
        <v>1523</v>
      </c>
      <c r="C11" s="1054"/>
      <c r="D11" s="1054"/>
      <c r="E11" s="1054"/>
      <c r="F11" s="1054"/>
      <c r="G11" s="1054"/>
      <c r="H11" s="1054"/>
      <c r="I11" s="1054"/>
      <c r="J11" s="1054"/>
      <c r="K11" s="1054"/>
      <c r="L11" s="1054"/>
      <c r="M11" s="1054"/>
      <c r="N11" s="1054"/>
      <c r="O11" s="1054"/>
      <c r="P11" s="1054"/>
      <c r="Q11" s="1054"/>
      <c r="R11" s="1054"/>
      <c r="S11" s="1054"/>
      <c r="T11" s="1054"/>
      <c r="U11" s="1054"/>
      <c r="V11" s="1054"/>
      <c r="W11" s="1054"/>
    </row>
    <row r="12" spans="2:23" ht="46.9" customHeight="1" x14ac:dyDescent="0.45">
      <c r="B12" s="1054" t="s">
        <v>1524</v>
      </c>
      <c r="C12" s="1054"/>
      <c r="D12" s="1054"/>
      <c r="E12" s="1054"/>
      <c r="F12" s="1054"/>
      <c r="G12" s="1054"/>
      <c r="H12" s="1054"/>
      <c r="I12" s="1054"/>
      <c r="J12" s="1054"/>
      <c r="K12" s="1054"/>
      <c r="L12" s="1054"/>
      <c r="M12" s="1054"/>
      <c r="N12" s="1054"/>
      <c r="O12" s="1054"/>
      <c r="P12" s="1054"/>
      <c r="Q12" s="1054"/>
      <c r="R12" s="1054"/>
      <c r="S12" s="1054"/>
      <c r="T12" s="1054"/>
      <c r="U12" s="1054"/>
      <c r="V12" s="1054"/>
      <c r="W12" s="1054"/>
    </row>
    <row r="13" spans="2:23" ht="43.15" customHeight="1" x14ac:dyDescent="0.45">
      <c r="B13" s="1054" t="s">
        <v>1525</v>
      </c>
      <c r="C13" s="1054"/>
      <c r="D13" s="1054"/>
      <c r="E13" s="1054"/>
      <c r="F13" s="1054"/>
      <c r="G13" s="1054"/>
      <c r="H13" s="1054"/>
      <c r="I13" s="1054"/>
      <c r="J13" s="1054"/>
      <c r="K13" s="1054"/>
      <c r="L13" s="1054"/>
      <c r="M13" s="1054"/>
      <c r="N13" s="1054"/>
      <c r="O13" s="1054"/>
      <c r="P13" s="1054"/>
      <c r="Q13" s="1054"/>
      <c r="R13" s="1054"/>
      <c r="S13" s="1054"/>
      <c r="T13" s="1054"/>
      <c r="U13" s="1054"/>
      <c r="V13" s="1054"/>
      <c r="W13" s="1054"/>
    </row>
    <row r="14" spans="2:23" ht="64.150000000000006" customHeight="1" x14ac:dyDescent="0.45">
      <c r="B14" s="1054" t="s">
        <v>1526</v>
      </c>
      <c r="C14" s="1054"/>
      <c r="D14" s="1054"/>
      <c r="E14" s="1054"/>
      <c r="F14" s="1054"/>
      <c r="G14" s="1054"/>
      <c r="H14" s="1054"/>
      <c r="I14" s="1054"/>
      <c r="J14" s="1054"/>
      <c r="K14" s="1054"/>
      <c r="L14" s="1054"/>
      <c r="M14" s="1054"/>
      <c r="N14" s="1054"/>
      <c r="O14" s="1054"/>
      <c r="P14" s="1054"/>
      <c r="Q14" s="1054"/>
      <c r="R14" s="1054"/>
      <c r="S14" s="1054"/>
      <c r="T14" s="1054"/>
      <c r="U14" s="1054"/>
      <c r="V14" s="1054"/>
      <c r="W14" s="1054"/>
    </row>
    <row r="15" spans="2:23" ht="57" customHeight="1" x14ac:dyDescent="0.45">
      <c r="B15" s="1055" t="s">
        <v>1572</v>
      </c>
      <c r="C15" s="1055"/>
      <c r="D15" s="1055"/>
      <c r="E15" s="1055"/>
      <c r="F15" s="1055"/>
      <c r="G15" s="1055"/>
      <c r="H15" s="1055"/>
      <c r="I15" s="1055"/>
      <c r="J15" s="1055"/>
      <c r="K15" s="1055"/>
      <c r="L15" s="1055"/>
      <c r="M15" s="1055"/>
      <c r="N15" s="1055"/>
      <c r="O15" s="1055"/>
      <c r="P15" s="1055"/>
      <c r="Q15" s="1055"/>
      <c r="R15" s="1055"/>
      <c r="S15" s="1055"/>
      <c r="T15" s="1055"/>
      <c r="U15" s="1055"/>
      <c r="V15" s="1055"/>
      <c r="W15" s="1055"/>
    </row>
    <row r="16" spans="2:23" ht="18.5" x14ac:dyDescent="0.45"/>
    <row r="17" ht="18.5" x14ac:dyDescent="0.45"/>
    <row r="18" ht="18.5" x14ac:dyDescent="0.45"/>
    <row r="19" ht="18.5" x14ac:dyDescent="0.45"/>
    <row r="20" ht="18.5" x14ac:dyDescent="0.45"/>
    <row r="21" ht="18.5" x14ac:dyDescent="0.45"/>
    <row r="22" ht="55.5" customHeight="1" x14ac:dyDescent="0.45"/>
    <row r="23" ht="18.5" x14ac:dyDescent="0.45"/>
    <row r="24" ht="18.5" x14ac:dyDescent="0.45"/>
    <row r="25" ht="14.5" customHeight="1" x14ac:dyDescent="0.45"/>
    <row r="26" ht="14.5" customHeight="1" x14ac:dyDescent="0.45"/>
    <row r="27" ht="14.5" customHeight="1" x14ac:dyDescent="0.45"/>
    <row r="28" ht="14.5" customHeight="1" x14ac:dyDescent="0.45"/>
    <row r="29" ht="14.5" customHeight="1" x14ac:dyDescent="0.45"/>
    <row r="30" ht="14.5" customHeight="1" x14ac:dyDescent="0.45"/>
    <row r="31" ht="14.5" customHeight="1" x14ac:dyDescent="0.45"/>
    <row r="32" ht="14.5" customHeight="1" x14ac:dyDescent="0.45"/>
    <row r="33" ht="14.5" customHeight="1" x14ac:dyDescent="0.45"/>
    <row r="34" ht="14.5" customHeight="1" x14ac:dyDescent="0.45"/>
    <row r="35" ht="14.5" customHeight="1" x14ac:dyDescent="0.45"/>
    <row r="36" ht="14.5" customHeight="1" x14ac:dyDescent="0.45"/>
    <row r="37" ht="14.5" customHeight="1" x14ac:dyDescent="0.45"/>
    <row r="38" ht="14.5" customHeight="1" x14ac:dyDescent="0.45"/>
    <row r="39" ht="14.5" customHeight="1" x14ac:dyDescent="0.45"/>
    <row r="40" ht="14.5" customHeight="1" x14ac:dyDescent="0.45"/>
    <row r="41" ht="14.5" customHeight="1" x14ac:dyDescent="0.45"/>
    <row r="42" ht="14.5" customHeight="1" x14ac:dyDescent="0.45"/>
    <row r="43" ht="14.5" customHeight="1" x14ac:dyDescent="0.45"/>
    <row r="44" ht="14.5" customHeight="1" x14ac:dyDescent="0.45"/>
    <row r="45" ht="14.5" customHeight="1" x14ac:dyDescent="0.45"/>
  </sheetData>
  <sheetProtection algorithmName="SHA-512" hashValue="O2ztu3YCOgc2OTjElBl4Ri0xSJ7YSvZKJ5EJ+q/VpC6ESVpvi2SEvCwS+nk5k1FgPvpqPawZaT3MhtYiq/jLQA==" saltValue="wAL24pTLnP960Qnw8VlnFg==" spinCount="100000" sheet="1" objects="1" scenarios="1" selectLockedCells="1"/>
  <mergeCells count="5">
    <mergeCell ref="B11:W11"/>
    <mergeCell ref="B12:W12"/>
    <mergeCell ref="B13:W13"/>
    <mergeCell ref="B14:W14"/>
    <mergeCell ref="B15:W15"/>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A6ECD-F13F-462E-A1E9-BF1AF7218894}">
  <sheetPr codeName="Folha10"/>
  <dimension ref="A12:X423"/>
  <sheetViews>
    <sheetView showGridLines="0" zoomScale="70" zoomScaleNormal="70" workbookViewId="0">
      <selection activeCell="A14" sqref="A14"/>
    </sheetView>
  </sheetViews>
  <sheetFormatPr defaultRowHeight="14.5" x14ac:dyDescent="0.35"/>
  <cols>
    <col min="1" max="1" width="10.7265625" bestFit="1" customWidth="1"/>
    <col min="2" max="2" width="37.1796875" bestFit="1" customWidth="1"/>
    <col min="3" max="3" width="37.81640625" bestFit="1" customWidth="1"/>
    <col min="4" max="4" width="15.7265625" bestFit="1" customWidth="1"/>
    <col min="5" max="5" width="17.7265625" bestFit="1" customWidth="1"/>
    <col min="6" max="6" width="12" bestFit="1" customWidth="1"/>
    <col min="7" max="7" width="11.7265625" bestFit="1" customWidth="1"/>
    <col min="8" max="8" width="13.1796875" bestFit="1" customWidth="1"/>
    <col min="9" max="9" width="12" bestFit="1" customWidth="1"/>
    <col min="10" max="10" width="11.7265625" bestFit="1" customWidth="1"/>
    <col min="11" max="11" width="13.1796875" bestFit="1" customWidth="1"/>
    <col min="12" max="12" width="21.453125" bestFit="1" customWidth="1"/>
    <col min="13" max="13" width="21.7265625" bestFit="1" customWidth="1"/>
    <col min="14" max="14" width="1.26953125" customWidth="1"/>
    <col min="15" max="15" width="16.26953125" customWidth="1"/>
    <col min="16" max="16" width="1.453125" customWidth="1"/>
    <col min="17" max="17" width="1.26953125" customWidth="1"/>
    <col min="18" max="19" width="20.453125" customWidth="1"/>
    <col min="20" max="20" width="17.7265625" customWidth="1"/>
  </cols>
  <sheetData>
    <row r="12" spans="1:13" ht="18.399999999999999" customHeight="1" x14ac:dyDescent="0.35">
      <c r="A12" s="3" t="s">
        <v>37</v>
      </c>
      <c r="C12" s="3" t="s">
        <v>546</v>
      </c>
    </row>
    <row r="13" spans="1:13" ht="22.9" customHeight="1" x14ac:dyDescent="0.35">
      <c r="A13" s="133" t="str">
        <f>'Fatores de Emissão'!B12</f>
        <v>Construção ou fase preparatória</v>
      </c>
      <c r="B13" s="145" t="s">
        <v>541</v>
      </c>
      <c r="C13" s="144" t="s">
        <v>547</v>
      </c>
    </row>
    <row r="14" spans="1:13" x14ac:dyDescent="0.35">
      <c r="A14" s="133" t="str">
        <f>'Fatores de Emissão'!B13</f>
        <v>Exploração</v>
      </c>
      <c r="B14" s="145" t="s">
        <v>542</v>
      </c>
      <c r="C14" s="144" t="s">
        <v>545</v>
      </c>
    </row>
    <row r="15" spans="1:13" ht="18" customHeight="1" x14ac:dyDescent="0.35">
      <c r="A15" s="133" t="str">
        <f>'Fatores de Emissão'!B14</f>
        <v>Desativação</v>
      </c>
      <c r="C15" s="144" t="s">
        <v>548</v>
      </c>
    </row>
    <row r="16" spans="1:13" x14ac:dyDescent="0.35">
      <c r="M16" t="str">
        <f>C13</f>
        <v>Transporte a montante da empresa</v>
      </c>
    </row>
    <row r="17" spans="2:24" ht="14.65" customHeight="1" x14ac:dyDescent="0.35">
      <c r="M17" t="str">
        <f>C14</f>
        <v>Viagens a negócios</v>
      </c>
    </row>
    <row r="18" spans="2:24" ht="14.65" customHeight="1" x14ac:dyDescent="0.35">
      <c r="M18" t="str">
        <f>C15</f>
        <v>Transporte a jusante da empresa</v>
      </c>
      <c r="T18" s="1135" t="s">
        <v>543</v>
      </c>
      <c r="U18" s="1135"/>
    </row>
    <row r="19" spans="2:24" ht="15" customHeight="1" thickBot="1" x14ac:dyDescent="0.4">
      <c r="D19" s="1"/>
      <c r="E19" s="8"/>
      <c r="F19" s="1142" t="s">
        <v>1087</v>
      </c>
      <c r="G19" s="1143"/>
      <c r="H19" s="1144"/>
      <c r="I19" s="1142" t="s">
        <v>45</v>
      </c>
      <c r="J19" s="1143"/>
      <c r="K19" s="1144"/>
      <c r="L19" s="1139" t="s">
        <v>543</v>
      </c>
      <c r="M19" s="1139" t="s">
        <v>544</v>
      </c>
      <c r="N19" s="1136"/>
      <c r="O19" s="1135" t="str">
        <f>C14</f>
        <v>Viagens a negócios</v>
      </c>
      <c r="P19" s="1136"/>
      <c r="Q19" s="1136"/>
      <c r="R19" s="1138" t="str">
        <f>C13</f>
        <v>Transporte a montante da empresa</v>
      </c>
      <c r="S19" s="1138" t="str">
        <f>C15</f>
        <v>Transporte a jusante da empresa</v>
      </c>
      <c r="T19" s="1135"/>
      <c r="U19" s="1135"/>
    </row>
    <row r="20" spans="2:24" ht="20.5" thickBot="1" x14ac:dyDescent="0.4">
      <c r="C20" s="26" t="s">
        <v>35</v>
      </c>
      <c r="D20" s="27" t="s">
        <v>899</v>
      </c>
      <c r="E20" s="26" t="s">
        <v>44</v>
      </c>
      <c r="F20" s="23" t="str">
        <f>A13</f>
        <v>Construção ou fase preparatória</v>
      </c>
      <c r="G20" s="24" t="str">
        <f>A14</f>
        <v>Exploração</v>
      </c>
      <c r="H20" s="25" t="str">
        <f>A15</f>
        <v>Desativação</v>
      </c>
      <c r="I20" s="23" t="str">
        <f>A13</f>
        <v>Construção ou fase preparatória</v>
      </c>
      <c r="J20" s="24" t="str">
        <f>A14</f>
        <v>Exploração</v>
      </c>
      <c r="K20" s="38" t="str">
        <f>A15</f>
        <v>Desativação</v>
      </c>
      <c r="L20" s="1140"/>
      <c r="M20" s="1140"/>
      <c r="N20" s="1141"/>
      <c r="O20" s="1135"/>
      <c r="P20" s="1136"/>
      <c r="Q20" s="1136"/>
      <c r="R20" s="1137"/>
      <c r="S20" s="1137"/>
      <c r="T20" s="3" t="s">
        <v>541</v>
      </c>
      <c r="U20" s="3" t="s">
        <v>542</v>
      </c>
      <c r="V20" t="s">
        <v>714</v>
      </c>
      <c r="W20" t="s">
        <v>715</v>
      </c>
      <c r="X20" t="s">
        <v>716</v>
      </c>
    </row>
    <row r="21" spans="2:24" ht="14.65" customHeight="1" thickBot="1" x14ac:dyDescent="0.4">
      <c r="B21" s="1145" t="s">
        <v>232</v>
      </c>
      <c r="C21" s="56">
        <f>'Combustão Móvel'!B51</f>
        <v>0</v>
      </c>
      <c r="D21" s="148" t="str">
        <f>'Combustão Móvel'!O51</f>
        <v/>
      </c>
      <c r="E21" s="149">
        <v>0</v>
      </c>
      <c r="F21" s="150">
        <f>IF(C21=$F$20,D21,0)</f>
        <v>0</v>
      </c>
      <c r="G21" s="150">
        <f>IF(C21=$G$20,D21,0)</f>
        <v>0</v>
      </c>
      <c r="H21" s="150">
        <f>IF(C21=$H$20,D21,0)</f>
        <v>0</v>
      </c>
      <c r="I21" s="150">
        <f>IF(C21=$I$20,E21,0)</f>
        <v>0</v>
      </c>
      <c r="J21" s="150">
        <f>IF(C21=$J$20,E21,0)</f>
        <v>0</v>
      </c>
      <c r="K21" s="151">
        <f>IF(C21=$K$20,E21,0)</f>
        <v>0</v>
      </c>
      <c r="L21" s="37">
        <f>'Combustão Móvel'!F51</f>
        <v>0</v>
      </c>
      <c r="M21" s="41">
        <f>'Combustão Móvel'!G51</f>
        <v>0</v>
      </c>
      <c r="N21" s="153"/>
      <c r="O21" s="153">
        <f>IF($M21=$O$19,IF($L21=$B$14,$D21,0),0)</f>
        <v>0</v>
      </c>
      <c r="P21" s="153"/>
      <c r="Q21" s="153"/>
      <c r="R21" s="153">
        <f>IF($M21=$R$19,IF($L21=$B$14,$D21,0),0)</f>
        <v>0</v>
      </c>
      <c r="S21" s="153">
        <f>IF($M21=$S$19,IF($L21=$B$14,$D21,0),0)</f>
        <v>0</v>
      </c>
      <c r="T21" s="164">
        <f>IF($L21=$T$20,$D21,0)</f>
        <v>0</v>
      </c>
      <c r="U21" s="164">
        <f>IF($L21=$U$20,$D21,0)</f>
        <v>0</v>
      </c>
      <c r="V21" s="137" t="str">
        <f>IF($L21="Não",F21,"")</f>
        <v/>
      </c>
      <c r="W21" s="137" t="str">
        <f t="shared" ref="W21:X21" si="0">IF($L21="Não",G21,"")</f>
        <v/>
      </c>
      <c r="X21" s="137" t="str">
        <f t="shared" si="0"/>
        <v/>
      </c>
    </row>
    <row r="22" spans="2:24" ht="15" thickBot="1" x14ac:dyDescent="0.4">
      <c r="B22" s="1146"/>
      <c r="C22" s="56">
        <f>'Combustão Móvel'!B52</f>
        <v>0</v>
      </c>
      <c r="D22" s="148" t="str">
        <f>'Combustão Móvel'!O52</f>
        <v/>
      </c>
      <c r="E22" s="152">
        <v>0</v>
      </c>
      <c r="F22" s="153">
        <f t="shared" ref="F22:F85" si="1">IF(C22=$F$20,D22,0)</f>
        <v>0</v>
      </c>
      <c r="G22" s="153">
        <f t="shared" ref="G22:G85" si="2">IF(C22=$G$20,D22,0)</f>
        <v>0</v>
      </c>
      <c r="H22" s="153">
        <f t="shared" ref="H22:H85" si="3">IF(C22=$H$20,D22,0)</f>
        <v>0</v>
      </c>
      <c r="I22" s="153">
        <f t="shared" ref="I22:I85" si="4">IF(C22=$I$20,E22,0)</f>
        <v>0</v>
      </c>
      <c r="J22" s="153">
        <f t="shared" ref="J22:J85" si="5">IF(C22=$J$20,E22,0)</f>
        <v>0</v>
      </c>
      <c r="K22" s="154">
        <f t="shared" ref="K22:K85" si="6">IF(C22=$K$20,E22,0)</f>
        <v>0</v>
      </c>
      <c r="L22" s="37">
        <f>'Combustão Móvel'!F52</f>
        <v>0</v>
      </c>
      <c r="M22" s="41">
        <f>'Combustão Móvel'!G52</f>
        <v>0</v>
      </c>
      <c r="N22" s="153"/>
      <c r="O22" s="153">
        <f t="shared" ref="O22:O85" si="7">IF($M22=$O$19,IF($L22=$B$14,$D22,0),0)</f>
        <v>0</v>
      </c>
      <c r="P22" s="153"/>
      <c r="Q22" s="153"/>
      <c r="R22" s="153">
        <f t="shared" ref="R22:R85" si="8">IF($M22=$R$19,IF($L22=$B$14,$D22,0),0)</f>
        <v>0</v>
      </c>
      <c r="S22" s="153">
        <f t="shared" ref="S22:S85" si="9">IF($M22=$S$19,IF($L22=$B$14,$D22,0),0)</f>
        <v>0</v>
      </c>
      <c r="T22" s="164">
        <f t="shared" ref="T22:T85" si="10">IF($L22=$T$20,$D22,0)</f>
        <v>0</v>
      </c>
      <c r="U22" s="164">
        <f t="shared" ref="U22:U85" si="11">IF($L22=$U$20,$D22,0)</f>
        <v>0</v>
      </c>
      <c r="V22" s="137" t="str">
        <f t="shared" ref="V22:V24" si="12">IF($L22="Não",F22,"")</f>
        <v/>
      </c>
      <c r="W22" s="137" t="str">
        <f t="shared" ref="W22:W24" si="13">IF($L22="Não",G22,"")</f>
        <v/>
      </c>
      <c r="X22" s="137" t="str">
        <f t="shared" ref="X22:X24" si="14">IF($L22="Não",H22,"")</f>
        <v/>
      </c>
    </row>
    <row r="23" spans="2:24" ht="15" thickBot="1" x14ac:dyDescent="0.4">
      <c r="B23" s="1146"/>
      <c r="C23" s="56">
        <f>'Combustão Móvel'!B53</f>
        <v>0</v>
      </c>
      <c r="D23" s="148" t="str">
        <f>'Combustão Móvel'!O53</f>
        <v/>
      </c>
      <c r="E23" s="152">
        <v>0</v>
      </c>
      <c r="F23" s="153">
        <f t="shared" si="1"/>
        <v>0</v>
      </c>
      <c r="G23" s="153">
        <f t="shared" si="2"/>
        <v>0</v>
      </c>
      <c r="H23" s="153">
        <f t="shared" si="3"/>
        <v>0</v>
      </c>
      <c r="I23" s="153">
        <f t="shared" si="4"/>
        <v>0</v>
      </c>
      <c r="J23" s="153">
        <f t="shared" si="5"/>
        <v>0</v>
      </c>
      <c r="K23" s="154">
        <f t="shared" si="6"/>
        <v>0</v>
      </c>
      <c r="L23" s="37">
        <f>'Combustão Móvel'!F53</f>
        <v>0</v>
      </c>
      <c r="M23" s="41">
        <f>'Combustão Móvel'!G53</f>
        <v>0</v>
      </c>
      <c r="N23" s="153"/>
      <c r="O23" s="153">
        <f t="shared" si="7"/>
        <v>0</v>
      </c>
      <c r="P23" s="153"/>
      <c r="Q23" s="153"/>
      <c r="R23" s="153">
        <f t="shared" si="8"/>
        <v>0</v>
      </c>
      <c r="S23" s="153">
        <f t="shared" si="9"/>
        <v>0</v>
      </c>
      <c r="T23" s="164">
        <f t="shared" si="10"/>
        <v>0</v>
      </c>
      <c r="U23" s="164">
        <f t="shared" si="11"/>
        <v>0</v>
      </c>
      <c r="V23" s="137" t="str">
        <f t="shared" si="12"/>
        <v/>
      </c>
      <c r="W23" s="137" t="str">
        <f t="shared" si="13"/>
        <v/>
      </c>
      <c r="X23" s="137" t="str">
        <f t="shared" si="14"/>
        <v/>
      </c>
    </row>
    <row r="24" spans="2:24" ht="15" thickBot="1" x14ac:dyDescent="0.4">
      <c r="B24" s="1146"/>
      <c r="C24" s="56">
        <f>'Combustão Móvel'!B54</f>
        <v>0</v>
      </c>
      <c r="D24" s="148" t="str">
        <f>'Combustão Móvel'!O54</f>
        <v/>
      </c>
      <c r="E24" s="152">
        <v>0</v>
      </c>
      <c r="F24" s="153">
        <f t="shared" si="1"/>
        <v>0</v>
      </c>
      <c r="G24" s="153">
        <f t="shared" si="2"/>
        <v>0</v>
      </c>
      <c r="H24" s="153">
        <f t="shared" si="3"/>
        <v>0</v>
      </c>
      <c r="I24" s="153">
        <f t="shared" si="4"/>
        <v>0</v>
      </c>
      <c r="J24" s="153">
        <f t="shared" si="5"/>
        <v>0</v>
      </c>
      <c r="K24" s="154">
        <f t="shared" si="6"/>
        <v>0</v>
      </c>
      <c r="L24" s="37">
        <f>'Combustão Móvel'!F54</f>
        <v>0</v>
      </c>
      <c r="M24" s="41">
        <f>'Combustão Móvel'!G54</f>
        <v>0</v>
      </c>
      <c r="N24" s="153"/>
      <c r="O24" s="153">
        <f t="shared" si="7"/>
        <v>0</v>
      </c>
      <c r="P24" s="153"/>
      <c r="Q24" s="153"/>
      <c r="R24" s="153">
        <f t="shared" si="8"/>
        <v>0</v>
      </c>
      <c r="S24" s="153">
        <f t="shared" si="9"/>
        <v>0</v>
      </c>
      <c r="T24" s="164">
        <f t="shared" si="10"/>
        <v>0</v>
      </c>
      <c r="U24" s="164">
        <f t="shared" si="11"/>
        <v>0</v>
      </c>
      <c r="V24" s="137" t="str">
        <f t="shared" si="12"/>
        <v/>
      </c>
      <c r="W24" s="137" t="str">
        <f t="shared" si="13"/>
        <v/>
      </c>
      <c r="X24" s="137" t="str">
        <f t="shared" si="14"/>
        <v/>
      </c>
    </row>
    <row r="25" spans="2:24" ht="15" thickBot="1" x14ac:dyDescent="0.4">
      <c r="B25" s="1146"/>
      <c r="C25" s="56">
        <f>'Combustão Móvel'!B55</f>
        <v>0</v>
      </c>
      <c r="D25" s="148" t="str">
        <f>'Combustão Móvel'!O55</f>
        <v/>
      </c>
      <c r="E25" s="152">
        <v>0</v>
      </c>
      <c r="F25" s="153">
        <f t="shared" si="1"/>
        <v>0</v>
      </c>
      <c r="G25" s="153">
        <f t="shared" si="2"/>
        <v>0</v>
      </c>
      <c r="H25" s="153">
        <f t="shared" si="3"/>
        <v>0</v>
      </c>
      <c r="I25" s="153">
        <f t="shared" si="4"/>
        <v>0</v>
      </c>
      <c r="J25" s="153">
        <f t="shared" si="5"/>
        <v>0</v>
      </c>
      <c r="K25" s="154">
        <f t="shared" si="6"/>
        <v>0</v>
      </c>
      <c r="L25" s="37">
        <f>'Combustão Móvel'!F55</f>
        <v>0</v>
      </c>
      <c r="M25" s="41">
        <f>'Combustão Móvel'!G55</f>
        <v>0</v>
      </c>
      <c r="N25" s="153"/>
      <c r="O25" s="153">
        <f t="shared" si="7"/>
        <v>0</v>
      </c>
      <c r="P25" s="153"/>
      <c r="Q25" s="153"/>
      <c r="R25" s="153">
        <f t="shared" si="8"/>
        <v>0</v>
      </c>
      <c r="S25" s="153">
        <f t="shared" si="9"/>
        <v>0</v>
      </c>
      <c r="T25" s="164">
        <f t="shared" si="10"/>
        <v>0</v>
      </c>
      <c r="U25" s="164">
        <f t="shared" si="11"/>
        <v>0</v>
      </c>
      <c r="V25" s="137" t="str">
        <f t="shared" ref="V25:V88" si="15">IF($L25="Não",F25,"")</f>
        <v/>
      </c>
      <c r="W25" s="137" t="str">
        <f t="shared" ref="W25:W88" si="16">IF($L25="Não",G25,"")</f>
        <v/>
      </c>
      <c r="X25" s="137" t="str">
        <f t="shared" ref="X25:X88" si="17">IF($L25="Não",H25,"")</f>
        <v/>
      </c>
    </row>
    <row r="26" spans="2:24" ht="15" thickBot="1" x14ac:dyDescent="0.4">
      <c r="B26" s="1146"/>
      <c r="C26" s="56">
        <f>'Combustão Móvel'!B56</f>
        <v>0</v>
      </c>
      <c r="D26" s="148" t="str">
        <f>'Combustão Móvel'!O56</f>
        <v/>
      </c>
      <c r="E26" s="152">
        <v>0</v>
      </c>
      <c r="F26" s="153">
        <f t="shared" si="1"/>
        <v>0</v>
      </c>
      <c r="G26" s="153">
        <f t="shared" si="2"/>
        <v>0</v>
      </c>
      <c r="H26" s="153">
        <f t="shared" si="3"/>
        <v>0</v>
      </c>
      <c r="I26" s="153">
        <f t="shared" si="4"/>
        <v>0</v>
      </c>
      <c r="J26" s="153">
        <f t="shared" si="5"/>
        <v>0</v>
      </c>
      <c r="K26" s="154">
        <f t="shared" si="6"/>
        <v>0</v>
      </c>
      <c r="L26" s="37">
        <f>'Combustão Móvel'!F56</f>
        <v>0</v>
      </c>
      <c r="M26" s="41">
        <f>'Combustão Móvel'!G56</f>
        <v>0</v>
      </c>
      <c r="N26" s="153"/>
      <c r="O26" s="153">
        <f t="shared" si="7"/>
        <v>0</v>
      </c>
      <c r="P26" s="153"/>
      <c r="Q26" s="153"/>
      <c r="R26" s="153">
        <f t="shared" si="8"/>
        <v>0</v>
      </c>
      <c r="S26" s="153">
        <f t="shared" si="9"/>
        <v>0</v>
      </c>
      <c r="T26" s="164">
        <f t="shared" si="10"/>
        <v>0</v>
      </c>
      <c r="U26" s="164">
        <f t="shared" si="11"/>
        <v>0</v>
      </c>
      <c r="V26" s="137" t="str">
        <f t="shared" si="15"/>
        <v/>
      </c>
      <c r="W26" s="137" t="str">
        <f t="shared" si="16"/>
        <v/>
      </c>
      <c r="X26" s="137" t="str">
        <f t="shared" si="17"/>
        <v/>
      </c>
    </row>
    <row r="27" spans="2:24" ht="15" thickBot="1" x14ac:dyDescent="0.4">
      <c r="B27" s="1146"/>
      <c r="C27" s="56">
        <f>'Combustão Móvel'!B57</f>
        <v>0</v>
      </c>
      <c r="D27" s="148" t="str">
        <f>'Combustão Móvel'!O57</f>
        <v/>
      </c>
      <c r="E27" s="152">
        <v>0</v>
      </c>
      <c r="F27" s="153">
        <f t="shared" si="1"/>
        <v>0</v>
      </c>
      <c r="G27" s="153">
        <f t="shared" si="2"/>
        <v>0</v>
      </c>
      <c r="H27" s="153">
        <f t="shared" si="3"/>
        <v>0</v>
      </c>
      <c r="I27" s="153">
        <f t="shared" si="4"/>
        <v>0</v>
      </c>
      <c r="J27" s="153">
        <f t="shared" si="5"/>
        <v>0</v>
      </c>
      <c r="K27" s="154">
        <f t="shared" si="6"/>
        <v>0</v>
      </c>
      <c r="L27" s="37">
        <f>'Combustão Móvel'!F57</f>
        <v>0</v>
      </c>
      <c r="M27" s="41">
        <f>'Combustão Móvel'!G57</f>
        <v>0</v>
      </c>
      <c r="N27" s="153"/>
      <c r="O27" s="153">
        <f t="shared" si="7"/>
        <v>0</v>
      </c>
      <c r="P27" s="153"/>
      <c r="Q27" s="153"/>
      <c r="R27" s="153">
        <f t="shared" si="8"/>
        <v>0</v>
      </c>
      <c r="S27" s="153">
        <f t="shared" si="9"/>
        <v>0</v>
      </c>
      <c r="T27" s="164">
        <f t="shared" si="10"/>
        <v>0</v>
      </c>
      <c r="U27" s="164">
        <f t="shared" si="11"/>
        <v>0</v>
      </c>
      <c r="V27" s="137" t="str">
        <f t="shared" si="15"/>
        <v/>
      </c>
      <c r="W27" s="137" t="str">
        <f t="shared" si="16"/>
        <v/>
      </c>
      <c r="X27" s="137" t="str">
        <f t="shared" si="17"/>
        <v/>
      </c>
    </row>
    <row r="28" spans="2:24" ht="15" thickBot="1" x14ac:dyDescent="0.4">
      <c r="B28" s="1146"/>
      <c r="C28" s="56">
        <f>'Combustão Móvel'!B58</f>
        <v>0</v>
      </c>
      <c r="D28" s="148" t="str">
        <f>'Combustão Móvel'!O58</f>
        <v/>
      </c>
      <c r="E28" s="152">
        <v>0</v>
      </c>
      <c r="F28" s="153">
        <f t="shared" si="1"/>
        <v>0</v>
      </c>
      <c r="G28" s="153">
        <f t="shared" si="2"/>
        <v>0</v>
      </c>
      <c r="H28" s="153">
        <f t="shared" si="3"/>
        <v>0</v>
      </c>
      <c r="I28" s="153">
        <f t="shared" si="4"/>
        <v>0</v>
      </c>
      <c r="J28" s="153">
        <f t="shared" si="5"/>
        <v>0</v>
      </c>
      <c r="K28" s="154">
        <f t="shared" si="6"/>
        <v>0</v>
      </c>
      <c r="L28" s="37">
        <f>'Combustão Móvel'!F58</f>
        <v>0</v>
      </c>
      <c r="M28" s="41">
        <f>'Combustão Móvel'!G58</f>
        <v>0</v>
      </c>
      <c r="N28" s="153"/>
      <c r="O28" s="153">
        <f t="shared" si="7"/>
        <v>0</v>
      </c>
      <c r="P28" s="153"/>
      <c r="Q28" s="153"/>
      <c r="R28" s="153">
        <f t="shared" si="8"/>
        <v>0</v>
      </c>
      <c r="S28" s="153">
        <f t="shared" si="9"/>
        <v>0</v>
      </c>
      <c r="T28" s="164">
        <f t="shared" si="10"/>
        <v>0</v>
      </c>
      <c r="U28" s="164">
        <f t="shared" si="11"/>
        <v>0</v>
      </c>
      <c r="V28" s="137" t="str">
        <f t="shared" si="15"/>
        <v/>
      </c>
      <c r="W28" s="137" t="str">
        <f t="shared" si="16"/>
        <v/>
      </c>
      <c r="X28" s="137" t="str">
        <f t="shared" si="17"/>
        <v/>
      </c>
    </row>
    <row r="29" spans="2:24" ht="15" thickBot="1" x14ac:dyDescent="0.4">
      <c r="B29" s="1146"/>
      <c r="C29" s="56">
        <f>'Combustão Móvel'!B59</f>
        <v>0</v>
      </c>
      <c r="D29" s="148" t="str">
        <f>'Combustão Móvel'!O59</f>
        <v/>
      </c>
      <c r="E29" s="152">
        <v>0</v>
      </c>
      <c r="F29" s="153">
        <f t="shared" si="1"/>
        <v>0</v>
      </c>
      <c r="G29" s="153">
        <f t="shared" si="2"/>
        <v>0</v>
      </c>
      <c r="H29" s="153">
        <f t="shared" si="3"/>
        <v>0</v>
      </c>
      <c r="I29" s="153">
        <f t="shared" si="4"/>
        <v>0</v>
      </c>
      <c r="J29" s="153">
        <f t="shared" si="5"/>
        <v>0</v>
      </c>
      <c r="K29" s="154">
        <f t="shared" si="6"/>
        <v>0</v>
      </c>
      <c r="L29" s="37">
        <f>'Combustão Móvel'!F59</f>
        <v>0</v>
      </c>
      <c r="M29" s="41">
        <f>'Combustão Móvel'!G59</f>
        <v>0</v>
      </c>
      <c r="N29" s="153"/>
      <c r="O29" s="153">
        <f t="shared" si="7"/>
        <v>0</v>
      </c>
      <c r="P29" s="153"/>
      <c r="Q29" s="153"/>
      <c r="R29" s="153">
        <f t="shared" si="8"/>
        <v>0</v>
      </c>
      <c r="S29" s="153">
        <f t="shared" si="9"/>
        <v>0</v>
      </c>
      <c r="T29" s="164">
        <f t="shared" si="10"/>
        <v>0</v>
      </c>
      <c r="U29" s="164">
        <f t="shared" si="11"/>
        <v>0</v>
      </c>
      <c r="V29" s="137" t="str">
        <f t="shared" si="15"/>
        <v/>
      </c>
      <c r="W29" s="137" t="str">
        <f t="shared" si="16"/>
        <v/>
      </c>
      <c r="X29" s="137" t="str">
        <f t="shared" si="17"/>
        <v/>
      </c>
    </row>
    <row r="30" spans="2:24" ht="15" thickBot="1" x14ac:dyDescent="0.4">
      <c r="B30" s="1146"/>
      <c r="C30" s="56">
        <f>'Combustão Móvel'!B60</f>
        <v>0</v>
      </c>
      <c r="D30" s="148" t="str">
        <f>'Combustão Móvel'!O60</f>
        <v/>
      </c>
      <c r="E30" s="152">
        <v>0</v>
      </c>
      <c r="F30" s="153">
        <f t="shared" si="1"/>
        <v>0</v>
      </c>
      <c r="G30" s="153">
        <f t="shared" si="2"/>
        <v>0</v>
      </c>
      <c r="H30" s="153">
        <f t="shared" si="3"/>
        <v>0</v>
      </c>
      <c r="I30" s="153">
        <f t="shared" si="4"/>
        <v>0</v>
      </c>
      <c r="J30" s="153">
        <f t="shared" si="5"/>
        <v>0</v>
      </c>
      <c r="K30" s="154">
        <f t="shared" si="6"/>
        <v>0</v>
      </c>
      <c r="L30" s="37">
        <f>'Combustão Móvel'!F60</f>
        <v>0</v>
      </c>
      <c r="M30" s="41">
        <f>'Combustão Móvel'!G60</f>
        <v>0</v>
      </c>
      <c r="N30" s="153"/>
      <c r="O30" s="153">
        <f t="shared" si="7"/>
        <v>0</v>
      </c>
      <c r="P30" s="153"/>
      <c r="Q30" s="153"/>
      <c r="R30" s="153">
        <f t="shared" si="8"/>
        <v>0</v>
      </c>
      <c r="S30" s="153">
        <f t="shared" si="9"/>
        <v>0</v>
      </c>
      <c r="T30" s="164">
        <f t="shared" si="10"/>
        <v>0</v>
      </c>
      <c r="U30" s="164">
        <f t="shared" si="11"/>
        <v>0</v>
      </c>
      <c r="V30" s="137" t="str">
        <f t="shared" si="15"/>
        <v/>
      </c>
      <c r="W30" s="137" t="str">
        <f t="shared" si="16"/>
        <v/>
      </c>
      <c r="X30" s="137" t="str">
        <f t="shared" si="17"/>
        <v/>
      </c>
    </row>
    <row r="31" spans="2:24" ht="15" thickBot="1" x14ac:dyDescent="0.4">
      <c r="B31" s="1146"/>
      <c r="C31" s="56">
        <f>'Combustão Móvel'!B61</f>
        <v>0</v>
      </c>
      <c r="D31" s="148" t="str">
        <f>'Combustão Móvel'!O61</f>
        <v/>
      </c>
      <c r="E31" s="152">
        <v>0</v>
      </c>
      <c r="F31" s="153">
        <f t="shared" si="1"/>
        <v>0</v>
      </c>
      <c r="G31" s="153">
        <f t="shared" si="2"/>
        <v>0</v>
      </c>
      <c r="H31" s="153">
        <f t="shared" si="3"/>
        <v>0</v>
      </c>
      <c r="I31" s="153">
        <f t="shared" si="4"/>
        <v>0</v>
      </c>
      <c r="J31" s="153">
        <f t="shared" si="5"/>
        <v>0</v>
      </c>
      <c r="K31" s="154">
        <f t="shared" si="6"/>
        <v>0</v>
      </c>
      <c r="L31" s="37">
        <f>'Combustão Móvel'!F61</f>
        <v>0</v>
      </c>
      <c r="M31" s="41">
        <f>'Combustão Móvel'!G61</f>
        <v>0</v>
      </c>
      <c r="N31" s="153"/>
      <c r="O31" s="153">
        <f t="shared" si="7"/>
        <v>0</v>
      </c>
      <c r="P31" s="153"/>
      <c r="Q31" s="153"/>
      <c r="R31" s="153">
        <f t="shared" si="8"/>
        <v>0</v>
      </c>
      <c r="S31" s="153">
        <f t="shared" si="9"/>
        <v>0</v>
      </c>
      <c r="T31" s="164">
        <f t="shared" si="10"/>
        <v>0</v>
      </c>
      <c r="U31" s="164">
        <f t="shared" si="11"/>
        <v>0</v>
      </c>
      <c r="V31" s="137" t="str">
        <f t="shared" si="15"/>
        <v/>
      </c>
      <c r="W31" s="137" t="str">
        <f t="shared" si="16"/>
        <v/>
      </c>
      <c r="X31" s="137" t="str">
        <f t="shared" si="17"/>
        <v/>
      </c>
    </row>
    <row r="32" spans="2:24" ht="15" thickBot="1" x14ac:dyDescent="0.4">
      <c r="B32" s="1146"/>
      <c r="C32" s="56">
        <f>'Combustão Móvel'!B62</f>
        <v>0</v>
      </c>
      <c r="D32" s="148" t="str">
        <f>'Combustão Móvel'!O62</f>
        <v/>
      </c>
      <c r="E32" s="152">
        <v>0</v>
      </c>
      <c r="F32" s="153">
        <f t="shared" si="1"/>
        <v>0</v>
      </c>
      <c r="G32" s="153">
        <f t="shared" si="2"/>
        <v>0</v>
      </c>
      <c r="H32" s="153">
        <f t="shared" si="3"/>
        <v>0</v>
      </c>
      <c r="I32" s="153">
        <f t="shared" si="4"/>
        <v>0</v>
      </c>
      <c r="J32" s="153">
        <f t="shared" si="5"/>
        <v>0</v>
      </c>
      <c r="K32" s="154">
        <f t="shared" si="6"/>
        <v>0</v>
      </c>
      <c r="L32" s="37">
        <f>'Combustão Móvel'!F62</f>
        <v>0</v>
      </c>
      <c r="M32" s="41">
        <f>'Combustão Móvel'!G62</f>
        <v>0</v>
      </c>
      <c r="N32" s="153"/>
      <c r="O32" s="153">
        <f t="shared" si="7"/>
        <v>0</v>
      </c>
      <c r="P32" s="153"/>
      <c r="Q32" s="153"/>
      <c r="R32" s="153">
        <f t="shared" si="8"/>
        <v>0</v>
      </c>
      <c r="S32" s="153">
        <f t="shared" si="9"/>
        <v>0</v>
      </c>
      <c r="T32" s="164">
        <f t="shared" si="10"/>
        <v>0</v>
      </c>
      <c r="U32" s="164">
        <f t="shared" si="11"/>
        <v>0</v>
      </c>
      <c r="V32" s="137" t="str">
        <f t="shared" si="15"/>
        <v/>
      </c>
      <c r="W32" s="137" t="str">
        <f t="shared" si="16"/>
        <v/>
      </c>
      <c r="X32" s="137" t="str">
        <f t="shared" si="17"/>
        <v/>
      </c>
    </row>
    <row r="33" spans="2:24" ht="15" thickBot="1" x14ac:dyDescent="0.4">
      <c r="B33" s="1146"/>
      <c r="C33" s="56">
        <f>'Combustão Móvel'!B63</f>
        <v>0</v>
      </c>
      <c r="D33" s="148" t="str">
        <f>'Combustão Móvel'!O63</f>
        <v/>
      </c>
      <c r="E33" s="152">
        <v>0</v>
      </c>
      <c r="F33" s="153">
        <f t="shared" si="1"/>
        <v>0</v>
      </c>
      <c r="G33" s="153">
        <f t="shared" si="2"/>
        <v>0</v>
      </c>
      <c r="H33" s="153">
        <f t="shared" si="3"/>
        <v>0</v>
      </c>
      <c r="I33" s="153">
        <f t="shared" si="4"/>
        <v>0</v>
      </c>
      <c r="J33" s="153">
        <f t="shared" si="5"/>
        <v>0</v>
      </c>
      <c r="K33" s="154">
        <f t="shared" si="6"/>
        <v>0</v>
      </c>
      <c r="L33" s="37">
        <f>'Combustão Móvel'!F63</f>
        <v>0</v>
      </c>
      <c r="M33" s="41">
        <f>'Combustão Móvel'!G63</f>
        <v>0</v>
      </c>
      <c r="N33" s="153"/>
      <c r="O33" s="153">
        <f t="shared" si="7"/>
        <v>0</v>
      </c>
      <c r="P33" s="153"/>
      <c r="Q33" s="153"/>
      <c r="R33" s="153">
        <f t="shared" si="8"/>
        <v>0</v>
      </c>
      <c r="S33" s="153">
        <f t="shared" si="9"/>
        <v>0</v>
      </c>
      <c r="T33" s="164">
        <f t="shared" si="10"/>
        <v>0</v>
      </c>
      <c r="U33" s="164">
        <f t="shared" si="11"/>
        <v>0</v>
      </c>
      <c r="V33" s="137" t="str">
        <f t="shared" si="15"/>
        <v/>
      </c>
      <c r="W33" s="137" t="str">
        <f t="shared" si="16"/>
        <v/>
      </c>
      <c r="X33" s="137" t="str">
        <f t="shared" si="17"/>
        <v/>
      </c>
    </row>
    <row r="34" spans="2:24" ht="15" thickBot="1" x14ac:dyDescent="0.4">
      <c r="B34" s="1146"/>
      <c r="C34" s="56">
        <f>'Combustão Móvel'!B64</f>
        <v>0</v>
      </c>
      <c r="D34" s="148" t="str">
        <f>'Combustão Móvel'!O64</f>
        <v/>
      </c>
      <c r="E34" s="152">
        <v>0</v>
      </c>
      <c r="F34" s="153">
        <f t="shared" si="1"/>
        <v>0</v>
      </c>
      <c r="G34" s="153">
        <f t="shared" si="2"/>
        <v>0</v>
      </c>
      <c r="H34" s="153">
        <f t="shared" si="3"/>
        <v>0</v>
      </c>
      <c r="I34" s="153">
        <f t="shared" si="4"/>
        <v>0</v>
      </c>
      <c r="J34" s="153">
        <f t="shared" si="5"/>
        <v>0</v>
      </c>
      <c r="K34" s="154">
        <f t="shared" si="6"/>
        <v>0</v>
      </c>
      <c r="L34" s="37">
        <f>'Combustão Móvel'!F64</f>
        <v>0</v>
      </c>
      <c r="M34" s="41">
        <f>'Combustão Móvel'!G64</f>
        <v>0</v>
      </c>
      <c r="N34" s="153"/>
      <c r="O34" s="153">
        <f t="shared" si="7"/>
        <v>0</v>
      </c>
      <c r="P34" s="153"/>
      <c r="Q34" s="153"/>
      <c r="R34" s="153">
        <f t="shared" si="8"/>
        <v>0</v>
      </c>
      <c r="S34" s="153">
        <f t="shared" si="9"/>
        <v>0</v>
      </c>
      <c r="T34" s="164">
        <f t="shared" si="10"/>
        <v>0</v>
      </c>
      <c r="U34" s="164">
        <f t="shared" si="11"/>
        <v>0</v>
      </c>
      <c r="V34" s="137" t="str">
        <f t="shared" si="15"/>
        <v/>
      </c>
      <c r="W34" s="137" t="str">
        <f t="shared" si="16"/>
        <v/>
      </c>
      <c r="X34" s="137" t="str">
        <f t="shared" si="17"/>
        <v/>
      </c>
    </row>
    <row r="35" spans="2:24" ht="15" thickBot="1" x14ac:dyDescent="0.4">
      <c r="B35" s="1146"/>
      <c r="C35" s="56">
        <f>'Combustão Móvel'!B65</f>
        <v>0</v>
      </c>
      <c r="D35" s="148" t="str">
        <f>'Combustão Móvel'!O65</f>
        <v/>
      </c>
      <c r="E35" s="152">
        <v>0</v>
      </c>
      <c r="F35" s="153">
        <f t="shared" si="1"/>
        <v>0</v>
      </c>
      <c r="G35" s="153">
        <f t="shared" si="2"/>
        <v>0</v>
      </c>
      <c r="H35" s="153">
        <f t="shared" si="3"/>
        <v>0</v>
      </c>
      <c r="I35" s="153">
        <f t="shared" si="4"/>
        <v>0</v>
      </c>
      <c r="J35" s="153">
        <f t="shared" si="5"/>
        <v>0</v>
      </c>
      <c r="K35" s="154">
        <f t="shared" si="6"/>
        <v>0</v>
      </c>
      <c r="L35" s="37">
        <f>'Combustão Móvel'!F65</f>
        <v>0</v>
      </c>
      <c r="M35" s="41">
        <f>'Combustão Móvel'!G65</f>
        <v>0</v>
      </c>
      <c r="N35" s="153"/>
      <c r="O35" s="153">
        <f t="shared" si="7"/>
        <v>0</v>
      </c>
      <c r="P35" s="153"/>
      <c r="Q35" s="153"/>
      <c r="R35" s="153">
        <f t="shared" si="8"/>
        <v>0</v>
      </c>
      <c r="S35" s="153">
        <f t="shared" si="9"/>
        <v>0</v>
      </c>
      <c r="T35" s="164">
        <f t="shared" si="10"/>
        <v>0</v>
      </c>
      <c r="U35" s="164">
        <f t="shared" si="11"/>
        <v>0</v>
      </c>
      <c r="V35" s="137" t="str">
        <f t="shared" si="15"/>
        <v/>
      </c>
      <c r="W35" s="137" t="str">
        <f t="shared" si="16"/>
        <v/>
      </c>
      <c r="X35" s="137" t="str">
        <f t="shared" si="17"/>
        <v/>
      </c>
    </row>
    <row r="36" spans="2:24" ht="15" thickBot="1" x14ac:dyDescent="0.4">
      <c r="B36" s="1146"/>
      <c r="C36" s="56">
        <f>'Combustão Móvel'!B66</f>
        <v>0</v>
      </c>
      <c r="D36" s="148" t="str">
        <f>'Combustão Móvel'!O66</f>
        <v/>
      </c>
      <c r="E36" s="152">
        <v>0</v>
      </c>
      <c r="F36" s="153">
        <f t="shared" si="1"/>
        <v>0</v>
      </c>
      <c r="G36" s="153">
        <f t="shared" si="2"/>
        <v>0</v>
      </c>
      <c r="H36" s="153">
        <f t="shared" si="3"/>
        <v>0</v>
      </c>
      <c r="I36" s="153">
        <f t="shared" si="4"/>
        <v>0</v>
      </c>
      <c r="J36" s="153">
        <f t="shared" si="5"/>
        <v>0</v>
      </c>
      <c r="K36" s="154">
        <f t="shared" si="6"/>
        <v>0</v>
      </c>
      <c r="L36" s="37">
        <f>'Combustão Móvel'!F66</f>
        <v>0</v>
      </c>
      <c r="M36" s="41">
        <f>'Combustão Móvel'!G66</f>
        <v>0</v>
      </c>
      <c r="N36" s="153"/>
      <c r="O36" s="153">
        <f t="shared" si="7"/>
        <v>0</v>
      </c>
      <c r="P36" s="153"/>
      <c r="Q36" s="153"/>
      <c r="R36" s="153">
        <f t="shared" si="8"/>
        <v>0</v>
      </c>
      <c r="S36" s="153">
        <f t="shared" si="9"/>
        <v>0</v>
      </c>
      <c r="T36" s="164">
        <f t="shared" si="10"/>
        <v>0</v>
      </c>
      <c r="U36" s="164">
        <f t="shared" si="11"/>
        <v>0</v>
      </c>
      <c r="V36" s="137" t="str">
        <f t="shared" si="15"/>
        <v/>
      </c>
      <c r="W36" s="137" t="str">
        <f t="shared" si="16"/>
        <v/>
      </c>
      <c r="X36" s="137" t="str">
        <f t="shared" si="17"/>
        <v/>
      </c>
    </row>
    <row r="37" spans="2:24" ht="15" thickBot="1" x14ac:dyDescent="0.4">
      <c r="B37" s="1146"/>
      <c r="C37" s="56">
        <f>'Combustão Móvel'!B67</f>
        <v>0</v>
      </c>
      <c r="D37" s="148" t="str">
        <f>'Combustão Móvel'!O67</f>
        <v/>
      </c>
      <c r="E37" s="152">
        <v>0</v>
      </c>
      <c r="F37" s="153">
        <f t="shared" si="1"/>
        <v>0</v>
      </c>
      <c r="G37" s="153">
        <f t="shared" si="2"/>
        <v>0</v>
      </c>
      <c r="H37" s="153">
        <f t="shared" si="3"/>
        <v>0</v>
      </c>
      <c r="I37" s="153">
        <f t="shared" si="4"/>
        <v>0</v>
      </c>
      <c r="J37" s="153">
        <f t="shared" si="5"/>
        <v>0</v>
      </c>
      <c r="K37" s="154">
        <f t="shared" si="6"/>
        <v>0</v>
      </c>
      <c r="L37" s="37">
        <f>'Combustão Móvel'!F67</f>
        <v>0</v>
      </c>
      <c r="M37" s="41">
        <f>'Combustão Móvel'!G67</f>
        <v>0</v>
      </c>
      <c r="N37" s="153"/>
      <c r="O37" s="153">
        <f t="shared" si="7"/>
        <v>0</v>
      </c>
      <c r="P37" s="153"/>
      <c r="Q37" s="153"/>
      <c r="R37" s="153">
        <f t="shared" si="8"/>
        <v>0</v>
      </c>
      <c r="S37" s="153">
        <f t="shared" si="9"/>
        <v>0</v>
      </c>
      <c r="T37" s="164">
        <f t="shared" si="10"/>
        <v>0</v>
      </c>
      <c r="U37" s="164">
        <f t="shared" si="11"/>
        <v>0</v>
      </c>
      <c r="V37" s="137" t="str">
        <f t="shared" si="15"/>
        <v/>
      </c>
      <c r="W37" s="137" t="str">
        <f t="shared" si="16"/>
        <v/>
      </c>
      <c r="X37" s="137" t="str">
        <f t="shared" si="17"/>
        <v/>
      </c>
    </row>
    <row r="38" spans="2:24" ht="15" thickBot="1" x14ac:dyDescent="0.4">
      <c r="B38" s="1146"/>
      <c r="C38" s="56">
        <f>'Combustão Móvel'!B68</f>
        <v>0</v>
      </c>
      <c r="D38" s="148" t="str">
        <f>'Combustão Móvel'!O68</f>
        <v/>
      </c>
      <c r="E38" s="152">
        <v>0</v>
      </c>
      <c r="F38" s="153">
        <f t="shared" si="1"/>
        <v>0</v>
      </c>
      <c r="G38" s="153">
        <f t="shared" si="2"/>
        <v>0</v>
      </c>
      <c r="H38" s="153">
        <f t="shared" si="3"/>
        <v>0</v>
      </c>
      <c r="I38" s="153">
        <f t="shared" si="4"/>
        <v>0</v>
      </c>
      <c r="J38" s="153">
        <f t="shared" si="5"/>
        <v>0</v>
      </c>
      <c r="K38" s="154">
        <f t="shared" si="6"/>
        <v>0</v>
      </c>
      <c r="L38" s="37">
        <f>'Combustão Móvel'!F68</f>
        <v>0</v>
      </c>
      <c r="M38" s="41">
        <f>'Combustão Móvel'!G68</f>
        <v>0</v>
      </c>
      <c r="N38" s="153"/>
      <c r="O38" s="153">
        <f t="shared" si="7"/>
        <v>0</v>
      </c>
      <c r="P38" s="153"/>
      <c r="Q38" s="153"/>
      <c r="R38" s="153">
        <f t="shared" si="8"/>
        <v>0</v>
      </c>
      <c r="S38" s="153">
        <f t="shared" si="9"/>
        <v>0</v>
      </c>
      <c r="T38" s="164">
        <f t="shared" si="10"/>
        <v>0</v>
      </c>
      <c r="U38" s="164">
        <f t="shared" si="11"/>
        <v>0</v>
      </c>
      <c r="V38" s="137" t="str">
        <f t="shared" si="15"/>
        <v/>
      </c>
      <c r="W38" s="137" t="str">
        <f t="shared" si="16"/>
        <v/>
      </c>
      <c r="X38" s="137" t="str">
        <f t="shared" si="17"/>
        <v/>
      </c>
    </row>
    <row r="39" spans="2:24" ht="15" thickBot="1" x14ac:dyDescent="0.4">
      <c r="B39" s="1146"/>
      <c r="C39" s="56">
        <f>'Combustão Móvel'!B69</f>
        <v>0</v>
      </c>
      <c r="D39" s="148" t="str">
        <f>'Combustão Móvel'!O69</f>
        <v/>
      </c>
      <c r="E39" s="152">
        <v>0</v>
      </c>
      <c r="F39" s="153">
        <f t="shared" si="1"/>
        <v>0</v>
      </c>
      <c r="G39" s="153">
        <f t="shared" si="2"/>
        <v>0</v>
      </c>
      <c r="H39" s="153">
        <f t="shared" si="3"/>
        <v>0</v>
      </c>
      <c r="I39" s="153">
        <f t="shared" si="4"/>
        <v>0</v>
      </c>
      <c r="J39" s="153">
        <f t="shared" si="5"/>
        <v>0</v>
      </c>
      <c r="K39" s="154">
        <f t="shared" si="6"/>
        <v>0</v>
      </c>
      <c r="L39" s="37">
        <f>'Combustão Móvel'!F69</f>
        <v>0</v>
      </c>
      <c r="M39" s="41">
        <f>'Combustão Móvel'!G69</f>
        <v>0</v>
      </c>
      <c r="N39" s="153"/>
      <c r="O39" s="153">
        <f t="shared" si="7"/>
        <v>0</v>
      </c>
      <c r="P39" s="153"/>
      <c r="Q39" s="153"/>
      <c r="R39" s="153">
        <f t="shared" si="8"/>
        <v>0</v>
      </c>
      <c r="S39" s="153">
        <f t="shared" si="9"/>
        <v>0</v>
      </c>
      <c r="T39" s="164">
        <f t="shared" si="10"/>
        <v>0</v>
      </c>
      <c r="U39" s="164">
        <f t="shared" si="11"/>
        <v>0</v>
      </c>
      <c r="V39" s="137" t="str">
        <f t="shared" si="15"/>
        <v/>
      </c>
      <c r="W39" s="137" t="str">
        <f t="shared" si="16"/>
        <v/>
      </c>
      <c r="X39" s="137" t="str">
        <f t="shared" si="17"/>
        <v/>
      </c>
    </row>
    <row r="40" spans="2:24" ht="15" thickBot="1" x14ac:dyDescent="0.4">
      <c r="B40" s="1146"/>
      <c r="C40" s="56">
        <f>'Combustão Móvel'!B70</f>
        <v>0</v>
      </c>
      <c r="D40" s="148" t="str">
        <f>'Combustão Móvel'!O70</f>
        <v/>
      </c>
      <c r="E40" s="152">
        <v>0</v>
      </c>
      <c r="F40" s="153">
        <f t="shared" si="1"/>
        <v>0</v>
      </c>
      <c r="G40" s="153">
        <f t="shared" si="2"/>
        <v>0</v>
      </c>
      <c r="H40" s="153">
        <f t="shared" si="3"/>
        <v>0</v>
      </c>
      <c r="I40" s="153">
        <f t="shared" si="4"/>
        <v>0</v>
      </c>
      <c r="J40" s="153">
        <f t="shared" si="5"/>
        <v>0</v>
      </c>
      <c r="K40" s="154">
        <f t="shared" si="6"/>
        <v>0</v>
      </c>
      <c r="L40" s="37">
        <f>'Combustão Móvel'!F70</f>
        <v>0</v>
      </c>
      <c r="M40" s="41">
        <f>'Combustão Móvel'!G70</f>
        <v>0</v>
      </c>
      <c r="N40" s="153"/>
      <c r="O40" s="153">
        <f t="shared" si="7"/>
        <v>0</v>
      </c>
      <c r="P40" s="153"/>
      <c r="Q40" s="153"/>
      <c r="R40" s="153">
        <f t="shared" si="8"/>
        <v>0</v>
      </c>
      <c r="S40" s="153">
        <f t="shared" si="9"/>
        <v>0</v>
      </c>
      <c r="T40" s="164">
        <f t="shared" si="10"/>
        <v>0</v>
      </c>
      <c r="U40" s="164">
        <f t="shared" si="11"/>
        <v>0</v>
      </c>
      <c r="V40" s="137" t="str">
        <f t="shared" si="15"/>
        <v/>
      </c>
      <c r="W40" s="137" t="str">
        <f t="shared" si="16"/>
        <v/>
      </c>
      <c r="X40" s="137" t="str">
        <f t="shared" si="17"/>
        <v/>
      </c>
    </row>
    <row r="41" spans="2:24" ht="15" thickBot="1" x14ac:dyDescent="0.4">
      <c r="B41" s="1146"/>
      <c r="C41" s="56">
        <f>'Combustão Móvel'!B71</f>
        <v>0</v>
      </c>
      <c r="D41" s="148" t="str">
        <f>'Combustão Móvel'!O71</f>
        <v/>
      </c>
      <c r="E41" s="152">
        <v>0</v>
      </c>
      <c r="F41" s="153">
        <f t="shared" si="1"/>
        <v>0</v>
      </c>
      <c r="G41" s="153">
        <f t="shared" si="2"/>
        <v>0</v>
      </c>
      <c r="H41" s="153">
        <f t="shared" si="3"/>
        <v>0</v>
      </c>
      <c r="I41" s="153">
        <f t="shared" si="4"/>
        <v>0</v>
      </c>
      <c r="J41" s="153">
        <f t="shared" si="5"/>
        <v>0</v>
      </c>
      <c r="K41" s="154">
        <f t="shared" si="6"/>
        <v>0</v>
      </c>
      <c r="L41" s="37">
        <f>'Combustão Móvel'!F71</f>
        <v>0</v>
      </c>
      <c r="M41" s="41">
        <f>'Combustão Móvel'!G71</f>
        <v>0</v>
      </c>
      <c r="N41" s="153"/>
      <c r="O41" s="153">
        <f t="shared" si="7"/>
        <v>0</v>
      </c>
      <c r="P41" s="153"/>
      <c r="Q41" s="153"/>
      <c r="R41" s="153">
        <f t="shared" si="8"/>
        <v>0</v>
      </c>
      <c r="S41" s="153">
        <f t="shared" si="9"/>
        <v>0</v>
      </c>
      <c r="T41" s="164">
        <f t="shared" si="10"/>
        <v>0</v>
      </c>
      <c r="U41" s="164">
        <f t="shared" si="11"/>
        <v>0</v>
      </c>
      <c r="V41" s="137" t="str">
        <f t="shared" si="15"/>
        <v/>
      </c>
      <c r="W41" s="137" t="str">
        <f t="shared" si="16"/>
        <v/>
      </c>
      <c r="X41" s="137" t="str">
        <f t="shared" si="17"/>
        <v/>
      </c>
    </row>
    <row r="42" spans="2:24" ht="15" thickBot="1" x14ac:dyDescent="0.4">
      <c r="B42" s="1146"/>
      <c r="C42" s="56">
        <f>'Combustão Móvel'!B72</f>
        <v>0</v>
      </c>
      <c r="D42" s="148" t="str">
        <f>'Combustão Móvel'!O72</f>
        <v/>
      </c>
      <c r="E42" s="152">
        <v>0</v>
      </c>
      <c r="F42" s="153">
        <f t="shared" si="1"/>
        <v>0</v>
      </c>
      <c r="G42" s="153">
        <f t="shared" si="2"/>
        <v>0</v>
      </c>
      <c r="H42" s="153">
        <f t="shared" si="3"/>
        <v>0</v>
      </c>
      <c r="I42" s="153">
        <f t="shared" si="4"/>
        <v>0</v>
      </c>
      <c r="J42" s="153">
        <f t="shared" si="5"/>
        <v>0</v>
      </c>
      <c r="K42" s="154">
        <f t="shared" si="6"/>
        <v>0</v>
      </c>
      <c r="L42" s="37">
        <f>'Combustão Móvel'!F72</f>
        <v>0</v>
      </c>
      <c r="M42" s="41">
        <f>'Combustão Móvel'!G72</f>
        <v>0</v>
      </c>
      <c r="N42" s="153"/>
      <c r="O42" s="153">
        <f t="shared" si="7"/>
        <v>0</v>
      </c>
      <c r="P42" s="153"/>
      <c r="Q42" s="153"/>
      <c r="R42" s="153">
        <f t="shared" si="8"/>
        <v>0</v>
      </c>
      <c r="S42" s="153">
        <f t="shared" si="9"/>
        <v>0</v>
      </c>
      <c r="T42" s="164">
        <f t="shared" si="10"/>
        <v>0</v>
      </c>
      <c r="U42" s="164">
        <f t="shared" si="11"/>
        <v>0</v>
      </c>
      <c r="V42" s="137" t="str">
        <f t="shared" si="15"/>
        <v/>
      </c>
      <c r="W42" s="137" t="str">
        <f t="shared" si="16"/>
        <v/>
      </c>
      <c r="X42" s="137" t="str">
        <f t="shared" si="17"/>
        <v/>
      </c>
    </row>
    <row r="43" spans="2:24" ht="15" thickBot="1" x14ac:dyDescent="0.4">
      <c r="B43" s="1146"/>
      <c r="C43" s="56">
        <f>'Combustão Móvel'!B73</f>
        <v>0</v>
      </c>
      <c r="D43" s="148" t="str">
        <f>'Combustão Móvel'!O73</f>
        <v/>
      </c>
      <c r="E43" s="152">
        <v>0</v>
      </c>
      <c r="F43" s="153">
        <f t="shared" si="1"/>
        <v>0</v>
      </c>
      <c r="G43" s="153">
        <f t="shared" si="2"/>
        <v>0</v>
      </c>
      <c r="H43" s="153">
        <f t="shared" si="3"/>
        <v>0</v>
      </c>
      <c r="I43" s="153">
        <f t="shared" si="4"/>
        <v>0</v>
      </c>
      <c r="J43" s="153">
        <f t="shared" si="5"/>
        <v>0</v>
      </c>
      <c r="K43" s="154">
        <f t="shared" si="6"/>
        <v>0</v>
      </c>
      <c r="L43" s="37">
        <f>'Combustão Móvel'!F73</f>
        <v>0</v>
      </c>
      <c r="M43" s="41">
        <f>'Combustão Móvel'!G73</f>
        <v>0</v>
      </c>
      <c r="N43" s="153"/>
      <c r="O43" s="153">
        <f t="shared" si="7"/>
        <v>0</v>
      </c>
      <c r="P43" s="153"/>
      <c r="Q43" s="153"/>
      <c r="R43" s="153">
        <f t="shared" si="8"/>
        <v>0</v>
      </c>
      <c r="S43" s="153">
        <f t="shared" si="9"/>
        <v>0</v>
      </c>
      <c r="T43" s="164">
        <f t="shared" si="10"/>
        <v>0</v>
      </c>
      <c r="U43" s="164">
        <f t="shared" si="11"/>
        <v>0</v>
      </c>
      <c r="V43" s="137" t="str">
        <f t="shared" si="15"/>
        <v/>
      </c>
      <c r="W43" s="137" t="str">
        <f t="shared" si="16"/>
        <v/>
      </c>
      <c r="X43" s="137" t="str">
        <f t="shared" si="17"/>
        <v/>
      </c>
    </row>
    <row r="44" spans="2:24" ht="15" thickBot="1" x14ac:dyDescent="0.4">
      <c r="B44" s="1146"/>
      <c r="C44" s="56">
        <f>'Combustão Móvel'!B74</f>
        <v>0</v>
      </c>
      <c r="D44" s="148" t="str">
        <f>'Combustão Móvel'!O74</f>
        <v/>
      </c>
      <c r="E44" s="152">
        <v>0</v>
      </c>
      <c r="F44" s="153">
        <f t="shared" si="1"/>
        <v>0</v>
      </c>
      <c r="G44" s="153">
        <f t="shared" si="2"/>
        <v>0</v>
      </c>
      <c r="H44" s="153">
        <f t="shared" si="3"/>
        <v>0</v>
      </c>
      <c r="I44" s="153">
        <f t="shared" si="4"/>
        <v>0</v>
      </c>
      <c r="J44" s="153">
        <f t="shared" si="5"/>
        <v>0</v>
      </c>
      <c r="K44" s="154">
        <f t="shared" si="6"/>
        <v>0</v>
      </c>
      <c r="L44" s="37">
        <f>'Combustão Móvel'!F74</f>
        <v>0</v>
      </c>
      <c r="M44" s="41">
        <f>'Combustão Móvel'!G74</f>
        <v>0</v>
      </c>
      <c r="N44" s="153"/>
      <c r="O44" s="153">
        <f t="shared" si="7"/>
        <v>0</v>
      </c>
      <c r="P44" s="153"/>
      <c r="Q44" s="153"/>
      <c r="R44" s="153">
        <f t="shared" si="8"/>
        <v>0</v>
      </c>
      <c r="S44" s="153">
        <f t="shared" si="9"/>
        <v>0</v>
      </c>
      <c r="T44" s="164">
        <f t="shared" si="10"/>
        <v>0</v>
      </c>
      <c r="U44" s="164">
        <f t="shared" si="11"/>
        <v>0</v>
      </c>
      <c r="V44" s="137" t="str">
        <f t="shared" si="15"/>
        <v/>
      </c>
      <c r="W44" s="137" t="str">
        <f t="shared" si="16"/>
        <v/>
      </c>
      <c r="X44" s="137" t="str">
        <f t="shared" si="17"/>
        <v/>
      </c>
    </row>
    <row r="45" spans="2:24" ht="15" thickBot="1" x14ac:dyDescent="0.4">
      <c r="B45" s="1146"/>
      <c r="C45" s="56">
        <f>'Combustão Móvel'!B75</f>
        <v>0</v>
      </c>
      <c r="D45" s="148" t="str">
        <f>'Combustão Móvel'!O75</f>
        <v/>
      </c>
      <c r="E45" s="152">
        <v>0</v>
      </c>
      <c r="F45" s="153">
        <f t="shared" si="1"/>
        <v>0</v>
      </c>
      <c r="G45" s="153">
        <f t="shared" si="2"/>
        <v>0</v>
      </c>
      <c r="H45" s="153">
        <f t="shared" si="3"/>
        <v>0</v>
      </c>
      <c r="I45" s="153">
        <f t="shared" si="4"/>
        <v>0</v>
      </c>
      <c r="J45" s="153">
        <f t="shared" si="5"/>
        <v>0</v>
      </c>
      <c r="K45" s="154">
        <f t="shared" si="6"/>
        <v>0</v>
      </c>
      <c r="L45" s="37">
        <f>'Combustão Móvel'!F75</f>
        <v>0</v>
      </c>
      <c r="M45" s="41">
        <f>'Combustão Móvel'!G75</f>
        <v>0</v>
      </c>
      <c r="N45" s="153"/>
      <c r="O45" s="153">
        <f t="shared" si="7"/>
        <v>0</v>
      </c>
      <c r="P45" s="153"/>
      <c r="Q45" s="153"/>
      <c r="R45" s="153">
        <f t="shared" si="8"/>
        <v>0</v>
      </c>
      <c r="S45" s="153">
        <f t="shared" si="9"/>
        <v>0</v>
      </c>
      <c r="T45" s="164">
        <f t="shared" si="10"/>
        <v>0</v>
      </c>
      <c r="U45" s="164">
        <f t="shared" si="11"/>
        <v>0</v>
      </c>
      <c r="V45" s="137" t="str">
        <f t="shared" si="15"/>
        <v/>
      </c>
      <c r="W45" s="137" t="str">
        <f t="shared" si="16"/>
        <v/>
      </c>
      <c r="X45" s="137" t="str">
        <f t="shared" si="17"/>
        <v/>
      </c>
    </row>
    <row r="46" spans="2:24" ht="15" thickBot="1" x14ac:dyDescent="0.4">
      <c r="B46" s="1146"/>
      <c r="C46" s="56">
        <f>'Combustão Móvel'!B76</f>
        <v>0</v>
      </c>
      <c r="D46" s="148" t="str">
        <f>'Combustão Móvel'!O76</f>
        <v/>
      </c>
      <c r="E46" s="152">
        <v>0</v>
      </c>
      <c r="F46" s="153">
        <f t="shared" si="1"/>
        <v>0</v>
      </c>
      <c r="G46" s="153">
        <f t="shared" si="2"/>
        <v>0</v>
      </c>
      <c r="H46" s="153">
        <f t="shared" si="3"/>
        <v>0</v>
      </c>
      <c r="I46" s="153">
        <f t="shared" si="4"/>
        <v>0</v>
      </c>
      <c r="J46" s="153">
        <f t="shared" si="5"/>
        <v>0</v>
      </c>
      <c r="K46" s="154">
        <f t="shared" si="6"/>
        <v>0</v>
      </c>
      <c r="L46" s="37">
        <f>'Combustão Móvel'!F76</f>
        <v>0</v>
      </c>
      <c r="M46" s="41">
        <f>'Combustão Móvel'!G76</f>
        <v>0</v>
      </c>
      <c r="N46" s="153"/>
      <c r="O46" s="153">
        <f t="shared" si="7"/>
        <v>0</v>
      </c>
      <c r="P46" s="153"/>
      <c r="Q46" s="153"/>
      <c r="R46" s="153">
        <f t="shared" si="8"/>
        <v>0</v>
      </c>
      <c r="S46" s="153">
        <f t="shared" si="9"/>
        <v>0</v>
      </c>
      <c r="T46" s="164">
        <f t="shared" si="10"/>
        <v>0</v>
      </c>
      <c r="U46" s="164">
        <f t="shared" si="11"/>
        <v>0</v>
      </c>
      <c r="V46" s="137" t="str">
        <f t="shared" si="15"/>
        <v/>
      </c>
      <c r="W46" s="137" t="str">
        <f t="shared" si="16"/>
        <v/>
      </c>
      <c r="X46" s="137" t="str">
        <f t="shared" si="17"/>
        <v/>
      </c>
    </row>
    <row r="47" spans="2:24" ht="15" thickBot="1" x14ac:dyDescent="0.4">
      <c r="B47" s="1146"/>
      <c r="C47" s="56">
        <f>'Combustão Móvel'!B77</f>
        <v>0</v>
      </c>
      <c r="D47" s="148" t="str">
        <f>'Combustão Móvel'!O77</f>
        <v/>
      </c>
      <c r="E47" s="152">
        <v>0</v>
      </c>
      <c r="F47" s="153">
        <f t="shared" si="1"/>
        <v>0</v>
      </c>
      <c r="G47" s="153">
        <f t="shared" si="2"/>
        <v>0</v>
      </c>
      <c r="H47" s="153">
        <f t="shared" si="3"/>
        <v>0</v>
      </c>
      <c r="I47" s="153">
        <f t="shared" si="4"/>
        <v>0</v>
      </c>
      <c r="J47" s="153">
        <f t="shared" si="5"/>
        <v>0</v>
      </c>
      <c r="K47" s="154">
        <f t="shared" si="6"/>
        <v>0</v>
      </c>
      <c r="L47" s="37">
        <f>'Combustão Móvel'!F77</f>
        <v>0</v>
      </c>
      <c r="M47" s="41">
        <f>'Combustão Móvel'!G77</f>
        <v>0</v>
      </c>
      <c r="N47" s="153"/>
      <c r="O47" s="153">
        <f t="shared" si="7"/>
        <v>0</v>
      </c>
      <c r="P47" s="153"/>
      <c r="Q47" s="153"/>
      <c r="R47" s="153">
        <f t="shared" si="8"/>
        <v>0</v>
      </c>
      <c r="S47" s="153">
        <f t="shared" si="9"/>
        <v>0</v>
      </c>
      <c r="T47" s="164">
        <f t="shared" si="10"/>
        <v>0</v>
      </c>
      <c r="U47" s="164">
        <f t="shared" si="11"/>
        <v>0</v>
      </c>
      <c r="V47" s="137" t="str">
        <f t="shared" si="15"/>
        <v/>
      </c>
      <c r="W47" s="137" t="str">
        <f t="shared" si="16"/>
        <v/>
      </c>
      <c r="X47" s="137" t="str">
        <f t="shared" si="17"/>
        <v/>
      </c>
    </row>
    <row r="48" spans="2:24" ht="15" thickBot="1" x14ac:dyDescent="0.4">
      <c r="B48" s="1146"/>
      <c r="C48" s="56">
        <f>'Combustão Móvel'!B78</f>
        <v>0</v>
      </c>
      <c r="D48" s="148" t="str">
        <f>'Combustão Móvel'!O78</f>
        <v/>
      </c>
      <c r="E48" s="152">
        <v>0</v>
      </c>
      <c r="F48" s="153">
        <f t="shared" si="1"/>
        <v>0</v>
      </c>
      <c r="G48" s="153">
        <f t="shared" si="2"/>
        <v>0</v>
      </c>
      <c r="H48" s="153">
        <f t="shared" si="3"/>
        <v>0</v>
      </c>
      <c r="I48" s="153">
        <f t="shared" si="4"/>
        <v>0</v>
      </c>
      <c r="J48" s="153">
        <f t="shared" si="5"/>
        <v>0</v>
      </c>
      <c r="K48" s="154">
        <f t="shared" si="6"/>
        <v>0</v>
      </c>
      <c r="L48" s="37">
        <f>'Combustão Móvel'!F78</f>
        <v>0</v>
      </c>
      <c r="M48" s="41">
        <f>'Combustão Móvel'!G78</f>
        <v>0</v>
      </c>
      <c r="N48" s="153"/>
      <c r="O48" s="153">
        <f t="shared" si="7"/>
        <v>0</v>
      </c>
      <c r="P48" s="153"/>
      <c r="Q48" s="153"/>
      <c r="R48" s="153">
        <f t="shared" si="8"/>
        <v>0</v>
      </c>
      <c r="S48" s="153">
        <f t="shared" si="9"/>
        <v>0</v>
      </c>
      <c r="T48" s="164">
        <f t="shared" si="10"/>
        <v>0</v>
      </c>
      <c r="U48" s="164">
        <f t="shared" si="11"/>
        <v>0</v>
      </c>
      <c r="V48" s="137" t="str">
        <f t="shared" si="15"/>
        <v/>
      </c>
      <c r="W48" s="137" t="str">
        <f t="shared" si="16"/>
        <v/>
      </c>
      <c r="X48" s="137" t="str">
        <f t="shared" si="17"/>
        <v/>
      </c>
    </row>
    <row r="49" spans="2:24" ht="15" thickBot="1" x14ac:dyDescent="0.4">
      <c r="B49" s="1146"/>
      <c r="C49" s="56">
        <f>'Combustão Móvel'!B79</f>
        <v>0</v>
      </c>
      <c r="D49" s="148" t="str">
        <f>'Combustão Móvel'!O79</f>
        <v/>
      </c>
      <c r="E49" s="152">
        <v>0</v>
      </c>
      <c r="F49" s="153">
        <f t="shared" si="1"/>
        <v>0</v>
      </c>
      <c r="G49" s="153">
        <f t="shared" si="2"/>
        <v>0</v>
      </c>
      <c r="H49" s="153">
        <f t="shared" si="3"/>
        <v>0</v>
      </c>
      <c r="I49" s="153">
        <f t="shared" si="4"/>
        <v>0</v>
      </c>
      <c r="J49" s="153">
        <f t="shared" si="5"/>
        <v>0</v>
      </c>
      <c r="K49" s="154">
        <f t="shared" si="6"/>
        <v>0</v>
      </c>
      <c r="L49" s="37">
        <f>'Combustão Móvel'!F79</f>
        <v>0</v>
      </c>
      <c r="M49" s="41">
        <f>'Combustão Móvel'!G79</f>
        <v>0</v>
      </c>
      <c r="N49" s="153"/>
      <c r="O49" s="153">
        <f t="shared" si="7"/>
        <v>0</v>
      </c>
      <c r="P49" s="153"/>
      <c r="Q49" s="153"/>
      <c r="R49" s="153">
        <f t="shared" si="8"/>
        <v>0</v>
      </c>
      <c r="S49" s="153">
        <f t="shared" si="9"/>
        <v>0</v>
      </c>
      <c r="T49" s="164">
        <f t="shared" si="10"/>
        <v>0</v>
      </c>
      <c r="U49" s="164">
        <f t="shared" si="11"/>
        <v>0</v>
      </c>
      <c r="V49" s="137" t="str">
        <f t="shared" si="15"/>
        <v/>
      </c>
      <c r="W49" s="137" t="str">
        <f t="shared" si="16"/>
        <v/>
      </c>
      <c r="X49" s="137" t="str">
        <f t="shared" si="17"/>
        <v/>
      </c>
    </row>
    <row r="50" spans="2:24" ht="15" thickBot="1" x14ac:dyDescent="0.4">
      <c r="B50" s="1146"/>
      <c r="C50" s="56">
        <f>'Combustão Móvel'!B80</f>
        <v>0</v>
      </c>
      <c r="D50" s="148" t="str">
        <f>'Combustão Móvel'!O80</f>
        <v/>
      </c>
      <c r="E50" s="152">
        <v>0</v>
      </c>
      <c r="F50" s="153">
        <f t="shared" si="1"/>
        <v>0</v>
      </c>
      <c r="G50" s="153">
        <f t="shared" si="2"/>
        <v>0</v>
      </c>
      <c r="H50" s="153">
        <f t="shared" si="3"/>
        <v>0</v>
      </c>
      <c r="I50" s="153">
        <f t="shared" si="4"/>
        <v>0</v>
      </c>
      <c r="J50" s="153">
        <f t="shared" si="5"/>
        <v>0</v>
      </c>
      <c r="K50" s="154">
        <f t="shared" si="6"/>
        <v>0</v>
      </c>
      <c r="L50" s="37">
        <f>'Combustão Móvel'!F80</f>
        <v>0</v>
      </c>
      <c r="M50" s="41">
        <f>'Combustão Móvel'!G80</f>
        <v>0</v>
      </c>
      <c r="N50" s="153"/>
      <c r="O50" s="153">
        <f t="shared" si="7"/>
        <v>0</v>
      </c>
      <c r="P50" s="153"/>
      <c r="Q50" s="153"/>
      <c r="R50" s="153">
        <f t="shared" si="8"/>
        <v>0</v>
      </c>
      <c r="S50" s="153">
        <f t="shared" si="9"/>
        <v>0</v>
      </c>
      <c r="T50" s="164">
        <f t="shared" si="10"/>
        <v>0</v>
      </c>
      <c r="U50" s="164">
        <f t="shared" si="11"/>
        <v>0</v>
      </c>
      <c r="V50" s="137" t="str">
        <f t="shared" si="15"/>
        <v/>
      </c>
      <c r="W50" s="137" t="str">
        <f t="shared" si="16"/>
        <v/>
      </c>
      <c r="X50" s="137" t="str">
        <f t="shared" si="17"/>
        <v/>
      </c>
    </row>
    <row r="51" spans="2:24" ht="15" thickBot="1" x14ac:dyDescent="0.4">
      <c r="B51" s="1146"/>
      <c r="C51" s="56">
        <f>'Combustão Móvel'!B81</f>
        <v>0</v>
      </c>
      <c r="D51" s="148" t="str">
        <f>'Combustão Móvel'!O81</f>
        <v/>
      </c>
      <c r="E51" s="152">
        <v>0</v>
      </c>
      <c r="F51" s="153">
        <f t="shared" si="1"/>
        <v>0</v>
      </c>
      <c r="G51" s="153">
        <f t="shared" si="2"/>
        <v>0</v>
      </c>
      <c r="H51" s="153">
        <f t="shared" si="3"/>
        <v>0</v>
      </c>
      <c r="I51" s="153">
        <f t="shared" si="4"/>
        <v>0</v>
      </c>
      <c r="J51" s="153">
        <f t="shared" si="5"/>
        <v>0</v>
      </c>
      <c r="K51" s="154">
        <f t="shared" si="6"/>
        <v>0</v>
      </c>
      <c r="L51" s="37">
        <f>'Combustão Móvel'!F81</f>
        <v>0</v>
      </c>
      <c r="M51" s="41">
        <f>'Combustão Móvel'!G81</f>
        <v>0</v>
      </c>
      <c r="N51" s="153"/>
      <c r="O51" s="153">
        <f t="shared" si="7"/>
        <v>0</v>
      </c>
      <c r="P51" s="153"/>
      <c r="Q51" s="153"/>
      <c r="R51" s="153">
        <f t="shared" si="8"/>
        <v>0</v>
      </c>
      <c r="S51" s="153">
        <f t="shared" si="9"/>
        <v>0</v>
      </c>
      <c r="T51" s="164">
        <f t="shared" si="10"/>
        <v>0</v>
      </c>
      <c r="U51" s="164">
        <f t="shared" si="11"/>
        <v>0</v>
      </c>
      <c r="V51" s="137" t="str">
        <f t="shared" si="15"/>
        <v/>
      </c>
      <c r="W51" s="137" t="str">
        <f t="shared" si="16"/>
        <v/>
      </c>
      <c r="X51" s="137" t="str">
        <f t="shared" si="17"/>
        <v/>
      </c>
    </row>
    <row r="52" spans="2:24" ht="15" thickBot="1" x14ac:dyDescent="0.4">
      <c r="B52" s="1146"/>
      <c r="C52" s="56">
        <f>'Combustão Móvel'!B82</f>
        <v>0</v>
      </c>
      <c r="D52" s="148" t="str">
        <f>'Combustão Móvel'!O82</f>
        <v/>
      </c>
      <c r="E52" s="152">
        <v>0</v>
      </c>
      <c r="F52" s="153">
        <f t="shared" si="1"/>
        <v>0</v>
      </c>
      <c r="G52" s="153">
        <f t="shared" si="2"/>
        <v>0</v>
      </c>
      <c r="H52" s="153">
        <f t="shared" si="3"/>
        <v>0</v>
      </c>
      <c r="I52" s="153">
        <f t="shared" si="4"/>
        <v>0</v>
      </c>
      <c r="J52" s="153">
        <f t="shared" si="5"/>
        <v>0</v>
      </c>
      <c r="K52" s="154">
        <f t="shared" si="6"/>
        <v>0</v>
      </c>
      <c r="L52" s="37">
        <f>'Combustão Móvel'!F82</f>
        <v>0</v>
      </c>
      <c r="M52" s="41">
        <f>'Combustão Móvel'!G82</f>
        <v>0</v>
      </c>
      <c r="N52" s="153"/>
      <c r="O52" s="153">
        <f t="shared" si="7"/>
        <v>0</v>
      </c>
      <c r="P52" s="153"/>
      <c r="Q52" s="153"/>
      <c r="R52" s="153">
        <f t="shared" si="8"/>
        <v>0</v>
      </c>
      <c r="S52" s="153">
        <f t="shared" si="9"/>
        <v>0</v>
      </c>
      <c r="T52" s="164">
        <f t="shared" si="10"/>
        <v>0</v>
      </c>
      <c r="U52" s="164">
        <f t="shared" si="11"/>
        <v>0</v>
      </c>
      <c r="V52" s="137" t="str">
        <f t="shared" si="15"/>
        <v/>
      </c>
      <c r="W52" s="137" t="str">
        <f t="shared" si="16"/>
        <v/>
      </c>
      <c r="X52" s="137" t="str">
        <f t="shared" si="17"/>
        <v/>
      </c>
    </row>
    <row r="53" spans="2:24" ht="15" thickBot="1" x14ac:dyDescent="0.4">
      <c r="B53" s="1146"/>
      <c r="C53" s="56">
        <f>'Combustão Móvel'!B83</f>
        <v>0</v>
      </c>
      <c r="D53" s="148" t="str">
        <f>'Combustão Móvel'!O83</f>
        <v/>
      </c>
      <c r="E53" s="152">
        <v>0</v>
      </c>
      <c r="F53" s="153">
        <f t="shared" si="1"/>
        <v>0</v>
      </c>
      <c r="G53" s="153">
        <f t="shared" si="2"/>
        <v>0</v>
      </c>
      <c r="H53" s="153">
        <f t="shared" si="3"/>
        <v>0</v>
      </c>
      <c r="I53" s="153">
        <f t="shared" si="4"/>
        <v>0</v>
      </c>
      <c r="J53" s="153">
        <f t="shared" si="5"/>
        <v>0</v>
      </c>
      <c r="K53" s="154">
        <f t="shared" si="6"/>
        <v>0</v>
      </c>
      <c r="L53" s="37">
        <f>'Combustão Móvel'!F83</f>
        <v>0</v>
      </c>
      <c r="M53" s="41">
        <f>'Combustão Móvel'!G83</f>
        <v>0</v>
      </c>
      <c r="N53" s="153"/>
      <c r="O53" s="153">
        <f t="shared" si="7"/>
        <v>0</v>
      </c>
      <c r="P53" s="153"/>
      <c r="Q53" s="153"/>
      <c r="R53" s="153">
        <f t="shared" si="8"/>
        <v>0</v>
      </c>
      <c r="S53" s="153">
        <f t="shared" si="9"/>
        <v>0</v>
      </c>
      <c r="T53" s="164">
        <f t="shared" si="10"/>
        <v>0</v>
      </c>
      <c r="U53" s="164">
        <f t="shared" si="11"/>
        <v>0</v>
      </c>
      <c r="V53" s="137" t="str">
        <f t="shared" si="15"/>
        <v/>
      </c>
      <c r="W53" s="137" t="str">
        <f t="shared" si="16"/>
        <v/>
      </c>
      <c r="X53" s="137" t="str">
        <f t="shared" si="17"/>
        <v/>
      </c>
    </row>
    <row r="54" spans="2:24" ht="15" thickBot="1" x14ac:dyDescent="0.4">
      <c r="B54" s="1146"/>
      <c r="C54" s="56">
        <f>'Combustão Móvel'!B84</f>
        <v>0</v>
      </c>
      <c r="D54" s="148" t="str">
        <f>'Combustão Móvel'!O84</f>
        <v/>
      </c>
      <c r="E54" s="152">
        <v>0</v>
      </c>
      <c r="F54" s="153">
        <f t="shared" si="1"/>
        <v>0</v>
      </c>
      <c r="G54" s="153">
        <f t="shared" si="2"/>
        <v>0</v>
      </c>
      <c r="H54" s="153">
        <f t="shared" si="3"/>
        <v>0</v>
      </c>
      <c r="I54" s="153">
        <f t="shared" si="4"/>
        <v>0</v>
      </c>
      <c r="J54" s="153">
        <f t="shared" si="5"/>
        <v>0</v>
      </c>
      <c r="K54" s="154">
        <f t="shared" si="6"/>
        <v>0</v>
      </c>
      <c r="L54" s="37">
        <f>'Combustão Móvel'!F84</f>
        <v>0</v>
      </c>
      <c r="M54" s="41">
        <f>'Combustão Móvel'!G84</f>
        <v>0</v>
      </c>
      <c r="N54" s="153"/>
      <c r="O54" s="153">
        <f t="shared" si="7"/>
        <v>0</v>
      </c>
      <c r="P54" s="153"/>
      <c r="Q54" s="153"/>
      <c r="R54" s="153">
        <f t="shared" si="8"/>
        <v>0</v>
      </c>
      <c r="S54" s="153">
        <f t="shared" si="9"/>
        <v>0</v>
      </c>
      <c r="T54" s="164">
        <f t="shared" si="10"/>
        <v>0</v>
      </c>
      <c r="U54" s="164">
        <f t="shared" si="11"/>
        <v>0</v>
      </c>
      <c r="V54" s="137" t="str">
        <f t="shared" si="15"/>
        <v/>
      </c>
      <c r="W54" s="137" t="str">
        <f t="shared" si="16"/>
        <v/>
      </c>
      <c r="X54" s="137" t="str">
        <f t="shared" si="17"/>
        <v/>
      </c>
    </row>
    <row r="55" spans="2:24" ht="15" thickBot="1" x14ac:dyDescent="0.4">
      <c r="B55" s="1146"/>
      <c r="C55" s="56">
        <f>'Combustão Móvel'!B85</f>
        <v>0</v>
      </c>
      <c r="D55" s="148" t="str">
        <f>'Combustão Móvel'!O85</f>
        <v/>
      </c>
      <c r="E55" s="152">
        <v>0</v>
      </c>
      <c r="F55" s="153">
        <f t="shared" si="1"/>
        <v>0</v>
      </c>
      <c r="G55" s="153">
        <f t="shared" si="2"/>
        <v>0</v>
      </c>
      <c r="H55" s="153">
        <f t="shared" si="3"/>
        <v>0</v>
      </c>
      <c r="I55" s="153">
        <f t="shared" si="4"/>
        <v>0</v>
      </c>
      <c r="J55" s="153">
        <f t="shared" si="5"/>
        <v>0</v>
      </c>
      <c r="K55" s="154">
        <f t="shared" si="6"/>
        <v>0</v>
      </c>
      <c r="L55" s="37">
        <f>'Combustão Móvel'!F85</f>
        <v>0</v>
      </c>
      <c r="M55" s="41">
        <f>'Combustão Móvel'!G85</f>
        <v>0</v>
      </c>
      <c r="N55" s="153"/>
      <c r="O55" s="153">
        <f t="shared" si="7"/>
        <v>0</v>
      </c>
      <c r="P55" s="153"/>
      <c r="Q55" s="153"/>
      <c r="R55" s="153">
        <f t="shared" si="8"/>
        <v>0</v>
      </c>
      <c r="S55" s="153">
        <f t="shared" si="9"/>
        <v>0</v>
      </c>
      <c r="T55" s="164">
        <f t="shared" si="10"/>
        <v>0</v>
      </c>
      <c r="U55" s="164">
        <f t="shared" si="11"/>
        <v>0</v>
      </c>
      <c r="V55" s="137" t="str">
        <f t="shared" si="15"/>
        <v/>
      </c>
      <c r="W55" s="137" t="str">
        <f t="shared" si="16"/>
        <v/>
      </c>
      <c r="X55" s="137" t="str">
        <f t="shared" si="17"/>
        <v/>
      </c>
    </row>
    <row r="56" spans="2:24" ht="15" thickBot="1" x14ac:dyDescent="0.4">
      <c r="B56" s="1146"/>
      <c r="C56" s="56">
        <f>'Combustão Móvel'!B86</f>
        <v>0</v>
      </c>
      <c r="D56" s="148" t="str">
        <f>'Combustão Móvel'!O86</f>
        <v/>
      </c>
      <c r="E56" s="152">
        <v>0</v>
      </c>
      <c r="F56" s="153">
        <f t="shared" si="1"/>
        <v>0</v>
      </c>
      <c r="G56" s="153">
        <f t="shared" si="2"/>
        <v>0</v>
      </c>
      <c r="H56" s="153">
        <f t="shared" si="3"/>
        <v>0</v>
      </c>
      <c r="I56" s="153">
        <f t="shared" si="4"/>
        <v>0</v>
      </c>
      <c r="J56" s="153">
        <f t="shared" si="5"/>
        <v>0</v>
      </c>
      <c r="K56" s="154">
        <f t="shared" si="6"/>
        <v>0</v>
      </c>
      <c r="L56" s="37">
        <f>'Combustão Móvel'!F86</f>
        <v>0</v>
      </c>
      <c r="M56" s="41">
        <f>'Combustão Móvel'!G86</f>
        <v>0</v>
      </c>
      <c r="N56" s="153"/>
      <c r="O56" s="153">
        <f t="shared" si="7"/>
        <v>0</v>
      </c>
      <c r="P56" s="153"/>
      <c r="Q56" s="153"/>
      <c r="R56" s="153">
        <f t="shared" si="8"/>
        <v>0</v>
      </c>
      <c r="S56" s="153">
        <f t="shared" si="9"/>
        <v>0</v>
      </c>
      <c r="T56" s="164">
        <f t="shared" si="10"/>
        <v>0</v>
      </c>
      <c r="U56" s="164">
        <f t="shared" si="11"/>
        <v>0</v>
      </c>
      <c r="V56" s="137" t="str">
        <f t="shared" si="15"/>
        <v/>
      </c>
      <c r="W56" s="137" t="str">
        <f t="shared" si="16"/>
        <v/>
      </c>
      <c r="X56" s="137" t="str">
        <f t="shared" si="17"/>
        <v/>
      </c>
    </row>
    <row r="57" spans="2:24" ht="15" thickBot="1" x14ac:dyDescent="0.4">
      <c r="B57" s="1146"/>
      <c r="C57" s="56">
        <f>'Combustão Móvel'!B87</f>
        <v>0</v>
      </c>
      <c r="D57" s="148" t="str">
        <f>'Combustão Móvel'!O87</f>
        <v/>
      </c>
      <c r="E57" s="152">
        <v>0</v>
      </c>
      <c r="F57" s="153">
        <f t="shared" si="1"/>
        <v>0</v>
      </c>
      <c r="G57" s="153">
        <f t="shared" si="2"/>
        <v>0</v>
      </c>
      <c r="H57" s="153">
        <f t="shared" si="3"/>
        <v>0</v>
      </c>
      <c r="I57" s="153">
        <f t="shared" si="4"/>
        <v>0</v>
      </c>
      <c r="J57" s="153">
        <f t="shared" si="5"/>
        <v>0</v>
      </c>
      <c r="K57" s="154">
        <f t="shared" si="6"/>
        <v>0</v>
      </c>
      <c r="L57" s="37">
        <f>'Combustão Móvel'!F87</f>
        <v>0</v>
      </c>
      <c r="M57" s="41">
        <f>'Combustão Móvel'!G87</f>
        <v>0</v>
      </c>
      <c r="N57" s="153"/>
      <c r="O57" s="153">
        <f t="shared" si="7"/>
        <v>0</v>
      </c>
      <c r="P57" s="153"/>
      <c r="Q57" s="153"/>
      <c r="R57" s="153">
        <f t="shared" si="8"/>
        <v>0</v>
      </c>
      <c r="S57" s="153">
        <f t="shared" si="9"/>
        <v>0</v>
      </c>
      <c r="T57" s="164">
        <f t="shared" si="10"/>
        <v>0</v>
      </c>
      <c r="U57" s="164">
        <f t="shared" si="11"/>
        <v>0</v>
      </c>
      <c r="V57" s="137" t="str">
        <f t="shared" si="15"/>
        <v/>
      </c>
      <c r="W57" s="137" t="str">
        <f t="shared" si="16"/>
        <v/>
      </c>
      <c r="X57" s="137" t="str">
        <f t="shared" si="17"/>
        <v/>
      </c>
    </row>
    <row r="58" spans="2:24" ht="15" thickBot="1" x14ac:dyDescent="0.4">
      <c r="B58" s="1146"/>
      <c r="C58" s="56">
        <f>'Combustão Móvel'!B88</f>
        <v>0</v>
      </c>
      <c r="D58" s="148" t="str">
        <f>'Combustão Móvel'!O88</f>
        <v/>
      </c>
      <c r="E58" s="152">
        <v>0</v>
      </c>
      <c r="F58" s="153">
        <f t="shared" si="1"/>
        <v>0</v>
      </c>
      <c r="G58" s="153">
        <f t="shared" si="2"/>
        <v>0</v>
      </c>
      <c r="H58" s="153">
        <f t="shared" si="3"/>
        <v>0</v>
      </c>
      <c r="I58" s="153">
        <f t="shared" si="4"/>
        <v>0</v>
      </c>
      <c r="J58" s="153">
        <f t="shared" si="5"/>
        <v>0</v>
      </c>
      <c r="K58" s="154">
        <f t="shared" si="6"/>
        <v>0</v>
      </c>
      <c r="L58" s="37">
        <f>'Combustão Móvel'!F88</f>
        <v>0</v>
      </c>
      <c r="M58" s="41">
        <f>'Combustão Móvel'!G88</f>
        <v>0</v>
      </c>
      <c r="N58" s="153"/>
      <c r="O58" s="153">
        <f t="shared" si="7"/>
        <v>0</v>
      </c>
      <c r="P58" s="153"/>
      <c r="Q58" s="153"/>
      <c r="R58" s="153">
        <f t="shared" si="8"/>
        <v>0</v>
      </c>
      <c r="S58" s="153">
        <f t="shared" si="9"/>
        <v>0</v>
      </c>
      <c r="T58" s="164">
        <f t="shared" si="10"/>
        <v>0</v>
      </c>
      <c r="U58" s="164">
        <f t="shared" si="11"/>
        <v>0</v>
      </c>
      <c r="V58" s="137" t="str">
        <f t="shared" si="15"/>
        <v/>
      </c>
      <c r="W58" s="137" t="str">
        <f t="shared" si="16"/>
        <v/>
      </c>
      <c r="X58" s="137" t="str">
        <f t="shared" si="17"/>
        <v/>
      </c>
    </row>
    <row r="59" spans="2:24" ht="15" thickBot="1" x14ac:dyDescent="0.4">
      <c r="B59" s="1146"/>
      <c r="C59" s="56">
        <f>'Combustão Móvel'!B89</f>
        <v>0</v>
      </c>
      <c r="D59" s="148" t="str">
        <f>'Combustão Móvel'!O89</f>
        <v/>
      </c>
      <c r="E59" s="152">
        <v>0</v>
      </c>
      <c r="F59" s="153">
        <f t="shared" si="1"/>
        <v>0</v>
      </c>
      <c r="G59" s="153">
        <f t="shared" si="2"/>
        <v>0</v>
      </c>
      <c r="H59" s="153">
        <f t="shared" si="3"/>
        <v>0</v>
      </c>
      <c r="I59" s="153">
        <f t="shared" si="4"/>
        <v>0</v>
      </c>
      <c r="J59" s="153">
        <f t="shared" si="5"/>
        <v>0</v>
      </c>
      <c r="K59" s="154">
        <f t="shared" si="6"/>
        <v>0</v>
      </c>
      <c r="L59" s="37">
        <f>'Combustão Móvel'!F89</f>
        <v>0</v>
      </c>
      <c r="M59" s="41">
        <f>'Combustão Móvel'!G89</f>
        <v>0</v>
      </c>
      <c r="N59" s="153"/>
      <c r="O59" s="153">
        <f t="shared" si="7"/>
        <v>0</v>
      </c>
      <c r="P59" s="153"/>
      <c r="Q59" s="153"/>
      <c r="R59" s="153">
        <f t="shared" si="8"/>
        <v>0</v>
      </c>
      <c r="S59" s="153">
        <f t="shared" si="9"/>
        <v>0</v>
      </c>
      <c r="T59" s="164">
        <f t="shared" si="10"/>
        <v>0</v>
      </c>
      <c r="U59" s="164">
        <f t="shared" si="11"/>
        <v>0</v>
      </c>
      <c r="V59" s="137" t="str">
        <f t="shared" si="15"/>
        <v/>
      </c>
      <c r="W59" s="137" t="str">
        <f t="shared" si="16"/>
        <v/>
      </c>
      <c r="X59" s="137" t="str">
        <f t="shared" si="17"/>
        <v/>
      </c>
    </row>
    <row r="60" spans="2:24" ht="15" thickBot="1" x14ac:dyDescent="0.4">
      <c r="B60" s="1146"/>
      <c r="C60" s="56">
        <f>'Combustão Móvel'!B90</f>
        <v>0</v>
      </c>
      <c r="D60" s="148" t="str">
        <f>'Combustão Móvel'!O90</f>
        <v/>
      </c>
      <c r="E60" s="152">
        <v>0</v>
      </c>
      <c r="F60" s="153">
        <f t="shared" si="1"/>
        <v>0</v>
      </c>
      <c r="G60" s="153">
        <f t="shared" si="2"/>
        <v>0</v>
      </c>
      <c r="H60" s="153">
        <f t="shared" si="3"/>
        <v>0</v>
      </c>
      <c r="I60" s="153">
        <f t="shared" si="4"/>
        <v>0</v>
      </c>
      <c r="J60" s="153">
        <f t="shared" si="5"/>
        <v>0</v>
      </c>
      <c r="K60" s="154">
        <f t="shared" si="6"/>
        <v>0</v>
      </c>
      <c r="L60" s="37">
        <f>'Combustão Móvel'!F90</f>
        <v>0</v>
      </c>
      <c r="M60" s="41">
        <f>'Combustão Móvel'!G90</f>
        <v>0</v>
      </c>
      <c r="N60" s="153"/>
      <c r="O60" s="153">
        <f t="shared" si="7"/>
        <v>0</v>
      </c>
      <c r="P60" s="153"/>
      <c r="Q60" s="153"/>
      <c r="R60" s="153">
        <f t="shared" si="8"/>
        <v>0</v>
      </c>
      <c r="S60" s="153">
        <f t="shared" si="9"/>
        <v>0</v>
      </c>
      <c r="T60" s="164">
        <f t="shared" si="10"/>
        <v>0</v>
      </c>
      <c r="U60" s="164">
        <f t="shared" si="11"/>
        <v>0</v>
      </c>
      <c r="V60" s="137" t="str">
        <f t="shared" si="15"/>
        <v/>
      </c>
      <c r="W60" s="137" t="str">
        <f t="shared" si="16"/>
        <v/>
      </c>
      <c r="X60" s="137" t="str">
        <f t="shared" si="17"/>
        <v/>
      </c>
    </row>
    <row r="61" spans="2:24" ht="15" thickBot="1" x14ac:dyDescent="0.4">
      <c r="B61" s="1146"/>
      <c r="C61" s="56">
        <f>'Combustão Móvel'!B91</f>
        <v>0</v>
      </c>
      <c r="D61" s="148" t="str">
        <f>'Combustão Móvel'!O91</f>
        <v/>
      </c>
      <c r="E61" s="152">
        <v>0</v>
      </c>
      <c r="F61" s="153">
        <f t="shared" si="1"/>
        <v>0</v>
      </c>
      <c r="G61" s="153">
        <f t="shared" si="2"/>
        <v>0</v>
      </c>
      <c r="H61" s="153">
        <f t="shared" si="3"/>
        <v>0</v>
      </c>
      <c r="I61" s="153">
        <f t="shared" si="4"/>
        <v>0</v>
      </c>
      <c r="J61" s="153">
        <f t="shared" si="5"/>
        <v>0</v>
      </c>
      <c r="K61" s="154">
        <f t="shared" si="6"/>
        <v>0</v>
      </c>
      <c r="L61" s="37">
        <f>'Combustão Móvel'!F91</f>
        <v>0</v>
      </c>
      <c r="M61" s="41">
        <f>'Combustão Móvel'!G91</f>
        <v>0</v>
      </c>
      <c r="N61" s="153"/>
      <c r="O61" s="153">
        <f t="shared" si="7"/>
        <v>0</v>
      </c>
      <c r="P61" s="153"/>
      <c r="Q61" s="153"/>
      <c r="R61" s="153">
        <f t="shared" si="8"/>
        <v>0</v>
      </c>
      <c r="S61" s="153">
        <f t="shared" si="9"/>
        <v>0</v>
      </c>
      <c r="T61" s="164">
        <f t="shared" si="10"/>
        <v>0</v>
      </c>
      <c r="U61" s="164">
        <f t="shared" si="11"/>
        <v>0</v>
      </c>
      <c r="V61" s="137" t="str">
        <f t="shared" si="15"/>
        <v/>
      </c>
      <c r="W61" s="137" t="str">
        <f t="shared" si="16"/>
        <v/>
      </c>
      <c r="X61" s="137" t="str">
        <f t="shared" si="17"/>
        <v/>
      </c>
    </row>
    <row r="62" spans="2:24" ht="15" thickBot="1" x14ac:dyDescent="0.4">
      <c r="B62" s="1146"/>
      <c r="C62" s="56">
        <f>'Combustão Móvel'!B92</f>
        <v>0</v>
      </c>
      <c r="D62" s="148" t="str">
        <f>'Combustão Móvel'!O92</f>
        <v/>
      </c>
      <c r="E62" s="152">
        <v>0</v>
      </c>
      <c r="F62" s="153">
        <f t="shared" si="1"/>
        <v>0</v>
      </c>
      <c r="G62" s="153">
        <f t="shared" si="2"/>
        <v>0</v>
      </c>
      <c r="H62" s="153">
        <f t="shared" si="3"/>
        <v>0</v>
      </c>
      <c r="I62" s="153">
        <f t="shared" si="4"/>
        <v>0</v>
      </c>
      <c r="J62" s="153">
        <f t="shared" si="5"/>
        <v>0</v>
      </c>
      <c r="K62" s="154">
        <f t="shared" si="6"/>
        <v>0</v>
      </c>
      <c r="L62" s="37">
        <f>'Combustão Móvel'!F92</f>
        <v>0</v>
      </c>
      <c r="M62" s="41">
        <f>'Combustão Móvel'!G92</f>
        <v>0</v>
      </c>
      <c r="N62" s="153"/>
      <c r="O62" s="153">
        <f t="shared" si="7"/>
        <v>0</v>
      </c>
      <c r="P62" s="153"/>
      <c r="Q62" s="153"/>
      <c r="R62" s="153">
        <f t="shared" si="8"/>
        <v>0</v>
      </c>
      <c r="S62" s="153">
        <f t="shared" si="9"/>
        <v>0</v>
      </c>
      <c r="T62" s="164">
        <f t="shared" si="10"/>
        <v>0</v>
      </c>
      <c r="U62" s="164">
        <f t="shared" si="11"/>
        <v>0</v>
      </c>
      <c r="V62" s="137" t="str">
        <f t="shared" si="15"/>
        <v/>
      </c>
      <c r="W62" s="137" t="str">
        <f t="shared" si="16"/>
        <v/>
      </c>
      <c r="X62" s="137" t="str">
        <f t="shared" si="17"/>
        <v/>
      </c>
    </row>
    <row r="63" spans="2:24" ht="15" thickBot="1" x14ac:dyDescent="0.4">
      <c r="B63" s="1146"/>
      <c r="C63" s="56">
        <f>'Combustão Móvel'!B93</f>
        <v>0</v>
      </c>
      <c r="D63" s="148" t="str">
        <f>'Combustão Móvel'!O93</f>
        <v/>
      </c>
      <c r="E63" s="152">
        <v>0</v>
      </c>
      <c r="F63" s="153">
        <f t="shared" si="1"/>
        <v>0</v>
      </c>
      <c r="G63" s="153">
        <f t="shared" si="2"/>
        <v>0</v>
      </c>
      <c r="H63" s="153">
        <f t="shared" si="3"/>
        <v>0</v>
      </c>
      <c r="I63" s="153">
        <f t="shared" si="4"/>
        <v>0</v>
      </c>
      <c r="J63" s="153">
        <f t="shared" si="5"/>
        <v>0</v>
      </c>
      <c r="K63" s="154">
        <f t="shared" si="6"/>
        <v>0</v>
      </c>
      <c r="L63" s="37">
        <f>'Combustão Móvel'!F93</f>
        <v>0</v>
      </c>
      <c r="M63" s="41">
        <f>'Combustão Móvel'!G93</f>
        <v>0</v>
      </c>
      <c r="N63" s="153"/>
      <c r="O63" s="153">
        <f t="shared" si="7"/>
        <v>0</v>
      </c>
      <c r="P63" s="153"/>
      <c r="Q63" s="153"/>
      <c r="R63" s="153">
        <f t="shared" si="8"/>
        <v>0</v>
      </c>
      <c r="S63" s="153">
        <f t="shared" si="9"/>
        <v>0</v>
      </c>
      <c r="T63" s="164">
        <f t="shared" si="10"/>
        <v>0</v>
      </c>
      <c r="U63" s="164">
        <f t="shared" si="11"/>
        <v>0</v>
      </c>
      <c r="V63" s="137" t="str">
        <f t="shared" si="15"/>
        <v/>
      </c>
      <c r="W63" s="137" t="str">
        <f t="shared" si="16"/>
        <v/>
      </c>
      <c r="X63" s="137" t="str">
        <f t="shared" si="17"/>
        <v/>
      </c>
    </row>
    <row r="64" spans="2:24" ht="15" thickBot="1" x14ac:dyDescent="0.4">
      <c r="B64" s="1146"/>
      <c r="C64" s="56">
        <f>'Combustão Móvel'!B94</f>
        <v>0</v>
      </c>
      <c r="D64" s="148" t="str">
        <f>'Combustão Móvel'!O94</f>
        <v/>
      </c>
      <c r="E64" s="152">
        <v>0</v>
      </c>
      <c r="F64" s="153">
        <f t="shared" si="1"/>
        <v>0</v>
      </c>
      <c r="G64" s="153">
        <f t="shared" si="2"/>
        <v>0</v>
      </c>
      <c r="H64" s="153">
        <f t="shared" si="3"/>
        <v>0</v>
      </c>
      <c r="I64" s="153">
        <f t="shared" si="4"/>
        <v>0</v>
      </c>
      <c r="J64" s="153">
        <f t="shared" si="5"/>
        <v>0</v>
      </c>
      <c r="K64" s="154">
        <f t="shared" si="6"/>
        <v>0</v>
      </c>
      <c r="L64" s="37">
        <f>'Combustão Móvel'!F94</f>
        <v>0</v>
      </c>
      <c r="M64" s="41">
        <f>'Combustão Móvel'!G94</f>
        <v>0</v>
      </c>
      <c r="N64" s="153"/>
      <c r="O64" s="153">
        <f t="shared" si="7"/>
        <v>0</v>
      </c>
      <c r="P64" s="153"/>
      <c r="Q64" s="153"/>
      <c r="R64" s="153">
        <f t="shared" si="8"/>
        <v>0</v>
      </c>
      <c r="S64" s="153">
        <f t="shared" si="9"/>
        <v>0</v>
      </c>
      <c r="T64" s="164">
        <f t="shared" si="10"/>
        <v>0</v>
      </c>
      <c r="U64" s="164">
        <f t="shared" si="11"/>
        <v>0</v>
      </c>
      <c r="V64" s="137" t="str">
        <f t="shared" si="15"/>
        <v/>
      </c>
      <c r="W64" s="137" t="str">
        <f t="shared" si="16"/>
        <v/>
      </c>
      <c r="X64" s="137" t="str">
        <f t="shared" si="17"/>
        <v/>
      </c>
    </row>
    <row r="65" spans="2:24" ht="15" thickBot="1" x14ac:dyDescent="0.4">
      <c r="B65" s="1146"/>
      <c r="C65" s="56">
        <f>'Combustão Móvel'!B95</f>
        <v>0</v>
      </c>
      <c r="D65" s="148" t="str">
        <f>'Combustão Móvel'!O95</f>
        <v/>
      </c>
      <c r="E65" s="152">
        <v>0</v>
      </c>
      <c r="F65" s="153">
        <f t="shared" si="1"/>
        <v>0</v>
      </c>
      <c r="G65" s="153">
        <f t="shared" si="2"/>
        <v>0</v>
      </c>
      <c r="H65" s="153">
        <f t="shared" si="3"/>
        <v>0</v>
      </c>
      <c r="I65" s="153">
        <f t="shared" si="4"/>
        <v>0</v>
      </c>
      <c r="J65" s="153">
        <f t="shared" si="5"/>
        <v>0</v>
      </c>
      <c r="K65" s="154">
        <f t="shared" si="6"/>
        <v>0</v>
      </c>
      <c r="L65" s="37">
        <f>'Combustão Móvel'!F95</f>
        <v>0</v>
      </c>
      <c r="M65" s="41">
        <f>'Combustão Móvel'!G95</f>
        <v>0</v>
      </c>
      <c r="N65" s="153"/>
      <c r="O65" s="153">
        <f t="shared" si="7"/>
        <v>0</v>
      </c>
      <c r="P65" s="153"/>
      <c r="Q65" s="153"/>
      <c r="R65" s="153">
        <f t="shared" si="8"/>
        <v>0</v>
      </c>
      <c r="S65" s="153">
        <f t="shared" si="9"/>
        <v>0</v>
      </c>
      <c r="T65" s="164">
        <f t="shared" si="10"/>
        <v>0</v>
      </c>
      <c r="U65" s="164">
        <f t="shared" si="11"/>
        <v>0</v>
      </c>
      <c r="V65" s="137" t="str">
        <f t="shared" si="15"/>
        <v/>
      </c>
      <c r="W65" s="137" t="str">
        <f t="shared" si="16"/>
        <v/>
      </c>
      <c r="X65" s="137" t="str">
        <f t="shared" si="17"/>
        <v/>
      </c>
    </row>
    <row r="66" spans="2:24" ht="15" thickBot="1" x14ac:dyDescent="0.4">
      <c r="B66" s="1146"/>
      <c r="C66" s="56">
        <f>'Combustão Móvel'!B96</f>
        <v>0</v>
      </c>
      <c r="D66" s="148" t="str">
        <f>'Combustão Móvel'!O96</f>
        <v/>
      </c>
      <c r="E66" s="152">
        <v>0</v>
      </c>
      <c r="F66" s="153">
        <f t="shared" si="1"/>
        <v>0</v>
      </c>
      <c r="G66" s="153">
        <f t="shared" si="2"/>
        <v>0</v>
      </c>
      <c r="H66" s="153">
        <f t="shared" si="3"/>
        <v>0</v>
      </c>
      <c r="I66" s="153">
        <f t="shared" si="4"/>
        <v>0</v>
      </c>
      <c r="J66" s="153">
        <f t="shared" si="5"/>
        <v>0</v>
      </c>
      <c r="K66" s="154">
        <f t="shared" si="6"/>
        <v>0</v>
      </c>
      <c r="L66" s="37">
        <f>'Combustão Móvel'!F96</f>
        <v>0</v>
      </c>
      <c r="M66" s="41">
        <f>'Combustão Móvel'!G96</f>
        <v>0</v>
      </c>
      <c r="N66" s="153"/>
      <c r="O66" s="153">
        <f t="shared" si="7"/>
        <v>0</v>
      </c>
      <c r="P66" s="153"/>
      <c r="Q66" s="153"/>
      <c r="R66" s="153">
        <f t="shared" si="8"/>
        <v>0</v>
      </c>
      <c r="S66" s="153">
        <f t="shared" si="9"/>
        <v>0</v>
      </c>
      <c r="T66" s="164">
        <f t="shared" si="10"/>
        <v>0</v>
      </c>
      <c r="U66" s="164">
        <f t="shared" si="11"/>
        <v>0</v>
      </c>
      <c r="V66" s="137" t="str">
        <f t="shared" si="15"/>
        <v/>
      </c>
      <c r="W66" s="137" t="str">
        <f t="shared" si="16"/>
        <v/>
      </c>
      <c r="X66" s="137" t="str">
        <f t="shared" si="17"/>
        <v/>
      </c>
    </row>
    <row r="67" spans="2:24" ht="15" thickBot="1" x14ac:dyDescent="0.4">
      <c r="B67" s="1146"/>
      <c r="C67" s="56">
        <f>'Combustão Móvel'!B97</f>
        <v>0</v>
      </c>
      <c r="D67" s="148" t="str">
        <f>'Combustão Móvel'!O97</f>
        <v/>
      </c>
      <c r="E67" s="152">
        <v>0</v>
      </c>
      <c r="F67" s="153">
        <f t="shared" si="1"/>
        <v>0</v>
      </c>
      <c r="G67" s="153">
        <f t="shared" si="2"/>
        <v>0</v>
      </c>
      <c r="H67" s="153">
        <f t="shared" si="3"/>
        <v>0</v>
      </c>
      <c r="I67" s="153">
        <f t="shared" si="4"/>
        <v>0</v>
      </c>
      <c r="J67" s="153">
        <f t="shared" si="5"/>
        <v>0</v>
      </c>
      <c r="K67" s="154">
        <f t="shared" si="6"/>
        <v>0</v>
      </c>
      <c r="L67" s="37">
        <f>'Combustão Móvel'!F97</f>
        <v>0</v>
      </c>
      <c r="M67" s="41">
        <f>'Combustão Móvel'!G97</f>
        <v>0</v>
      </c>
      <c r="N67" s="153"/>
      <c r="O67" s="153">
        <f t="shared" si="7"/>
        <v>0</v>
      </c>
      <c r="P67" s="153"/>
      <c r="Q67" s="153"/>
      <c r="R67" s="153">
        <f t="shared" si="8"/>
        <v>0</v>
      </c>
      <c r="S67" s="153">
        <f t="shared" si="9"/>
        <v>0</v>
      </c>
      <c r="T67" s="164">
        <f t="shared" si="10"/>
        <v>0</v>
      </c>
      <c r="U67" s="164">
        <f t="shared" si="11"/>
        <v>0</v>
      </c>
      <c r="V67" s="137" t="str">
        <f t="shared" si="15"/>
        <v/>
      </c>
      <c r="W67" s="137" t="str">
        <f t="shared" si="16"/>
        <v/>
      </c>
      <c r="X67" s="137" t="str">
        <f t="shared" si="17"/>
        <v/>
      </c>
    </row>
    <row r="68" spans="2:24" ht="15" thickBot="1" x14ac:dyDescent="0.4">
      <c r="B68" s="1146"/>
      <c r="C68" s="56">
        <f>'Combustão Móvel'!B98</f>
        <v>0</v>
      </c>
      <c r="D68" s="148" t="str">
        <f>'Combustão Móvel'!O98</f>
        <v/>
      </c>
      <c r="E68" s="152">
        <v>0</v>
      </c>
      <c r="F68" s="153">
        <f t="shared" si="1"/>
        <v>0</v>
      </c>
      <c r="G68" s="153">
        <f t="shared" si="2"/>
        <v>0</v>
      </c>
      <c r="H68" s="153">
        <f t="shared" si="3"/>
        <v>0</v>
      </c>
      <c r="I68" s="153">
        <f t="shared" si="4"/>
        <v>0</v>
      </c>
      <c r="J68" s="153">
        <f t="shared" si="5"/>
        <v>0</v>
      </c>
      <c r="K68" s="154">
        <f t="shared" si="6"/>
        <v>0</v>
      </c>
      <c r="L68" s="37">
        <f>'Combustão Móvel'!F98</f>
        <v>0</v>
      </c>
      <c r="M68" s="41">
        <f>'Combustão Móvel'!G98</f>
        <v>0</v>
      </c>
      <c r="N68" s="153"/>
      <c r="O68" s="153">
        <f t="shared" si="7"/>
        <v>0</v>
      </c>
      <c r="P68" s="153"/>
      <c r="Q68" s="153"/>
      <c r="R68" s="153">
        <f t="shared" si="8"/>
        <v>0</v>
      </c>
      <c r="S68" s="153">
        <f t="shared" si="9"/>
        <v>0</v>
      </c>
      <c r="T68" s="164">
        <f t="shared" si="10"/>
        <v>0</v>
      </c>
      <c r="U68" s="164">
        <f t="shared" si="11"/>
        <v>0</v>
      </c>
      <c r="V68" s="137" t="str">
        <f t="shared" si="15"/>
        <v/>
      </c>
      <c r="W68" s="137" t="str">
        <f t="shared" si="16"/>
        <v/>
      </c>
      <c r="X68" s="137" t="str">
        <f t="shared" si="17"/>
        <v/>
      </c>
    </row>
    <row r="69" spans="2:24" ht="15" thickBot="1" x14ac:dyDescent="0.4">
      <c r="B69" s="1146"/>
      <c r="C69" s="56">
        <f>'Combustão Móvel'!B99</f>
        <v>0</v>
      </c>
      <c r="D69" s="148" t="str">
        <f>'Combustão Móvel'!O99</f>
        <v/>
      </c>
      <c r="E69" s="152">
        <v>0</v>
      </c>
      <c r="F69" s="153">
        <f t="shared" si="1"/>
        <v>0</v>
      </c>
      <c r="G69" s="153">
        <f t="shared" si="2"/>
        <v>0</v>
      </c>
      <c r="H69" s="153">
        <f t="shared" si="3"/>
        <v>0</v>
      </c>
      <c r="I69" s="153">
        <f t="shared" si="4"/>
        <v>0</v>
      </c>
      <c r="J69" s="153">
        <f t="shared" si="5"/>
        <v>0</v>
      </c>
      <c r="K69" s="154">
        <f t="shared" si="6"/>
        <v>0</v>
      </c>
      <c r="L69" s="37">
        <f>'Combustão Móvel'!F99</f>
        <v>0</v>
      </c>
      <c r="M69" s="41">
        <f>'Combustão Móvel'!G99</f>
        <v>0</v>
      </c>
      <c r="N69" s="153"/>
      <c r="O69" s="153">
        <f t="shared" si="7"/>
        <v>0</v>
      </c>
      <c r="P69" s="153"/>
      <c r="Q69" s="153"/>
      <c r="R69" s="153">
        <f t="shared" si="8"/>
        <v>0</v>
      </c>
      <c r="S69" s="153">
        <f t="shared" si="9"/>
        <v>0</v>
      </c>
      <c r="T69" s="164">
        <f t="shared" si="10"/>
        <v>0</v>
      </c>
      <c r="U69" s="164">
        <f t="shared" si="11"/>
        <v>0</v>
      </c>
      <c r="V69" s="137" t="str">
        <f t="shared" si="15"/>
        <v/>
      </c>
      <c r="W69" s="137" t="str">
        <f t="shared" si="16"/>
        <v/>
      </c>
      <c r="X69" s="137" t="str">
        <f t="shared" si="17"/>
        <v/>
      </c>
    </row>
    <row r="70" spans="2:24" ht="15" thickBot="1" x14ac:dyDescent="0.4">
      <c r="B70" s="1146"/>
      <c r="C70" s="56">
        <f>'Combustão Móvel'!B100</f>
        <v>0</v>
      </c>
      <c r="D70" s="148" t="str">
        <f>'Combustão Móvel'!O100</f>
        <v/>
      </c>
      <c r="E70" s="152">
        <v>0</v>
      </c>
      <c r="F70" s="153">
        <f t="shared" si="1"/>
        <v>0</v>
      </c>
      <c r="G70" s="153">
        <f t="shared" si="2"/>
        <v>0</v>
      </c>
      <c r="H70" s="153">
        <f t="shared" si="3"/>
        <v>0</v>
      </c>
      <c r="I70" s="153">
        <f t="shared" si="4"/>
        <v>0</v>
      </c>
      <c r="J70" s="153">
        <f t="shared" si="5"/>
        <v>0</v>
      </c>
      <c r="K70" s="154">
        <f t="shared" si="6"/>
        <v>0</v>
      </c>
      <c r="L70" s="37">
        <f>'Combustão Móvel'!F100</f>
        <v>0</v>
      </c>
      <c r="M70" s="41">
        <f>'Combustão Móvel'!G100</f>
        <v>0</v>
      </c>
      <c r="N70" s="153"/>
      <c r="O70" s="153">
        <f t="shared" si="7"/>
        <v>0</v>
      </c>
      <c r="P70" s="153"/>
      <c r="Q70" s="153"/>
      <c r="R70" s="153">
        <f t="shared" si="8"/>
        <v>0</v>
      </c>
      <c r="S70" s="153">
        <f t="shared" si="9"/>
        <v>0</v>
      </c>
      <c r="T70" s="164">
        <f t="shared" si="10"/>
        <v>0</v>
      </c>
      <c r="U70" s="164">
        <f t="shared" si="11"/>
        <v>0</v>
      </c>
      <c r="V70" s="137" t="str">
        <f t="shared" si="15"/>
        <v/>
      </c>
      <c r="W70" s="137" t="str">
        <f t="shared" si="16"/>
        <v/>
      </c>
      <c r="X70" s="137" t="str">
        <f t="shared" si="17"/>
        <v/>
      </c>
    </row>
    <row r="71" spans="2:24" ht="15" thickBot="1" x14ac:dyDescent="0.4">
      <c r="B71" s="1146"/>
      <c r="C71" s="56">
        <f>'Combustão Móvel'!B101</f>
        <v>0</v>
      </c>
      <c r="D71" s="148" t="str">
        <f>'Combustão Móvel'!O101</f>
        <v/>
      </c>
      <c r="E71" s="152">
        <v>0</v>
      </c>
      <c r="F71" s="153">
        <f t="shared" si="1"/>
        <v>0</v>
      </c>
      <c r="G71" s="153">
        <f t="shared" si="2"/>
        <v>0</v>
      </c>
      <c r="H71" s="153">
        <f t="shared" si="3"/>
        <v>0</v>
      </c>
      <c r="I71" s="153">
        <f t="shared" si="4"/>
        <v>0</v>
      </c>
      <c r="J71" s="153">
        <f t="shared" si="5"/>
        <v>0</v>
      </c>
      <c r="K71" s="154">
        <f t="shared" si="6"/>
        <v>0</v>
      </c>
      <c r="L71" s="37">
        <f>'Combustão Móvel'!F101</f>
        <v>0</v>
      </c>
      <c r="M71" s="41">
        <f>'Combustão Móvel'!G101</f>
        <v>0</v>
      </c>
      <c r="N71" s="153"/>
      <c r="O71" s="153">
        <f t="shared" si="7"/>
        <v>0</v>
      </c>
      <c r="P71" s="153"/>
      <c r="Q71" s="153"/>
      <c r="R71" s="153">
        <f t="shared" si="8"/>
        <v>0</v>
      </c>
      <c r="S71" s="153">
        <f t="shared" si="9"/>
        <v>0</v>
      </c>
      <c r="T71" s="164">
        <f t="shared" si="10"/>
        <v>0</v>
      </c>
      <c r="U71" s="164">
        <f t="shared" si="11"/>
        <v>0</v>
      </c>
      <c r="V71" s="137" t="str">
        <f t="shared" si="15"/>
        <v/>
      </c>
      <c r="W71" s="137" t="str">
        <f t="shared" si="16"/>
        <v/>
      </c>
      <c r="X71" s="137" t="str">
        <f t="shared" si="17"/>
        <v/>
      </c>
    </row>
    <row r="72" spans="2:24" ht="15" thickBot="1" x14ac:dyDescent="0.4">
      <c r="B72" s="1146"/>
      <c r="C72" s="56">
        <f>'Combustão Móvel'!B102</f>
        <v>0</v>
      </c>
      <c r="D72" s="148" t="str">
        <f>'Combustão Móvel'!O102</f>
        <v/>
      </c>
      <c r="E72" s="152">
        <v>0</v>
      </c>
      <c r="F72" s="153">
        <f t="shared" si="1"/>
        <v>0</v>
      </c>
      <c r="G72" s="153">
        <f t="shared" si="2"/>
        <v>0</v>
      </c>
      <c r="H72" s="153">
        <f t="shared" si="3"/>
        <v>0</v>
      </c>
      <c r="I72" s="153">
        <f t="shared" si="4"/>
        <v>0</v>
      </c>
      <c r="J72" s="153">
        <f t="shared" si="5"/>
        <v>0</v>
      </c>
      <c r="K72" s="154">
        <f t="shared" si="6"/>
        <v>0</v>
      </c>
      <c r="L72" s="37">
        <f>'Combustão Móvel'!F102</f>
        <v>0</v>
      </c>
      <c r="M72" s="41">
        <f>'Combustão Móvel'!G102</f>
        <v>0</v>
      </c>
      <c r="N72" s="153"/>
      <c r="O72" s="153">
        <f t="shared" si="7"/>
        <v>0</v>
      </c>
      <c r="P72" s="153"/>
      <c r="Q72" s="153"/>
      <c r="R72" s="153">
        <f t="shared" si="8"/>
        <v>0</v>
      </c>
      <c r="S72" s="153">
        <f t="shared" si="9"/>
        <v>0</v>
      </c>
      <c r="T72" s="164">
        <f t="shared" si="10"/>
        <v>0</v>
      </c>
      <c r="U72" s="164">
        <f t="shared" si="11"/>
        <v>0</v>
      </c>
      <c r="V72" s="137" t="str">
        <f t="shared" si="15"/>
        <v/>
      </c>
      <c r="W72" s="137" t="str">
        <f t="shared" si="16"/>
        <v/>
      </c>
      <c r="X72" s="137" t="str">
        <f t="shared" si="17"/>
        <v/>
      </c>
    </row>
    <row r="73" spans="2:24" ht="15" thickBot="1" x14ac:dyDescent="0.4">
      <c r="B73" s="1146"/>
      <c r="C73" s="56">
        <f>'Combustão Móvel'!B103</f>
        <v>0</v>
      </c>
      <c r="D73" s="148" t="str">
        <f>'Combustão Móvel'!O103</f>
        <v/>
      </c>
      <c r="E73" s="152">
        <v>0</v>
      </c>
      <c r="F73" s="153">
        <f t="shared" si="1"/>
        <v>0</v>
      </c>
      <c r="G73" s="153">
        <f t="shared" si="2"/>
        <v>0</v>
      </c>
      <c r="H73" s="153">
        <f t="shared" si="3"/>
        <v>0</v>
      </c>
      <c r="I73" s="153">
        <f t="shared" si="4"/>
        <v>0</v>
      </c>
      <c r="J73" s="153">
        <f t="shared" si="5"/>
        <v>0</v>
      </c>
      <c r="K73" s="154">
        <f t="shared" si="6"/>
        <v>0</v>
      </c>
      <c r="L73" s="37">
        <f>'Combustão Móvel'!F103</f>
        <v>0</v>
      </c>
      <c r="M73" s="41">
        <f>'Combustão Móvel'!G103</f>
        <v>0</v>
      </c>
      <c r="N73" s="153"/>
      <c r="O73" s="153">
        <f t="shared" si="7"/>
        <v>0</v>
      </c>
      <c r="P73" s="153"/>
      <c r="Q73" s="153"/>
      <c r="R73" s="153">
        <f t="shared" si="8"/>
        <v>0</v>
      </c>
      <c r="S73" s="153">
        <f t="shared" si="9"/>
        <v>0</v>
      </c>
      <c r="T73" s="164">
        <f t="shared" si="10"/>
        <v>0</v>
      </c>
      <c r="U73" s="164">
        <f t="shared" si="11"/>
        <v>0</v>
      </c>
      <c r="V73" s="137" t="str">
        <f t="shared" si="15"/>
        <v/>
      </c>
      <c r="W73" s="137" t="str">
        <f t="shared" si="16"/>
        <v/>
      </c>
      <c r="X73" s="137" t="str">
        <f t="shared" si="17"/>
        <v/>
      </c>
    </row>
    <row r="74" spans="2:24" ht="15" thickBot="1" x14ac:dyDescent="0.4">
      <c r="B74" s="1146"/>
      <c r="C74" s="56">
        <f>'Combustão Móvel'!B104</f>
        <v>0</v>
      </c>
      <c r="D74" s="148" t="str">
        <f>'Combustão Móvel'!O104</f>
        <v/>
      </c>
      <c r="E74" s="152">
        <v>0</v>
      </c>
      <c r="F74" s="153">
        <f t="shared" si="1"/>
        <v>0</v>
      </c>
      <c r="G74" s="153">
        <f t="shared" si="2"/>
        <v>0</v>
      </c>
      <c r="H74" s="153">
        <f t="shared" si="3"/>
        <v>0</v>
      </c>
      <c r="I74" s="153">
        <f t="shared" si="4"/>
        <v>0</v>
      </c>
      <c r="J74" s="153">
        <f t="shared" si="5"/>
        <v>0</v>
      </c>
      <c r="K74" s="154">
        <f t="shared" si="6"/>
        <v>0</v>
      </c>
      <c r="L74" s="37">
        <f>'Combustão Móvel'!F104</f>
        <v>0</v>
      </c>
      <c r="M74" s="41">
        <f>'Combustão Móvel'!G104</f>
        <v>0</v>
      </c>
      <c r="N74" s="153"/>
      <c r="O74" s="153">
        <f t="shared" si="7"/>
        <v>0</v>
      </c>
      <c r="P74" s="153"/>
      <c r="Q74" s="153"/>
      <c r="R74" s="153">
        <f t="shared" si="8"/>
        <v>0</v>
      </c>
      <c r="S74" s="153">
        <f t="shared" si="9"/>
        <v>0</v>
      </c>
      <c r="T74" s="164">
        <f t="shared" si="10"/>
        <v>0</v>
      </c>
      <c r="U74" s="164">
        <f t="shared" si="11"/>
        <v>0</v>
      </c>
      <c r="V74" s="137" t="str">
        <f t="shared" si="15"/>
        <v/>
      </c>
      <c r="W74" s="137" t="str">
        <f t="shared" si="16"/>
        <v/>
      </c>
      <c r="X74" s="137" t="str">
        <f t="shared" si="17"/>
        <v/>
      </c>
    </row>
    <row r="75" spans="2:24" ht="15" thickBot="1" x14ac:dyDescent="0.4">
      <c r="B75" s="1146"/>
      <c r="C75" s="56">
        <f>'Combustão Móvel'!B105</f>
        <v>0</v>
      </c>
      <c r="D75" s="148" t="str">
        <f>'Combustão Móvel'!O105</f>
        <v/>
      </c>
      <c r="E75" s="152">
        <v>0</v>
      </c>
      <c r="F75" s="153">
        <f t="shared" si="1"/>
        <v>0</v>
      </c>
      <c r="G75" s="153">
        <f t="shared" si="2"/>
        <v>0</v>
      </c>
      <c r="H75" s="153">
        <f t="shared" si="3"/>
        <v>0</v>
      </c>
      <c r="I75" s="153">
        <f t="shared" si="4"/>
        <v>0</v>
      </c>
      <c r="J75" s="153">
        <f t="shared" si="5"/>
        <v>0</v>
      </c>
      <c r="K75" s="154">
        <f t="shared" si="6"/>
        <v>0</v>
      </c>
      <c r="L75" s="37">
        <f>'Combustão Móvel'!F105</f>
        <v>0</v>
      </c>
      <c r="M75" s="41">
        <f>'Combustão Móvel'!G105</f>
        <v>0</v>
      </c>
      <c r="N75" s="153"/>
      <c r="O75" s="153">
        <f t="shared" si="7"/>
        <v>0</v>
      </c>
      <c r="P75" s="153"/>
      <c r="Q75" s="153"/>
      <c r="R75" s="153">
        <f t="shared" si="8"/>
        <v>0</v>
      </c>
      <c r="S75" s="153">
        <f t="shared" si="9"/>
        <v>0</v>
      </c>
      <c r="T75" s="164">
        <f t="shared" si="10"/>
        <v>0</v>
      </c>
      <c r="U75" s="164">
        <f t="shared" si="11"/>
        <v>0</v>
      </c>
      <c r="V75" s="137" t="str">
        <f t="shared" si="15"/>
        <v/>
      </c>
      <c r="W75" s="137" t="str">
        <f t="shared" si="16"/>
        <v/>
      </c>
      <c r="X75" s="137" t="str">
        <f t="shared" si="17"/>
        <v/>
      </c>
    </row>
    <row r="76" spans="2:24" ht="15" thickBot="1" x14ac:dyDescent="0.4">
      <c r="B76" s="1146"/>
      <c r="C76" s="56">
        <f>'Combustão Móvel'!B106</f>
        <v>0</v>
      </c>
      <c r="D76" s="148" t="str">
        <f>'Combustão Móvel'!O106</f>
        <v/>
      </c>
      <c r="E76" s="152">
        <v>0</v>
      </c>
      <c r="F76" s="153">
        <f t="shared" si="1"/>
        <v>0</v>
      </c>
      <c r="G76" s="153">
        <f t="shared" si="2"/>
        <v>0</v>
      </c>
      <c r="H76" s="153">
        <f t="shared" si="3"/>
        <v>0</v>
      </c>
      <c r="I76" s="153">
        <f t="shared" si="4"/>
        <v>0</v>
      </c>
      <c r="J76" s="153">
        <f t="shared" si="5"/>
        <v>0</v>
      </c>
      <c r="K76" s="154">
        <f t="shared" si="6"/>
        <v>0</v>
      </c>
      <c r="L76" s="37">
        <f>'Combustão Móvel'!F106</f>
        <v>0</v>
      </c>
      <c r="M76" s="41">
        <f>'Combustão Móvel'!G106</f>
        <v>0</v>
      </c>
      <c r="N76" s="153"/>
      <c r="O76" s="153">
        <f t="shared" si="7"/>
        <v>0</v>
      </c>
      <c r="P76" s="153"/>
      <c r="Q76" s="153"/>
      <c r="R76" s="153">
        <f t="shared" si="8"/>
        <v>0</v>
      </c>
      <c r="S76" s="153">
        <f t="shared" si="9"/>
        <v>0</v>
      </c>
      <c r="T76" s="164">
        <f t="shared" si="10"/>
        <v>0</v>
      </c>
      <c r="U76" s="164">
        <f t="shared" si="11"/>
        <v>0</v>
      </c>
      <c r="V76" s="137" t="str">
        <f t="shared" si="15"/>
        <v/>
      </c>
      <c r="W76" s="137" t="str">
        <f t="shared" si="16"/>
        <v/>
      </c>
      <c r="X76" s="137" t="str">
        <f t="shared" si="17"/>
        <v/>
      </c>
    </row>
    <row r="77" spans="2:24" ht="15" thickBot="1" x14ac:dyDescent="0.4">
      <c r="B77" s="1146"/>
      <c r="C77" s="56">
        <f>'Combustão Móvel'!B107</f>
        <v>0</v>
      </c>
      <c r="D77" s="148" t="str">
        <f>'Combustão Móvel'!O107</f>
        <v/>
      </c>
      <c r="E77" s="152">
        <v>0</v>
      </c>
      <c r="F77" s="153">
        <f t="shared" si="1"/>
        <v>0</v>
      </c>
      <c r="G77" s="153">
        <f t="shared" si="2"/>
        <v>0</v>
      </c>
      <c r="H77" s="153">
        <f t="shared" si="3"/>
        <v>0</v>
      </c>
      <c r="I77" s="153">
        <f t="shared" si="4"/>
        <v>0</v>
      </c>
      <c r="J77" s="153">
        <f t="shared" si="5"/>
        <v>0</v>
      </c>
      <c r="K77" s="154">
        <f t="shared" si="6"/>
        <v>0</v>
      </c>
      <c r="L77" s="37">
        <f>'Combustão Móvel'!F107</f>
        <v>0</v>
      </c>
      <c r="M77" s="41">
        <f>'Combustão Móvel'!G107</f>
        <v>0</v>
      </c>
      <c r="N77" s="153"/>
      <c r="O77" s="153">
        <f t="shared" si="7"/>
        <v>0</v>
      </c>
      <c r="P77" s="153"/>
      <c r="Q77" s="153"/>
      <c r="R77" s="153">
        <f t="shared" si="8"/>
        <v>0</v>
      </c>
      <c r="S77" s="153">
        <f t="shared" si="9"/>
        <v>0</v>
      </c>
      <c r="T77" s="164">
        <f t="shared" si="10"/>
        <v>0</v>
      </c>
      <c r="U77" s="164">
        <f t="shared" si="11"/>
        <v>0</v>
      </c>
      <c r="V77" s="137" t="str">
        <f t="shared" si="15"/>
        <v/>
      </c>
      <c r="W77" s="137" t="str">
        <f t="shared" si="16"/>
        <v/>
      </c>
      <c r="X77" s="137" t="str">
        <f t="shared" si="17"/>
        <v/>
      </c>
    </row>
    <row r="78" spans="2:24" ht="15" thickBot="1" x14ac:dyDescent="0.4">
      <c r="B78" s="1146"/>
      <c r="C78" s="56">
        <f>'Combustão Móvel'!B108</f>
        <v>0</v>
      </c>
      <c r="D78" s="148" t="str">
        <f>'Combustão Móvel'!O108</f>
        <v/>
      </c>
      <c r="E78" s="152">
        <v>0</v>
      </c>
      <c r="F78" s="153">
        <f t="shared" si="1"/>
        <v>0</v>
      </c>
      <c r="G78" s="153">
        <f t="shared" si="2"/>
        <v>0</v>
      </c>
      <c r="H78" s="153">
        <f t="shared" si="3"/>
        <v>0</v>
      </c>
      <c r="I78" s="153">
        <f t="shared" si="4"/>
        <v>0</v>
      </c>
      <c r="J78" s="153">
        <f t="shared" si="5"/>
        <v>0</v>
      </c>
      <c r="K78" s="154">
        <f t="shared" si="6"/>
        <v>0</v>
      </c>
      <c r="L78" s="37">
        <f>'Combustão Móvel'!F108</f>
        <v>0</v>
      </c>
      <c r="M78" s="41">
        <f>'Combustão Móvel'!G108</f>
        <v>0</v>
      </c>
      <c r="N78" s="153"/>
      <c r="O78" s="153">
        <f t="shared" si="7"/>
        <v>0</v>
      </c>
      <c r="P78" s="153"/>
      <c r="Q78" s="153"/>
      <c r="R78" s="153">
        <f t="shared" si="8"/>
        <v>0</v>
      </c>
      <c r="S78" s="153">
        <f t="shared" si="9"/>
        <v>0</v>
      </c>
      <c r="T78" s="164">
        <f t="shared" si="10"/>
        <v>0</v>
      </c>
      <c r="U78" s="164">
        <f t="shared" si="11"/>
        <v>0</v>
      </c>
      <c r="V78" s="137" t="str">
        <f t="shared" si="15"/>
        <v/>
      </c>
      <c r="W78" s="137" t="str">
        <f t="shared" si="16"/>
        <v/>
      </c>
      <c r="X78" s="137" t="str">
        <f t="shared" si="17"/>
        <v/>
      </c>
    </row>
    <row r="79" spans="2:24" ht="15" thickBot="1" x14ac:dyDescent="0.4">
      <c r="B79" s="1146"/>
      <c r="C79" s="56">
        <f>'Combustão Móvel'!B109</f>
        <v>0</v>
      </c>
      <c r="D79" s="148" t="str">
        <f>'Combustão Móvel'!O109</f>
        <v/>
      </c>
      <c r="E79" s="152">
        <v>0</v>
      </c>
      <c r="F79" s="153">
        <f t="shared" si="1"/>
        <v>0</v>
      </c>
      <c r="G79" s="153">
        <f t="shared" si="2"/>
        <v>0</v>
      </c>
      <c r="H79" s="153">
        <f t="shared" si="3"/>
        <v>0</v>
      </c>
      <c r="I79" s="153">
        <f t="shared" si="4"/>
        <v>0</v>
      </c>
      <c r="J79" s="153">
        <f t="shared" si="5"/>
        <v>0</v>
      </c>
      <c r="K79" s="154">
        <f t="shared" si="6"/>
        <v>0</v>
      </c>
      <c r="L79" s="37">
        <f>'Combustão Móvel'!F109</f>
        <v>0</v>
      </c>
      <c r="M79" s="41">
        <f>'Combustão Móvel'!G109</f>
        <v>0</v>
      </c>
      <c r="N79" s="153"/>
      <c r="O79" s="153">
        <f t="shared" si="7"/>
        <v>0</v>
      </c>
      <c r="P79" s="153"/>
      <c r="Q79" s="153"/>
      <c r="R79" s="153">
        <f t="shared" si="8"/>
        <v>0</v>
      </c>
      <c r="S79" s="153">
        <f t="shared" si="9"/>
        <v>0</v>
      </c>
      <c r="T79" s="164">
        <f t="shared" si="10"/>
        <v>0</v>
      </c>
      <c r="U79" s="164">
        <f t="shared" si="11"/>
        <v>0</v>
      </c>
      <c r="V79" s="137" t="str">
        <f t="shared" si="15"/>
        <v/>
      </c>
      <c r="W79" s="137" t="str">
        <f t="shared" si="16"/>
        <v/>
      </c>
      <c r="X79" s="137" t="str">
        <f t="shared" si="17"/>
        <v/>
      </c>
    </row>
    <row r="80" spans="2:24" ht="15" thickBot="1" x14ac:dyDescent="0.4">
      <c r="B80" s="1146"/>
      <c r="C80" s="56">
        <f>'Combustão Móvel'!B110</f>
        <v>0</v>
      </c>
      <c r="D80" s="148" t="str">
        <f>'Combustão Móvel'!O110</f>
        <v/>
      </c>
      <c r="E80" s="152">
        <v>0</v>
      </c>
      <c r="F80" s="153">
        <f t="shared" si="1"/>
        <v>0</v>
      </c>
      <c r="G80" s="153">
        <f t="shared" si="2"/>
        <v>0</v>
      </c>
      <c r="H80" s="153">
        <f t="shared" si="3"/>
        <v>0</v>
      </c>
      <c r="I80" s="153">
        <f t="shared" si="4"/>
        <v>0</v>
      </c>
      <c r="J80" s="153">
        <f t="shared" si="5"/>
        <v>0</v>
      </c>
      <c r="K80" s="154">
        <f t="shared" si="6"/>
        <v>0</v>
      </c>
      <c r="L80" s="37">
        <f>'Combustão Móvel'!F110</f>
        <v>0</v>
      </c>
      <c r="M80" s="41">
        <f>'Combustão Móvel'!G110</f>
        <v>0</v>
      </c>
      <c r="N80" s="153"/>
      <c r="O80" s="153">
        <f t="shared" si="7"/>
        <v>0</v>
      </c>
      <c r="P80" s="153"/>
      <c r="Q80" s="153"/>
      <c r="R80" s="153">
        <f t="shared" si="8"/>
        <v>0</v>
      </c>
      <c r="S80" s="153">
        <f t="shared" si="9"/>
        <v>0</v>
      </c>
      <c r="T80" s="164">
        <f t="shared" si="10"/>
        <v>0</v>
      </c>
      <c r="U80" s="164">
        <f t="shared" si="11"/>
        <v>0</v>
      </c>
      <c r="V80" s="137" t="str">
        <f t="shared" si="15"/>
        <v/>
      </c>
      <c r="W80" s="137" t="str">
        <f t="shared" si="16"/>
        <v/>
      </c>
      <c r="X80" s="137" t="str">
        <f t="shared" si="17"/>
        <v/>
      </c>
    </row>
    <row r="81" spans="2:24" ht="15" thickBot="1" x14ac:dyDescent="0.4">
      <c r="B81" s="1146"/>
      <c r="C81" s="56">
        <f>'Combustão Móvel'!B111</f>
        <v>0</v>
      </c>
      <c r="D81" s="148" t="str">
        <f>'Combustão Móvel'!O111</f>
        <v/>
      </c>
      <c r="E81" s="152">
        <v>0</v>
      </c>
      <c r="F81" s="153">
        <f t="shared" si="1"/>
        <v>0</v>
      </c>
      <c r="G81" s="153">
        <f t="shared" si="2"/>
        <v>0</v>
      </c>
      <c r="H81" s="153">
        <f t="shared" si="3"/>
        <v>0</v>
      </c>
      <c r="I81" s="153">
        <f t="shared" si="4"/>
        <v>0</v>
      </c>
      <c r="J81" s="153">
        <f t="shared" si="5"/>
        <v>0</v>
      </c>
      <c r="K81" s="154">
        <f t="shared" si="6"/>
        <v>0</v>
      </c>
      <c r="L81" s="37">
        <f>'Combustão Móvel'!F111</f>
        <v>0</v>
      </c>
      <c r="M81" s="41">
        <f>'Combustão Móvel'!G111</f>
        <v>0</v>
      </c>
      <c r="N81" s="153"/>
      <c r="O81" s="153">
        <f t="shared" si="7"/>
        <v>0</v>
      </c>
      <c r="P81" s="153"/>
      <c r="Q81" s="153"/>
      <c r="R81" s="153">
        <f t="shared" si="8"/>
        <v>0</v>
      </c>
      <c r="S81" s="153">
        <f t="shared" si="9"/>
        <v>0</v>
      </c>
      <c r="T81" s="164">
        <f t="shared" si="10"/>
        <v>0</v>
      </c>
      <c r="U81" s="164">
        <f t="shared" si="11"/>
        <v>0</v>
      </c>
      <c r="V81" s="137" t="str">
        <f t="shared" si="15"/>
        <v/>
      </c>
      <c r="W81" s="137" t="str">
        <f t="shared" si="16"/>
        <v/>
      </c>
      <c r="X81" s="137" t="str">
        <f t="shared" si="17"/>
        <v/>
      </c>
    </row>
    <row r="82" spans="2:24" ht="15" thickBot="1" x14ac:dyDescent="0.4">
      <c r="B82" s="1146"/>
      <c r="C82" s="56">
        <f>'Combustão Móvel'!B112</f>
        <v>0</v>
      </c>
      <c r="D82" s="148" t="str">
        <f>'Combustão Móvel'!O112</f>
        <v/>
      </c>
      <c r="E82" s="152">
        <v>0</v>
      </c>
      <c r="F82" s="153">
        <f t="shared" si="1"/>
        <v>0</v>
      </c>
      <c r="G82" s="153">
        <f t="shared" si="2"/>
        <v>0</v>
      </c>
      <c r="H82" s="153">
        <f t="shared" si="3"/>
        <v>0</v>
      </c>
      <c r="I82" s="153">
        <f t="shared" si="4"/>
        <v>0</v>
      </c>
      <c r="J82" s="153">
        <f t="shared" si="5"/>
        <v>0</v>
      </c>
      <c r="K82" s="154">
        <f t="shared" si="6"/>
        <v>0</v>
      </c>
      <c r="L82" s="37">
        <f>'Combustão Móvel'!F112</f>
        <v>0</v>
      </c>
      <c r="M82" s="41">
        <f>'Combustão Móvel'!G112</f>
        <v>0</v>
      </c>
      <c r="N82" s="153"/>
      <c r="O82" s="153">
        <f t="shared" si="7"/>
        <v>0</v>
      </c>
      <c r="P82" s="153"/>
      <c r="Q82" s="153"/>
      <c r="R82" s="153">
        <f t="shared" si="8"/>
        <v>0</v>
      </c>
      <c r="S82" s="153">
        <f t="shared" si="9"/>
        <v>0</v>
      </c>
      <c r="T82" s="164">
        <f t="shared" si="10"/>
        <v>0</v>
      </c>
      <c r="U82" s="164">
        <f t="shared" si="11"/>
        <v>0</v>
      </c>
      <c r="V82" s="137" t="str">
        <f t="shared" si="15"/>
        <v/>
      </c>
      <c r="W82" s="137" t="str">
        <f t="shared" si="16"/>
        <v/>
      </c>
      <c r="X82" s="137" t="str">
        <f t="shared" si="17"/>
        <v/>
      </c>
    </row>
    <row r="83" spans="2:24" ht="15" thickBot="1" x14ac:dyDescent="0.4">
      <c r="B83" s="1146"/>
      <c r="C83" s="56">
        <f>'Combustão Móvel'!B113</f>
        <v>0</v>
      </c>
      <c r="D83" s="148" t="str">
        <f>'Combustão Móvel'!O113</f>
        <v/>
      </c>
      <c r="E83" s="152">
        <v>0</v>
      </c>
      <c r="F83" s="153">
        <f t="shared" si="1"/>
        <v>0</v>
      </c>
      <c r="G83" s="153">
        <f t="shared" si="2"/>
        <v>0</v>
      </c>
      <c r="H83" s="153">
        <f t="shared" si="3"/>
        <v>0</v>
      </c>
      <c r="I83" s="153">
        <f t="shared" si="4"/>
        <v>0</v>
      </c>
      <c r="J83" s="153">
        <f t="shared" si="5"/>
        <v>0</v>
      </c>
      <c r="K83" s="154">
        <f t="shared" si="6"/>
        <v>0</v>
      </c>
      <c r="L83" s="37">
        <f>'Combustão Móvel'!F113</f>
        <v>0</v>
      </c>
      <c r="M83" s="41">
        <f>'Combustão Móvel'!G113</f>
        <v>0</v>
      </c>
      <c r="N83" s="153"/>
      <c r="O83" s="153">
        <f t="shared" si="7"/>
        <v>0</v>
      </c>
      <c r="P83" s="153"/>
      <c r="Q83" s="153"/>
      <c r="R83" s="153">
        <f t="shared" si="8"/>
        <v>0</v>
      </c>
      <c r="S83" s="153">
        <f t="shared" si="9"/>
        <v>0</v>
      </c>
      <c r="T83" s="164">
        <f t="shared" si="10"/>
        <v>0</v>
      </c>
      <c r="U83" s="164">
        <f t="shared" si="11"/>
        <v>0</v>
      </c>
      <c r="V83" s="137" t="str">
        <f t="shared" si="15"/>
        <v/>
      </c>
      <c r="W83" s="137" t="str">
        <f t="shared" si="16"/>
        <v/>
      </c>
      <c r="X83" s="137" t="str">
        <f t="shared" si="17"/>
        <v/>
      </c>
    </row>
    <row r="84" spans="2:24" ht="15" thickBot="1" x14ac:dyDescent="0.4">
      <c r="B84" s="1146"/>
      <c r="C84" s="56">
        <f>'Combustão Móvel'!B114</f>
        <v>0</v>
      </c>
      <c r="D84" s="148" t="str">
        <f>'Combustão Móvel'!O114</f>
        <v/>
      </c>
      <c r="E84" s="152">
        <v>0</v>
      </c>
      <c r="F84" s="153">
        <f t="shared" si="1"/>
        <v>0</v>
      </c>
      <c r="G84" s="153">
        <f t="shared" si="2"/>
        <v>0</v>
      </c>
      <c r="H84" s="153">
        <f t="shared" si="3"/>
        <v>0</v>
      </c>
      <c r="I84" s="153">
        <f t="shared" si="4"/>
        <v>0</v>
      </c>
      <c r="J84" s="153">
        <f t="shared" si="5"/>
        <v>0</v>
      </c>
      <c r="K84" s="154">
        <f t="shared" si="6"/>
        <v>0</v>
      </c>
      <c r="L84" s="37">
        <f>'Combustão Móvel'!F114</f>
        <v>0</v>
      </c>
      <c r="M84" s="41">
        <f>'Combustão Móvel'!G114</f>
        <v>0</v>
      </c>
      <c r="N84" s="153"/>
      <c r="O84" s="153">
        <f t="shared" si="7"/>
        <v>0</v>
      </c>
      <c r="P84" s="153"/>
      <c r="Q84" s="153"/>
      <c r="R84" s="153">
        <f t="shared" si="8"/>
        <v>0</v>
      </c>
      <c r="S84" s="153">
        <f t="shared" si="9"/>
        <v>0</v>
      </c>
      <c r="T84" s="164">
        <f t="shared" si="10"/>
        <v>0</v>
      </c>
      <c r="U84" s="164">
        <f t="shared" si="11"/>
        <v>0</v>
      </c>
      <c r="V84" s="137" t="str">
        <f t="shared" si="15"/>
        <v/>
      </c>
      <c r="W84" s="137" t="str">
        <f t="shared" si="16"/>
        <v/>
      </c>
      <c r="X84" s="137" t="str">
        <f t="shared" si="17"/>
        <v/>
      </c>
    </row>
    <row r="85" spans="2:24" ht="15" thickBot="1" x14ac:dyDescent="0.4">
      <c r="B85" s="1146"/>
      <c r="C85" s="56">
        <f>'Combustão Móvel'!B115</f>
        <v>0</v>
      </c>
      <c r="D85" s="148" t="str">
        <f>'Combustão Móvel'!O115</f>
        <v/>
      </c>
      <c r="E85" s="152">
        <v>0</v>
      </c>
      <c r="F85" s="153">
        <f t="shared" si="1"/>
        <v>0</v>
      </c>
      <c r="G85" s="153">
        <f t="shared" si="2"/>
        <v>0</v>
      </c>
      <c r="H85" s="153">
        <f t="shared" si="3"/>
        <v>0</v>
      </c>
      <c r="I85" s="153">
        <f t="shared" si="4"/>
        <v>0</v>
      </c>
      <c r="J85" s="153">
        <f t="shared" si="5"/>
        <v>0</v>
      </c>
      <c r="K85" s="154">
        <f t="shared" si="6"/>
        <v>0</v>
      </c>
      <c r="L85" s="37">
        <f>'Combustão Móvel'!F115</f>
        <v>0</v>
      </c>
      <c r="M85" s="41">
        <f>'Combustão Móvel'!G115</f>
        <v>0</v>
      </c>
      <c r="N85" s="153"/>
      <c r="O85" s="153">
        <f t="shared" si="7"/>
        <v>0</v>
      </c>
      <c r="P85" s="153"/>
      <c r="Q85" s="153"/>
      <c r="R85" s="153">
        <f t="shared" si="8"/>
        <v>0</v>
      </c>
      <c r="S85" s="153">
        <f t="shared" si="9"/>
        <v>0</v>
      </c>
      <c r="T85" s="164">
        <f t="shared" si="10"/>
        <v>0</v>
      </c>
      <c r="U85" s="164">
        <f t="shared" si="11"/>
        <v>0</v>
      </c>
      <c r="V85" s="137" t="str">
        <f t="shared" si="15"/>
        <v/>
      </c>
      <c r="W85" s="137" t="str">
        <f t="shared" si="16"/>
        <v/>
      </c>
      <c r="X85" s="137" t="str">
        <f t="shared" si="17"/>
        <v/>
      </c>
    </row>
    <row r="86" spans="2:24" ht="15" thickBot="1" x14ac:dyDescent="0.4">
      <c r="B86" s="1146"/>
      <c r="C86" s="56">
        <f>'Combustão Móvel'!B116</f>
        <v>0</v>
      </c>
      <c r="D86" s="148" t="str">
        <f>'Combustão Móvel'!O116</f>
        <v/>
      </c>
      <c r="E86" s="152">
        <v>0</v>
      </c>
      <c r="F86" s="153">
        <f t="shared" ref="F86:F120" si="18">IF(C86=$F$20,D86,0)</f>
        <v>0</v>
      </c>
      <c r="G86" s="153">
        <f t="shared" ref="G86:G120" si="19">IF(C86=$G$20,D86,0)</f>
        <v>0</v>
      </c>
      <c r="H86" s="153">
        <f t="shared" ref="H86:H120" si="20">IF(C86=$H$20,D86,0)</f>
        <v>0</v>
      </c>
      <c r="I86" s="153">
        <f t="shared" ref="I86:I120" si="21">IF(C86=$I$20,E86,0)</f>
        <v>0</v>
      </c>
      <c r="J86" s="153">
        <f t="shared" ref="J86:J120" si="22">IF(C86=$J$20,E86,0)</f>
        <v>0</v>
      </c>
      <c r="K86" s="154">
        <f t="shared" ref="K86:K120" si="23">IF(C86=$K$20,E86,0)</f>
        <v>0</v>
      </c>
      <c r="L86" s="37">
        <f>'Combustão Móvel'!F116</f>
        <v>0</v>
      </c>
      <c r="M86" s="41">
        <f>'Combustão Móvel'!G116</f>
        <v>0</v>
      </c>
      <c r="N86" s="153"/>
      <c r="O86" s="153">
        <f t="shared" ref="O86:O149" si="24">IF($M86=$O$19,IF($L86=$B$14,$D86,0),0)</f>
        <v>0</v>
      </c>
      <c r="P86" s="153"/>
      <c r="Q86" s="153"/>
      <c r="R86" s="153">
        <f t="shared" ref="R86:R149" si="25">IF($M86=$R$19,IF($L86=$B$14,$D86,0),0)</f>
        <v>0</v>
      </c>
      <c r="S86" s="153">
        <f t="shared" ref="S86:S149" si="26">IF($M86=$S$19,IF($L86=$B$14,$D86,0),0)</f>
        <v>0</v>
      </c>
      <c r="T86" s="164">
        <f t="shared" ref="T86:T149" si="27">IF($L86=$T$20,$D86,0)</f>
        <v>0</v>
      </c>
      <c r="U86" s="164">
        <f t="shared" ref="U86:U149" si="28">IF($L86=$U$20,$D86,0)</f>
        <v>0</v>
      </c>
      <c r="V86" s="137" t="str">
        <f t="shared" si="15"/>
        <v/>
      </c>
      <c r="W86" s="137" t="str">
        <f t="shared" si="16"/>
        <v/>
      </c>
      <c r="X86" s="137" t="str">
        <f t="shared" si="17"/>
        <v/>
      </c>
    </row>
    <row r="87" spans="2:24" ht="15" thickBot="1" x14ac:dyDescent="0.4">
      <c r="B87" s="1146"/>
      <c r="C87" s="56">
        <f>'Combustão Móvel'!B117</f>
        <v>0</v>
      </c>
      <c r="D87" s="148" t="str">
        <f>'Combustão Móvel'!O117</f>
        <v/>
      </c>
      <c r="E87" s="152">
        <v>0</v>
      </c>
      <c r="F87" s="153">
        <f t="shared" si="18"/>
        <v>0</v>
      </c>
      <c r="G87" s="153">
        <f t="shared" si="19"/>
        <v>0</v>
      </c>
      <c r="H87" s="153">
        <f t="shared" si="20"/>
        <v>0</v>
      </c>
      <c r="I87" s="153">
        <f t="shared" si="21"/>
        <v>0</v>
      </c>
      <c r="J87" s="153">
        <f t="shared" si="22"/>
        <v>0</v>
      </c>
      <c r="K87" s="154">
        <f t="shared" si="23"/>
        <v>0</v>
      </c>
      <c r="L87" s="37">
        <f>'Combustão Móvel'!F117</f>
        <v>0</v>
      </c>
      <c r="M87" s="41">
        <f>'Combustão Móvel'!G117</f>
        <v>0</v>
      </c>
      <c r="N87" s="153"/>
      <c r="O87" s="153">
        <f t="shared" si="24"/>
        <v>0</v>
      </c>
      <c r="P87" s="153"/>
      <c r="Q87" s="153"/>
      <c r="R87" s="153">
        <f t="shared" si="25"/>
        <v>0</v>
      </c>
      <c r="S87" s="153">
        <f t="shared" si="26"/>
        <v>0</v>
      </c>
      <c r="T87" s="164">
        <f t="shared" si="27"/>
        <v>0</v>
      </c>
      <c r="U87" s="164">
        <f t="shared" si="28"/>
        <v>0</v>
      </c>
      <c r="V87" s="137" t="str">
        <f t="shared" si="15"/>
        <v/>
      </c>
      <c r="W87" s="137" t="str">
        <f t="shared" si="16"/>
        <v/>
      </c>
      <c r="X87" s="137" t="str">
        <f t="shared" si="17"/>
        <v/>
      </c>
    </row>
    <row r="88" spans="2:24" ht="15" thickBot="1" x14ac:dyDescent="0.4">
      <c r="B88" s="1146"/>
      <c r="C88" s="56">
        <f>'Combustão Móvel'!B118</f>
        <v>0</v>
      </c>
      <c r="D88" s="148" t="str">
        <f>'Combustão Móvel'!O118</f>
        <v/>
      </c>
      <c r="E88" s="152">
        <v>0</v>
      </c>
      <c r="F88" s="153">
        <f t="shared" si="18"/>
        <v>0</v>
      </c>
      <c r="G88" s="153">
        <f t="shared" si="19"/>
        <v>0</v>
      </c>
      <c r="H88" s="153">
        <f t="shared" si="20"/>
        <v>0</v>
      </c>
      <c r="I88" s="153">
        <f t="shared" si="21"/>
        <v>0</v>
      </c>
      <c r="J88" s="153">
        <f t="shared" si="22"/>
        <v>0</v>
      </c>
      <c r="K88" s="154">
        <f t="shared" si="23"/>
        <v>0</v>
      </c>
      <c r="L88" s="37">
        <f>'Combustão Móvel'!F118</f>
        <v>0</v>
      </c>
      <c r="M88" s="41">
        <f>'Combustão Móvel'!G118</f>
        <v>0</v>
      </c>
      <c r="N88" s="153"/>
      <c r="O88" s="153">
        <f t="shared" si="24"/>
        <v>0</v>
      </c>
      <c r="P88" s="153"/>
      <c r="Q88" s="153"/>
      <c r="R88" s="153">
        <f t="shared" si="25"/>
        <v>0</v>
      </c>
      <c r="S88" s="153">
        <f t="shared" si="26"/>
        <v>0</v>
      </c>
      <c r="T88" s="164">
        <f t="shared" si="27"/>
        <v>0</v>
      </c>
      <c r="U88" s="164">
        <f t="shared" si="28"/>
        <v>0</v>
      </c>
      <c r="V88" s="137" t="str">
        <f t="shared" si="15"/>
        <v/>
      </c>
      <c r="W88" s="137" t="str">
        <f t="shared" si="16"/>
        <v/>
      </c>
      <c r="X88" s="137" t="str">
        <f t="shared" si="17"/>
        <v/>
      </c>
    </row>
    <row r="89" spans="2:24" ht="15" thickBot="1" x14ac:dyDescent="0.4">
      <c r="B89" s="1146"/>
      <c r="C89" s="56">
        <f>'Combustão Móvel'!B119</f>
        <v>0</v>
      </c>
      <c r="D89" s="148" t="str">
        <f>'Combustão Móvel'!O119</f>
        <v/>
      </c>
      <c r="E89" s="152">
        <v>0</v>
      </c>
      <c r="F89" s="153">
        <f t="shared" si="18"/>
        <v>0</v>
      </c>
      <c r="G89" s="153">
        <f t="shared" si="19"/>
        <v>0</v>
      </c>
      <c r="H89" s="153">
        <f t="shared" si="20"/>
        <v>0</v>
      </c>
      <c r="I89" s="153">
        <f t="shared" si="21"/>
        <v>0</v>
      </c>
      <c r="J89" s="153">
        <f t="shared" si="22"/>
        <v>0</v>
      </c>
      <c r="K89" s="154">
        <f t="shared" si="23"/>
        <v>0</v>
      </c>
      <c r="L89" s="37">
        <f>'Combustão Móvel'!F119</f>
        <v>0</v>
      </c>
      <c r="M89" s="41">
        <f>'Combustão Móvel'!G119</f>
        <v>0</v>
      </c>
      <c r="N89" s="153"/>
      <c r="O89" s="153">
        <f t="shared" si="24"/>
        <v>0</v>
      </c>
      <c r="P89" s="153"/>
      <c r="Q89" s="153"/>
      <c r="R89" s="153">
        <f t="shared" si="25"/>
        <v>0</v>
      </c>
      <c r="S89" s="153">
        <f t="shared" si="26"/>
        <v>0</v>
      </c>
      <c r="T89" s="164">
        <f t="shared" si="27"/>
        <v>0</v>
      </c>
      <c r="U89" s="164">
        <f t="shared" si="28"/>
        <v>0</v>
      </c>
      <c r="V89" s="137" t="str">
        <f t="shared" ref="V89:V152" si="29">IF($L89="Não",F89,"")</f>
        <v/>
      </c>
      <c r="W89" s="137" t="str">
        <f t="shared" ref="W89:W152" si="30">IF($L89="Não",G89,"")</f>
        <v/>
      </c>
      <c r="X89" s="137" t="str">
        <f t="shared" ref="X89:X152" si="31">IF($L89="Não",H89,"")</f>
        <v/>
      </c>
    </row>
    <row r="90" spans="2:24" ht="15" thickBot="1" x14ac:dyDescent="0.4">
      <c r="B90" s="1146"/>
      <c r="C90" s="56">
        <f>'Combustão Móvel'!B120</f>
        <v>0</v>
      </c>
      <c r="D90" s="148" t="str">
        <f>'Combustão Móvel'!O120</f>
        <v/>
      </c>
      <c r="E90" s="152">
        <v>0</v>
      </c>
      <c r="F90" s="153">
        <f t="shared" si="18"/>
        <v>0</v>
      </c>
      <c r="G90" s="153">
        <f t="shared" si="19"/>
        <v>0</v>
      </c>
      <c r="H90" s="153">
        <f t="shared" si="20"/>
        <v>0</v>
      </c>
      <c r="I90" s="153">
        <f t="shared" si="21"/>
        <v>0</v>
      </c>
      <c r="J90" s="153">
        <f t="shared" si="22"/>
        <v>0</v>
      </c>
      <c r="K90" s="154">
        <f t="shared" si="23"/>
        <v>0</v>
      </c>
      <c r="L90" s="37">
        <f>'Combustão Móvel'!F120</f>
        <v>0</v>
      </c>
      <c r="M90" s="41">
        <f>'Combustão Móvel'!G120</f>
        <v>0</v>
      </c>
      <c r="N90" s="153"/>
      <c r="O90" s="153">
        <f t="shared" si="24"/>
        <v>0</v>
      </c>
      <c r="P90" s="153"/>
      <c r="Q90" s="153"/>
      <c r="R90" s="153">
        <f t="shared" si="25"/>
        <v>0</v>
      </c>
      <c r="S90" s="153">
        <f t="shared" si="26"/>
        <v>0</v>
      </c>
      <c r="T90" s="164">
        <f t="shared" si="27"/>
        <v>0</v>
      </c>
      <c r="U90" s="164">
        <f t="shared" si="28"/>
        <v>0</v>
      </c>
      <c r="V90" s="137" t="str">
        <f t="shared" si="29"/>
        <v/>
      </c>
      <c r="W90" s="137" t="str">
        <f t="shared" si="30"/>
        <v/>
      </c>
      <c r="X90" s="137" t="str">
        <f t="shared" si="31"/>
        <v/>
      </c>
    </row>
    <row r="91" spans="2:24" ht="15" thickBot="1" x14ac:dyDescent="0.4">
      <c r="B91" s="1146"/>
      <c r="C91" s="56">
        <f>'Combustão Móvel'!B121</f>
        <v>0</v>
      </c>
      <c r="D91" s="148" t="str">
        <f>'Combustão Móvel'!O121</f>
        <v/>
      </c>
      <c r="E91" s="152">
        <v>0</v>
      </c>
      <c r="F91" s="153">
        <f t="shared" si="18"/>
        <v>0</v>
      </c>
      <c r="G91" s="153">
        <f t="shared" si="19"/>
        <v>0</v>
      </c>
      <c r="H91" s="153">
        <f t="shared" si="20"/>
        <v>0</v>
      </c>
      <c r="I91" s="153">
        <f t="shared" si="21"/>
        <v>0</v>
      </c>
      <c r="J91" s="153">
        <f t="shared" si="22"/>
        <v>0</v>
      </c>
      <c r="K91" s="154">
        <f t="shared" si="23"/>
        <v>0</v>
      </c>
      <c r="L91" s="37">
        <f>'Combustão Móvel'!F121</f>
        <v>0</v>
      </c>
      <c r="M91" s="41">
        <f>'Combustão Móvel'!G121</f>
        <v>0</v>
      </c>
      <c r="N91" s="153"/>
      <c r="O91" s="153">
        <f t="shared" si="24"/>
        <v>0</v>
      </c>
      <c r="P91" s="153"/>
      <c r="Q91" s="153"/>
      <c r="R91" s="153">
        <f t="shared" si="25"/>
        <v>0</v>
      </c>
      <c r="S91" s="153">
        <f t="shared" si="26"/>
        <v>0</v>
      </c>
      <c r="T91" s="164">
        <f t="shared" si="27"/>
        <v>0</v>
      </c>
      <c r="U91" s="164">
        <f t="shared" si="28"/>
        <v>0</v>
      </c>
      <c r="V91" s="137" t="str">
        <f t="shared" si="29"/>
        <v/>
      </c>
      <c r="W91" s="137" t="str">
        <f t="shared" si="30"/>
        <v/>
      </c>
      <c r="X91" s="137" t="str">
        <f t="shared" si="31"/>
        <v/>
      </c>
    </row>
    <row r="92" spans="2:24" ht="15" thickBot="1" x14ac:dyDescent="0.4">
      <c r="B92" s="1146"/>
      <c r="C92" s="56">
        <f>'Combustão Móvel'!B122</f>
        <v>0</v>
      </c>
      <c r="D92" s="148" t="str">
        <f>'Combustão Móvel'!O122</f>
        <v/>
      </c>
      <c r="E92" s="152">
        <v>0</v>
      </c>
      <c r="F92" s="153">
        <f t="shared" si="18"/>
        <v>0</v>
      </c>
      <c r="G92" s="153">
        <f t="shared" si="19"/>
        <v>0</v>
      </c>
      <c r="H92" s="153">
        <f t="shared" si="20"/>
        <v>0</v>
      </c>
      <c r="I92" s="153">
        <f t="shared" si="21"/>
        <v>0</v>
      </c>
      <c r="J92" s="153">
        <f t="shared" si="22"/>
        <v>0</v>
      </c>
      <c r="K92" s="154">
        <f t="shared" si="23"/>
        <v>0</v>
      </c>
      <c r="L92" s="37">
        <f>'Combustão Móvel'!F122</f>
        <v>0</v>
      </c>
      <c r="M92" s="41">
        <f>'Combustão Móvel'!G122</f>
        <v>0</v>
      </c>
      <c r="N92" s="153"/>
      <c r="O92" s="153">
        <f t="shared" si="24"/>
        <v>0</v>
      </c>
      <c r="P92" s="153"/>
      <c r="Q92" s="153"/>
      <c r="R92" s="153">
        <f t="shared" si="25"/>
        <v>0</v>
      </c>
      <c r="S92" s="153">
        <f t="shared" si="26"/>
        <v>0</v>
      </c>
      <c r="T92" s="164">
        <f t="shared" si="27"/>
        <v>0</v>
      </c>
      <c r="U92" s="164">
        <f t="shared" si="28"/>
        <v>0</v>
      </c>
      <c r="V92" s="137" t="str">
        <f t="shared" si="29"/>
        <v/>
      </c>
      <c r="W92" s="137" t="str">
        <f t="shared" si="30"/>
        <v/>
      </c>
      <c r="X92" s="137" t="str">
        <f t="shared" si="31"/>
        <v/>
      </c>
    </row>
    <row r="93" spans="2:24" ht="15" thickBot="1" x14ac:dyDescent="0.4">
      <c r="B93" s="1146"/>
      <c r="C93" s="56">
        <f>'Combustão Móvel'!B123</f>
        <v>0</v>
      </c>
      <c r="D93" s="148" t="str">
        <f>'Combustão Móvel'!O123</f>
        <v/>
      </c>
      <c r="E93" s="152">
        <v>0</v>
      </c>
      <c r="F93" s="153">
        <f t="shared" si="18"/>
        <v>0</v>
      </c>
      <c r="G93" s="153">
        <f t="shared" si="19"/>
        <v>0</v>
      </c>
      <c r="H93" s="153">
        <f t="shared" si="20"/>
        <v>0</v>
      </c>
      <c r="I93" s="153">
        <f t="shared" si="21"/>
        <v>0</v>
      </c>
      <c r="J93" s="153">
        <f t="shared" si="22"/>
        <v>0</v>
      </c>
      <c r="K93" s="154">
        <f t="shared" si="23"/>
        <v>0</v>
      </c>
      <c r="L93" s="37">
        <f>'Combustão Móvel'!F123</f>
        <v>0</v>
      </c>
      <c r="M93" s="41">
        <f>'Combustão Móvel'!G123</f>
        <v>0</v>
      </c>
      <c r="N93" s="153"/>
      <c r="O93" s="153">
        <f t="shared" si="24"/>
        <v>0</v>
      </c>
      <c r="P93" s="153"/>
      <c r="Q93" s="153"/>
      <c r="R93" s="153">
        <f t="shared" si="25"/>
        <v>0</v>
      </c>
      <c r="S93" s="153">
        <f t="shared" si="26"/>
        <v>0</v>
      </c>
      <c r="T93" s="164">
        <f t="shared" si="27"/>
        <v>0</v>
      </c>
      <c r="U93" s="164">
        <f t="shared" si="28"/>
        <v>0</v>
      </c>
      <c r="V93" s="137" t="str">
        <f t="shared" si="29"/>
        <v/>
      </c>
      <c r="W93" s="137" t="str">
        <f t="shared" si="30"/>
        <v/>
      </c>
      <c r="X93" s="137" t="str">
        <f t="shared" si="31"/>
        <v/>
      </c>
    </row>
    <row r="94" spans="2:24" ht="15" thickBot="1" x14ac:dyDescent="0.4">
      <c r="B94" s="1146"/>
      <c r="C94" s="56">
        <f>'Combustão Móvel'!B124</f>
        <v>0</v>
      </c>
      <c r="D94" s="148" t="str">
        <f>'Combustão Móvel'!O124</f>
        <v/>
      </c>
      <c r="E94" s="152">
        <v>0</v>
      </c>
      <c r="F94" s="153">
        <f t="shared" si="18"/>
        <v>0</v>
      </c>
      <c r="G94" s="153">
        <f t="shared" si="19"/>
        <v>0</v>
      </c>
      <c r="H94" s="153">
        <f t="shared" si="20"/>
        <v>0</v>
      </c>
      <c r="I94" s="153">
        <f t="shared" si="21"/>
        <v>0</v>
      </c>
      <c r="J94" s="153">
        <f t="shared" si="22"/>
        <v>0</v>
      </c>
      <c r="K94" s="154">
        <f t="shared" si="23"/>
        <v>0</v>
      </c>
      <c r="L94" s="37">
        <f>'Combustão Móvel'!F124</f>
        <v>0</v>
      </c>
      <c r="M94" s="41">
        <f>'Combustão Móvel'!G124</f>
        <v>0</v>
      </c>
      <c r="N94" s="153"/>
      <c r="O94" s="153">
        <f t="shared" si="24"/>
        <v>0</v>
      </c>
      <c r="P94" s="153"/>
      <c r="Q94" s="153"/>
      <c r="R94" s="153">
        <f t="shared" si="25"/>
        <v>0</v>
      </c>
      <c r="S94" s="153">
        <f t="shared" si="26"/>
        <v>0</v>
      </c>
      <c r="T94" s="164">
        <f t="shared" si="27"/>
        <v>0</v>
      </c>
      <c r="U94" s="164">
        <f t="shared" si="28"/>
        <v>0</v>
      </c>
      <c r="V94" s="137" t="str">
        <f t="shared" si="29"/>
        <v/>
      </c>
      <c r="W94" s="137" t="str">
        <f t="shared" si="30"/>
        <v/>
      </c>
      <c r="X94" s="137" t="str">
        <f t="shared" si="31"/>
        <v/>
      </c>
    </row>
    <row r="95" spans="2:24" ht="15" thickBot="1" x14ac:dyDescent="0.4">
      <c r="B95" s="1146"/>
      <c r="C95" s="56">
        <f>'Combustão Móvel'!B125</f>
        <v>0</v>
      </c>
      <c r="D95" s="148" t="str">
        <f>'Combustão Móvel'!O125</f>
        <v/>
      </c>
      <c r="E95" s="152">
        <v>0</v>
      </c>
      <c r="F95" s="153">
        <f t="shared" si="18"/>
        <v>0</v>
      </c>
      <c r="G95" s="153">
        <f t="shared" si="19"/>
        <v>0</v>
      </c>
      <c r="H95" s="153">
        <f t="shared" si="20"/>
        <v>0</v>
      </c>
      <c r="I95" s="153">
        <f t="shared" si="21"/>
        <v>0</v>
      </c>
      <c r="J95" s="153">
        <f t="shared" si="22"/>
        <v>0</v>
      </c>
      <c r="K95" s="154">
        <f t="shared" si="23"/>
        <v>0</v>
      </c>
      <c r="L95" s="37">
        <f>'Combustão Móvel'!F125</f>
        <v>0</v>
      </c>
      <c r="M95" s="41">
        <f>'Combustão Móvel'!G125</f>
        <v>0</v>
      </c>
      <c r="N95" s="153"/>
      <c r="O95" s="153">
        <f t="shared" si="24"/>
        <v>0</v>
      </c>
      <c r="P95" s="153"/>
      <c r="Q95" s="153"/>
      <c r="R95" s="153">
        <f t="shared" si="25"/>
        <v>0</v>
      </c>
      <c r="S95" s="153">
        <f t="shared" si="26"/>
        <v>0</v>
      </c>
      <c r="T95" s="164">
        <f t="shared" si="27"/>
        <v>0</v>
      </c>
      <c r="U95" s="164">
        <f t="shared" si="28"/>
        <v>0</v>
      </c>
      <c r="V95" s="137" t="str">
        <f t="shared" si="29"/>
        <v/>
      </c>
      <c r="W95" s="137" t="str">
        <f t="shared" si="30"/>
        <v/>
      </c>
      <c r="X95" s="137" t="str">
        <f t="shared" si="31"/>
        <v/>
      </c>
    </row>
    <row r="96" spans="2:24" ht="15" thickBot="1" x14ac:dyDescent="0.4">
      <c r="B96" s="1146"/>
      <c r="C96" s="56">
        <f>'Combustão Móvel'!B126</f>
        <v>0</v>
      </c>
      <c r="D96" s="148" t="str">
        <f>'Combustão Móvel'!O126</f>
        <v/>
      </c>
      <c r="E96" s="152">
        <v>0</v>
      </c>
      <c r="F96" s="153">
        <f t="shared" si="18"/>
        <v>0</v>
      </c>
      <c r="G96" s="153">
        <f t="shared" si="19"/>
        <v>0</v>
      </c>
      <c r="H96" s="153">
        <f t="shared" si="20"/>
        <v>0</v>
      </c>
      <c r="I96" s="153">
        <f t="shared" si="21"/>
        <v>0</v>
      </c>
      <c r="J96" s="153">
        <f t="shared" si="22"/>
        <v>0</v>
      </c>
      <c r="K96" s="154">
        <f t="shared" si="23"/>
        <v>0</v>
      </c>
      <c r="L96" s="37">
        <f>'Combustão Móvel'!F126</f>
        <v>0</v>
      </c>
      <c r="M96" s="41">
        <f>'Combustão Móvel'!G126</f>
        <v>0</v>
      </c>
      <c r="N96" s="153"/>
      <c r="O96" s="153">
        <f t="shared" si="24"/>
        <v>0</v>
      </c>
      <c r="P96" s="153"/>
      <c r="Q96" s="153"/>
      <c r="R96" s="153">
        <f t="shared" si="25"/>
        <v>0</v>
      </c>
      <c r="S96" s="153">
        <f t="shared" si="26"/>
        <v>0</v>
      </c>
      <c r="T96" s="164">
        <f t="shared" si="27"/>
        <v>0</v>
      </c>
      <c r="U96" s="164">
        <f t="shared" si="28"/>
        <v>0</v>
      </c>
      <c r="V96" s="137" t="str">
        <f t="shared" si="29"/>
        <v/>
      </c>
      <c r="W96" s="137" t="str">
        <f t="shared" si="30"/>
        <v/>
      </c>
      <c r="X96" s="137" t="str">
        <f t="shared" si="31"/>
        <v/>
      </c>
    </row>
    <row r="97" spans="2:24" ht="15" thickBot="1" x14ac:dyDescent="0.4">
      <c r="B97" s="1146"/>
      <c r="C97" s="56">
        <f>'Combustão Móvel'!B127</f>
        <v>0</v>
      </c>
      <c r="D97" s="148" t="str">
        <f>'Combustão Móvel'!O127</f>
        <v/>
      </c>
      <c r="E97" s="152">
        <v>0</v>
      </c>
      <c r="F97" s="153">
        <f t="shared" si="18"/>
        <v>0</v>
      </c>
      <c r="G97" s="153">
        <f t="shared" si="19"/>
        <v>0</v>
      </c>
      <c r="H97" s="153">
        <f t="shared" si="20"/>
        <v>0</v>
      </c>
      <c r="I97" s="153">
        <f t="shared" si="21"/>
        <v>0</v>
      </c>
      <c r="J97" s="153">
        <f t="shared" si="22"/>
        <v>0</v>
      </c>
      <c r="K97" s="154">
        <f t="shared" si="23"/>
        <v>0</v>
      </c>
      <c r="L97" s="37">
        <f>'Combustão Móvel'!F127</f>
        <v>0</v>
      </c>
      <c r="M97" s="41">
        <f>'Combustão Móvel'!G127</f>
        <v>0</v>
      </c>
      <c r="N97" s="153"/>
      <c r="O97" s="153">
        <f t="shared" si="24"/>
        <v>0</v>
      </c>
      <c r="P97" s="153"/>
      <c r="Q97" s="153"/>
      <c r="R97" s="153">
        <f t="shared" si="25"/>
        <v>0</v>
      </c>
      <c r="S97" s="153">
        <f t="shared" si="26"/>
        <v>0</v>
      </c>
      <c r="T97" s="164">
        <f t="shared" si="27"/>
        <v>0</v>
      </c>
      <c r="U97" s="164">
        <f t="shared" si="28"/>
        <v>0</v>
      </c>
      <c r="V97" s="137" t="str">
        <f t="shared" si="29"/>
        <v/>
      </c>
      <c r="W97" s="137" t="str">
        <f t="shared" si="30"/>
        <v/>
      </c>
      <c r="X97" s="137" t="str">
        <f t="shared" si="31"/>
        <v/>
      </c>
    </row>
    <row r="98" spans="2:24" ht="15" thickBot="1" x14ac:dyDescent="0.4">
      <c r="B98" s="1146"/>
      <c r="C98" s="56">
        <f>'Combustão Móvel'!B128</f>
        <v>0</v>
      </c>
      <c r="D98" s="148" t="str">
        <f>'Combustão Móvel'!O128</f>
        <v/>
      </c>
      <c r="E98" s="152">
        <v>0</v>
      </c>
      <c r="F98" s="153">
        <f t="shared" si="18"/>
        <v>0</v>
      </c>
      <c r="G98" s="153">
        <f t="shared" si="19"/>
        <v>0</v>
      </c>
      <c r="H98" s="153">
        <f t="shared" si="20"/>
        <v>0</v>
      </c>
      <c r="I98" s="153">
        <f t="shared" si="21"/>
        <v>0</v>
      </c>
      <c r="J98" s="153">
        <f t="shared" si="22"/>
        <v>0</v>
      </c>
      <c r="K98" s="154">
        <f t="shared" si="23"/>
        <v>0</v>
      </c>
      <c r="L98" s="37">
        <f>'Combustão Móvel'!F128</f>
        <v>0</v>
      </c>
      <c r="M98" s="41">
        <f>'Combustão Móvel'!G128</f>
        <v>0</v>
      </c>
      <c r="N98" s="153"/>
      <c r="O98" s="153">
        <f t="shared" si="24"/>
        <v>0</v>
      </c>
      <c r="P98" s="153"/>
      <c r="Q98" s="153"/>
      <c r="R98" s="153">
        <f t="shared" si="25"/>
        <v>0</v>
      </c>
      <c r="S98" s="153">
        <f t="shared" si="26"/>
        <v>0</v>
      </c>
      <c r="T98" s="164">
        <f t="shared" si="27"/>
        <v>0</v>
      </c>
      <c r="U98" s="164">
        <f t="shared" si="28"/>
        <v>0</v>
      </c>
      <c r="V98" s="137" t="str">
        <f t="shared" si="29"/>
        <v/>
      </c>
      <c r="W98" s="137" t="str">
        <f t="shared" si="30"/>
        <v/>
      </c>
      <c r="X98" s="137" t="str">
        <f t="shared" si="31"/>
        <v/>
      </c>
    </row>
    <row r="99" spans="2:24" ht="15" thickBot="1" x14ac:dyDescent="0.4">
      <c r="B99" s="1146"/>
      <c r="C99" s="56">
        <f>'Combustão Móvel'!B129</f>
        <v>0</v>
      </c>
      <c r="D99" s="148" t="str">
        <f>'Combustão Móvel'!O129</f>
        <v/>
      </c>
      <c r="E99" s="152">
        <v>0</v>
      </c>
      <c r="F99" s="153">
        <f t="shared" si="18"/>
        <v>0</v>
      </c>
      <c r="G99" s="153">
        <f t="shared" si="19"/>
        <v>0</v>
      </c>
      <c r="H99" s="153">
        <f t="shared" si="20"/>
        <v>0</v>
      </c>
      <c r="I99" s="153">
        <f t="shared" si="21"/>
        <v>0</v>
      </c>
      <c r="J99" s="153">
        <f t="shared" si="22"/>
        <v>0</v>
      </c>
      <c r="K99" s="154">
        <f t="shared" si="23"/>
        <v>0</v>
      </c>
      <c r="L99" s="37">
        <f>'Combustão Móvel'!F129</f>
        <v>0</v>
      </c>
      <c r="M99" s="41">
        <f>'Combustão Móvel'!G129</f>
        <v>0</v>
      </c>
      <c r="N99" s="153"/>
      <c r="O99" s="153">
        <f t="shared" si="24"/>
        <v>0</v>
      </c>
      <c r="P99" s="153"/>
      <c r="Q99" s="153"/>
      <c r="R99" s="153">
        <f t="shared" si="25"/>
        <v>0</v>
      </c>
      <c r="S99" s="153">
        <f t="shared" si="26"/>
        <v>0</v>
      </c>
      <c r="T99" s="164">
        <f t="shared" si="27"/>
        <v>0</v>
      </c>
      <c r="U99" s="164">
        <f t="shared" si="28"/>
        <v>0</v>
      </c>
      <c r="V99" s="137" t="str">
        <f t="shared" si="29"/>
        <v/>
      </c>
      <c r="W99" s="137" t="str">
        <f t="shared" si="30"/>
        <v/>
      </c>
      <c r="X99" s="137" t="str">
        <f t="shared" si="31"/>
        <v/>
      </c>
    </row>
    <row r="100" spans="2:24" ht="15" thickBot="1" x14ac:dyDescent="0.4">
      <c r="B100" s="1146"/>
      <c r="C100" s="56">
        <f>'Combustão Móvel'!B130</f>
        <v>0</v>
      </c>
      <c r="D100" s="148" t="str">
        <f>'Combustão Móvel'!O130</f>
        <v/>
      </c>
      <c r="E100" s="152">
        <v>0</v>
      </c>
      <c r="F100" s="153">
        <f t="shared" si="18"/>
        <v>0</v>
      </c>
      <c r="G100" s="153">
        <f t="shared" si="19"/>
        <v>0</v>
      </c>
      <c r="H100" s="153">
        <f t="shared" si="20"/>
        <v>0</v>
      </c>
      <c r="I100" s="153">
        <f t="shared" si="21"/>
        <v>0</v>
      </c>
      <c r="J100" s="153">
        <f t="shared" si="22"/>
        <v>0</v>
      </c>
      <c r="K100" s="154">
        <f t="shared" si="23"/>
        <v>0</v>
      </c>
      <c r="L100" s="37">
        <f>'Combustão Móvel'!F130</f>
        <v>0</v>
      </c>
      <c r="M100" s="41">
        <f>'Combustão Móvel'!G130</f>
        <v>0</v>
      </c>
      <c r="N100" s="153"/>
      <c r="O100" s="153">
        <f t="shared" si="24"/>
        <v>0</v>
      </c>
      <c r="P100" s="153"/>
      <c r="Q100" s="153"/>
      <c r="R100" s="153">
        <f t="shared" si="25"/>
        <v>0</v>
      </c>
      <c r="S100" s="153">
        <f t="shared" si="26"/>
        <v>0</v>
      </c>
      <c r="T100" s="164">
        <f t="shared" si="27"/>
        <v>0</v>
      </c>
      <c r="U100" s="164">
        <f t="shared" si="28"/>
        <v>0</v>
      </c>
      <c r="V100" s="137" t="str">
        <f t="shared" si="29"/>
        <v/>
      </c>
      <c r="W100" s="137" t="str">
        <f t="shared" si="30"/>
        <v/>
      </c>
      <c r="X100" s="137" t="str">
        <f t="shared" si="31"/>
        <v/>
      </c>
    </row>
    <row r="101" spans="2:24" ht="15" thickBot="1" x14ac:dyDescent="0.4">
      <c r="B101" s="1146"/>
      <c r="C101" s="56">
        <f>'Combustão Móvel'!B131</f>
        <v>0</v>
      </c>
      <c r="D101" s="148" t="str">
        <f>'Combustão Móvel'!O131</f>
        <v/>
      </c>
      <c r="E101" s="152">
        <v>0</v>
      </c>
      <c r="F101" s="153">
        <f t="shared" si="18"/>
        <v>0</v>
      </c>
      <c r="G101" s="153">
        <f t="shared" si="19"/>
        <v>0</v>
      </c>
      <c r="H101" s="153">
        <f t="shared" si="20"/>
        <v>0</v>
      </c>
      <c r="I101" s="153">
        <f t="shared" si="21"/>
        <v>0</v>
      </c>
      <c r="J101" s="153">
        <f t="shared" si="22"/>
        <v>0</v>
      </c>
      <c r="K101" s="154">
        <f t="shared" si="23"/>
        <v>0</v>
      </c>
      <c r="L101" s="37">
        <f>'Combustão Móvel'!F131</f>
        <v>0</v>
      </c>
      <c r="M101" s="41">
        <f>'Combustão Móvel'!G131</f>
        <v>0</v>
      </c>
      <c r="N101" s="153"/>
      <c r="O101" s="153">
        <f t="shared" si="24"/>
        <v>0</v>
      </c>
      <c r="P101" s="153"/>
      <c r="Q101" s="153"/>
      <c r="R101" s="153">
        <f t="shared" si="25"/>
        <v>0</v>
      </c>
      <c r="S101" s="153">
        <f t="shared" si="26"/>
        <v>0</v>
      </c>
      <c r="T101" s="164">
        <f t="shared" si="27"/>
        <v>0</v>
      </c>
      <c r="U101" s="164">
        <f t="shared" si="28"/>
        <v>0</v>
      </c>
      <c r="V101" s="137" t="str">
        <f t="shared" si="29"/>
        <v/>
      </c>
      <c r="W101" s="137" t="str">
        <f t="shared" si="30"/>
        <v/>
      </c>
      <c r="X101" s="137" t="str">
        <f t="shared" si="31"/>
        <v/>
      </c>
    </row>
    <row r="102" spans="2:24" ht="15" thickBot="1" x14ac:dyDescent="0.4">
      <c r="B102" s="1146"/>
      <c r="C102" s="56">
        <f>'Combustão Móvel'!B132</f>
        <v>0</v>
      </c>
      <c r="D102" s="148" t="str">
        <f>'Combustão Móvel'!O132</f>
        <v/>
      </c>
      <c r="E102" s="152">
        <v>0</v>
      </c>
      <c r="F102" s="153">
        <f t="shared" si="18"/>
        <v>0</v>
      </c>
      <c r="G102" s="153">
        <f t="shared" si="19"/>
        <v>0</v>
      </c>
      <c r="H102" s="153">
        <f t="shared" si="20"/>
        <v>0</v>
      </c>
      <c r="I102" s="153">
        <f t="shared" si="21"/>
        <v>0</v>
      </c>
      <c r="J102" s="153">
        <f t="shared" si="22"/>
        <v>0</v>
      </c>
      <c r="K102" s="154">
        <f t="shared" si="23"/>
        <v>0</v>
      </c>
      <c r="L102" s="37">
        <f>'Combustão Móvel'!F132</f>
        <v>0</v>
      </c>
      <c r="M102" s="41">
        <f>'Combustão Móvel'!G132</f>
        <v>0</v>
      </c>
      <c r="N102" s="153"/>
      <c r="O102" s="153">
        <f t="shared" si="24"/>
        <v>0</v>
      </c>
      <c r="P102" s="153"/>
      <c r="Q102" s="153"/>
      <c r="R102" s="153">
        <f t="shared" si="25"/>
        <v>0</v>
      </c>
      <c r="S102" s="153">
        <f t="shared" si="26"/>
        <v>0</v>
      </c>
      <c r="T102" s="164">
        <f t="shared" si="27"/>
        <v>0</v>
      </c>
      <c r="U102" s="164">
        <f t="shared" si="28"/>
        <v>0</v>
      </c>
      <c r="V102" s="137" t="str">
        <f t="shared" si="29"/>
        <v/>
      </c>
      <c r="W102" s="137" t="str">
        <f t="shared" si="30"/>
        <v/>
      </c>
      <c r="X102" s="137" t="str">
        <f t="shared" si="31"/>
        <v/>
      </c>
    </row>
    <row r="103" spans="2:24" ht="15" thickBot="1" x14ac:dyDescent="0.4">
      <c r="B103" s="1146"/>
      <c r="C103" s="56">
        <f>'Combustão Móvel'!B133</f>
        <v>0</v>
      </c>
      <c r="D103" s="148" t="str">
        <f>'Combustão Móvel'!O133</f>
        <v/>
      </c>
      <c r="E103" s="152">
        <v>0</v>
      </c>
      <c r="F103" s="153">
        <f t="shared" si="18"/>
        <v>0</v>
      </c>
      <c r="G103" s="153">
        <f t="shared" si="19"/>
        <v>0</v>
      </c>
      <c r="H103" s="153">
        <f t="shared" si="20"/>
        <v>0</v>
      </c>
      <c r="I103" s="153">
        <f t="shared" si="21"/>
        <v>0</v>
      </c>
      <c r="J103" s="153">
        <f t="shared" si="22"/>
        <v>0</v>
      </c>
      <c r="K103" s="154">
        <f t="shared" si="23"/>
        <v>0</v>
      </c>
      <c r="L103" s="37">
        <f>'Combustão Móvel'!F133</f>
        <v>0</v>
      </c>
      <c r="M103" s="41">
        <f>'Combustão Móvel'!G133</f>
        <v>0</v>
      </c>
      <c r="N103" s="153"/>
      <c r="O103" s="153">
        <f t="shared" si="24"/>
        <v>0</v>
      </c>
      <c r="P103" s="153"/>
      <c r="Q103" s="153"/>
      <c r="R103" s="153">
        <f t="shared" si="25"/>
        <v>0</v>
      </c>
      <c r="S103" s="153">
        <f t="shared" si="26"/>
        <v>0</v>
      </c>
      <c r="T103" s="164">
        <f t="shared" si="27"/>
        <v>0</v>
      </c>
      <c r="U103" s="164">
        <f t="shared" si="28"/>
        <v>0</v>
      </c>
      <c r="V103" s="137" t="str">
        <f t="shared" si="29"/>
        <v/>
      </c>
      <c r="W103" s="137" t="str">
        <f t="shared" si="30"/>
        <v/>
      </c>
      <c r="X103" s="137" t="str">
        <f t="shared" si="31"/>
        <v/>
      </c>
    </row>
    <row r="104" spans="2:24" ht="15" thickBot="1" x14ac:dyDescent="0.4">
      <c r="B104" s="1146"/>
      <c r="C104" s="56">
        <f>'Combustão Móvel'!B134</f>
        <v>0</v>
      </c>
      <c r="D104" s="148" t="str">
        <f>'Combustão Móvel'!O134</f>
        <v/>
      </c>
      <c r="E104" s="152">
        <v>0</v>
      </c>
      <c r="F104" s="153">
        <f t="shared" si="18"/>
        <v>0</v>
      </c>
      <c r="G104" s="153">
        <f t="shared" si="19"/>
        <v>0</v>
      </c>
      <c r="H104" s="153">
        <f t="shared" si="20"/>
        <v>0</v>
      </c>
      <c r="I104" s="153">
        <f t="shared" si="21"/>
        <v>0</v>
      </c>
      <c r="J104" s="153">
        <f t="shared" si="22"/>
        <v>0</v>
      </c>
      <c r="K104" s="154">
        <f t="shared" si="23"/>
        <v>0</v>
      </c>
      <c r="L104" s="37">
        <f>'Combustão Móvel'!F134</f>
        <v>0</v>
      </c>
      <c r="M104" s="41">
        <f>'Combustão Móvel'!G134</f>
        <v>0</v>
      </c>
      <c r="N104" s="153"/>
      <c r="O104" s="153">
        <f t="shared" si="24"/>
        <v>0</v>
      </c>
      <c r="P104" s="153"/>
      <c r="Q104" s="153"/>
      <c r="R104" s="153">
        <f t="shared" si="25"/>
        <v>0</v>
      </c>
      <c r="S104" s="153">
        <f t="shared" si="26"/>
        <v>0</v>
      </c>
      <c r="T104" s="164">
        <f t="shared" si="27"/>
        <v>0</v>
      </c>
      <c r="U104" s="164">
        <f t="shared" si="28"/>
        <v>0</v>
      </c>
      <c r="V104" s="137" t="str">
        <f t="shared" si="29"/>
        <v/>
      </c>
      <c r="W104" s="137" t="str">
        <f t="shared" si="30"/>
        <v/>
      </c>
      <c r="X104" s="137" t="str">
        <f t="shared" si="31"/>
        <v/>
      </c>
    </row>
    <row r="105" spans="2:24" ht="15" thickBot="1" x14ac:dyDescent="0.4">
      <c r="B105" s="1146"/>
      <c r="C105" s="56">
        <f>'Combustão Móvel'!B135</f>
        <v>0</v>
      </c>
      <c r="D105" s="148" t="str">
        <f>'Combustão Móvel'!O135</f>
        <v/>
      </c>
      <c r="E105" s="152">
        <v>0</v>
      </c>
      <c r="F105" s="153">
        <f t="shared" si="18"/>
        <v>0</v>
      </c>
      <c r="G105" s="153">
        <f t="shared" si="19"/>
        <v>0</v>
      </c>
      <c r="H105" s="153">
        <f t="shared" si="20"/>
        <v>0</v>
      </c>
      <c r="I105" s="153">
        <f t="shared" si="21"/>
        <v>0</v>
      </c>
      <c r="J105" s="153">
        <f t="shared" si="22"/>
        <v>0</v>
      </c>
      <c r="K105" s="154">
        <f t="shared" si="23"/>
        <v>0</v>
      </c>
      <c r="L105" s="37">
        <f>'Combustão Móvel'!F135</f>
        <v>0</v>
      </c>
      <c r="M105" s="41">
        <f>'Combustão Móvel'!G135</f>
        <v>0</v>
      </c>
      <c r="N105" s="153"/>
      <c r="O105" s="153">
        <f t="shared" si="24"/>
        <v>0</v>
      </c>
      <c r="P105" s="153"/>
      <c r="Q105" s="153"/>
      <c r="R105" s="153">
        <f t="shared" si="25"/>
        <v>0</v>
      </c>
      <c r="S105" s="153">
        <f t="shared" si="26"/>
        <v>0</v>
      </c>
      <c r="T105" s="164">
        <f t="shared" si="27"/>
        <v>0</v>
      </c>
      <c r="U105" s="164">
        <f t="shared" si="28"/>
        <v>0</v>
      </c>
      <c r="V105" s="137" t="str">
        <f t="shared" si="29"/>
        <v/>
      </c>
      <c r="W105" s="137" t="str">
        <f t="shared" si="30"/>
        <v/>
      </c>
      <c r="X105" s="137" t="str">
        <f t="shared" si="31"/>
        <v/>
      </c>
    </row>
    <row r="106" spans="2:24" ht="15" thickBot="1" x14ac:dyDescent="0.4">
      <c r="B106" s="1146"/>
      <c r="C106" s="56">
        <f>'Combustão Móvel'!B136</f>
        <v>0</v>
      </c>
      <c r="D106" s="148" t="str">
        <f>'Combustão Móvel'!O136</f>
        <v/>
      </c>
      <c r="E106" s="152">
        <v>0</v>
      </c>
      <c r="F106" s="153">
        <f t="shared" si="18"/>
        <v>0</v>
      </c>
      <c r="G106" s="153">
        <f t="shared" si="19"/>
        <v>0</v>
      </c>
      <c r="H106" s="153">
        <f t="shared" si="20"/>
        <v>0</v>
      </c>
      <c r="I106" s="153">
        <f t="shared" si="21"/>
        <v>0</v>
      </c>
      <c r="J106" s="153">
        <f t="shared" si="22"/>
        <v>0</v>
      </c>
      <c r="K106" s="154">
        <f t="shared" si="23"/>
        <v>0</v>
      </c>
      <c r="L106" s="37">
        <f>'Combustão Móvel'!F136</f>
        <v>0</v>
      </c>
      <c r="M106" s="41">
        <f>'Combustão Móvel'!G136</f>
        <v>0</v>
      </c>
      <c r="N106" s="153"/>
      <c r="O106" s="153">
        <f t="shared" si="24"/>
        <v>0</v>
      </c>
      <c r="P106" s="153"/>
      <c r="Q106" s="153"/>
      <c r="R106" s="153">
        <f t="shared" si="25"/>
        <v>0</v>
      </c>
      <c r="S106" s="153">
        <f t="shared" si="26"/>
        <v>0</v>
      </c>
      <c r="T106" s="164">
        <f t="shared" si="27"/>
        <v>0</v>
      </c>
      <c r="U106" s="164">
        <f t="shared" si="28"/>
        <v>0</v>
      </c>
      <c r="V106" s="137" t="str">
        <f t="shared" si="29"/>
        <v/>
      </c>
      <c r="W106" s="137" t="str">
        <f t="shared" si="30"/>
        <v/>
      </c>
      <c r="X106" s="137" t="str">
        <f t="shared" si="31"/>
        <v/>
      </c>
    </row>
    <row r="107" spans="2:24" ht="15" thickBot="1" x14ac:dyDescent="0.4">
      <c r="B107" s="1146"/>
      <c r="C107" s="56">
        <f>'Combustão Móvel'!B137</f>
        <v>0</v>
      </c>
      <c r="D107" s="148" t="str">
        <f>'Combustão Móvel'!O137</f>
        <v/>
      </c>
      <c r="E107" s="152">
        <v>0</v>
      </c>
      <c r="F107" s="153">
        <f t="shared" si="18"/>
        <v>0</v>
      </c>
      <c r="G107" s="153">
        <f t="shared" si="19"/>
        <v>0</v>
      </c>
      <c r="H107" s="153">
        <f t="shared" si="20"/>
        <v>0</v>
      </c>
      <c r="I107" s="153">
        <f t="shared" si="21"/>
        <v>0</v>
      </c>
      <c r="J107" s="153">
        <f t="shared" si="22"/>
        <v>0</v>
      </c>
      <c r="K107" s="154">
        <f t="shared" si="23"/>
        <v>0</v>
      </c>
      <c r="L107" s="37">
        <f>'Combustão Móvel'!F137</f>
        <v>0</v>
      </c>
      <c r="M107" s="41">
        <f>'Combustão Móvel'!G137</f>
        <v>0</v>
      </c>
      <c r="N107" s="153"/>
      <c r="O107" s="153">
        <f t="shared" si="24"/>
        <v>0</v>
      </c>
      <c r="P107" s="153"/>
      <c r="Q107" s="153"/>
      <c r="R107" s="153">
        <f t="shared" si="25"/>
        <v>0</v>
      </c>
      <c r="S107" s="153">
        <f t="shared" si="26"/>
        <v>0</v>
      </c>
      <c r="T107" s="164">
        <f t="shared" si="27"/>
        <v>0</v>
      </c>
      <c r="U107" s="164">
        <f t="shared" si="28"/>
        <v>0</v>
      </c>
      <c r="V107" s="137" t="str">
        <f t="shared" si="29"/>
        <v/>
      </c>
      <c r="W107" s="137" t="str">
        <f t="shared" si="30"/>
        <v/>
      </c>
      <c r="X107" s="137" t="str">
        <f t="shared" si="31"/>
        <v/>
      </c>
    </row>
    <row r="108" spans="2:24" ht="15" thickBot="1" x14ac:dyDescent="0.4">
      <c r="B108" s="1146"/>
      <c r="C108" s="56">
        <f>'Combustão Móvel'!B138</f>
        <v>0</v>
      </c>
      <c r="D108" s="148" t="str">
        <f>'Combustão Móvel'!O138</f>
        <v/>
      </c>
      <c r="E108" s="152">
        <v>0</v>
      </c>
      <c r="F108" s="153">
        <f t="shared" si="18"/>
        <v>0</v>
      </c>
      <c r="G108" s="153">
        <f t="shared" si="19"/>
        <v>0</v>
      </c>
      <c r="H108" s="153">
        <f t="shared" si="20"/>
        <v>0</v>
      </c>
      <c r="I108" s="153">
        <f t="shared" si="21"/>
        <v>0</v>
      </c>
      <c r="J108" s="153">
        <f t="shared" si="22"/>
        <v>0</v>
      </c>
      <c r="K108" s="154">
        <f t="shared" si="23"/>
        <v>0</v>
      </c>
      <c r="L108" s="37">
        <f>'Combustão Móvel'!F138</f>
        <v>0</v>
      </c>
      <c r="M108" s="41">
        <f>'Combustão Móvel'!G138</f>
        <v>0</v>
      </c>
      <c r="N108" s="153"/>
      <c r="O108" s="153">
        <f t="shared" si="24"/>
        <v>0</v>
      </c>
      <c r="P108" s="153"/>
      <c r="Q108" s="153"/>
      <c r="R108" s="153">
        <f t="shared" si="25"/>
        <v>0</v>
      </c>
      <c r="S108" s="153">
        <f t="shared" si="26"/>
        <v>0</v>
      </c>
      <c r="T108" s="164">
        <f t="shared" si="27"/>
        <v>0</v>
      </c>
      <c r="U108" s="164">
        <f t="shared" si="28"/>
        <v>0</v>
      </c>
      <c r="V108" s="137" t="str">
        <f t="shared" si="29"/>
        <v/>
      </c>
      <c r="W108" s="137" t="str">
        <f t="shared" si="30"/>
        <v/>
      </c>
      <c r="X108" s="137" t="str">
        <f t="shared" si="31"/>
        <v/>
      </c>
    </row>
    <row r="109" spans="2:24" ht="15" thickBot="1" x14ac:dyDescent="0.4">
      <c r="B109" s="1146"/>
      <c r="C109" s="56">
        <f>'Combustão Móvel'!B139</f>
        <v>0</v>
      </c>
      <c r="D109" s="148" t="str">
        <f>'Combustão Móvel'!O139</f>
        <v/>
      </c>
      <c r="E109" s="152">
        <v>0</v>
      </c>
      <c r="F109" s="153">
        <f t="shared" si="18"/>
        <v>0</v>
      </c>
      <c r="G109" s="153">
        <f t="shared" si="19"/>
        <v>0</v>
      </c>
      <c r="H109" s="153">
        <f t="shared" si="20"/>
        <v>0</v>
      </c>
      <c r="I109" s="153">
        <f t="shared" si="21"/>
        <v>0</v>
      </c>
      <c r="J109" s="153">
        <f t="shared" si="22"/>
        <v>0</v>
      </c>
      <c r="K109" s="154">
        <f t="shared" si="23"/>
        <v>0</v>
      </c>
      <c r="L109" s="37">
        <f>'Combustão Móvel'!F139</f>
        <v>0</v>
      </c>
      <c r="M109" s="41">
        <f>'Combustão Móvel'!G139</f>
        <v>0</v>
      </c>
      <c r="N109" s="153"/>
      <c r="O109" s="153">
        <f t="shared" si="24"/>
        <v>0</v>
      </c>
      <c r="P109" s="153"/>
      <c r="Q109" s="153"/>
      <c r="R109" s="153">
        <f t="shared" si="25"/>
        <v>0</v>
      </c>
      <c r="S109" s="153">
        <f t="shared" si="26"/>
        <v>0</v>
      </c>
      <c r="T109" s="164">
        <f t="shared" si="27"/>
        <v>0</v>
      </c>
      <c r="U109" s="164">
        <f t="shared" si="28"/>
        <v>0</v>
      </c>
      <c r="V109" s="137" t="str">
        <f t="shared" si="29"/>
        <v/>
      </c>
      <c r="W109" s="137" t="str">
        <f t="shared" si="30"/>
        <v/>
      </c>
      <c r="X109" s="137" t="str">
        <f t="shared" si="31"/>
        <v/>
      </c>
    </row>
    <row r="110" spans="2:24" ht="15" thickBot="1" x14ac:dyDescent="0.4">
      <c r="B110" s="1146"/>
      <c r="C110" s="56">
        <f>'Combustão Móvel'!B140</f>
        <v>0</v>
      </c>
      <c r="D110" s="148" t="str">
        <f>'Combustão Móvel'!O140</f>
        <v/>
      </c>
      <c r="E110" s="152">
        <v>0</v>
      </c>
      <c r="F110" s="153">
        <f t="shared" si="18"/>
        <v>0</v>
      </c>
      <c r="G110" s="153">
        <f t="shared" si="19"/>
        <v>0</v>
      </c>
      <c r="H110" s="153">
        <f t="shared" si="20"/>
        <v>0</v>
      </c>
      <c r="I110" s="153">
        <f t="shared" si="21"/>
        <v>0</v>
      </c>
      <c r="J110" s="153">
        <f t="shared" si="22"/>
        <v>0</v>
      </c>
      <c r="K110" s="154">
        <f t="shared" si="23"/>
        <v>0</v>
      </c>
      <c r="L110" s="37">
        <f>'Combustão Móvel'!F140</f>
        <v>0</v>
      </c>
      <c r="M110" s="41">
        <f>'Combustão Móvel'!G140</f>
        <v>0</v>
      </c>
      <c r="N110" s="153"/>
      <c r="O110" s="153">
        <f t="shared" si="24"/>
        <v>0</v>
      </c>
      <c r="P110" s="153"/>
      <c r="Q110" s="153"/>
      <c r="R110" s="153">
        <f t="shared" si="25"/>
        <v>0</v>
      </c>
      <c r="S110" s="153">
        <f t="shared" si="26"/>
        <v>0</v>
      </c>
      <c r="T110" s="164">
        <f t="shared" si="27"/>
        <v>0</v>
      </c>
      <c r="U110" s="164">
        <f t="shared" si="28"/>
        <v>0</v>
      </c>
      <c r="V110" s="137" t="str">
        <f t="shared" si="29"/>
        <v/>
      </c>
      <c r="W110" s="137" t="str">
        <f t="shared" si="30"/>
        <v/>
      </c>
      <c r="X110" s="137" t="str">
        <f t="shared" si="31"/>
        <v/>
      </c>
    </row>
    <row r="111" spans="2:24" ht="15" thickBot="1" x14ac:dyDescent="0.4">
      <c r="B111" s="1146"/>
      <c r="C111" s="56">
        <f>'Combustão Móvel'!B141</f>
        <v>0</v>
      </c>
      <c r="D111" s="148" t="str">
        <f>'Combustão Móvel'!O141</f>
        <v/>
      </c>
      <c r="E111" s="152">
        <v>0</v>
      </c>
      <c r="F111" s="153">
        <f t="shared" si="18"/>
        <v>0</v>
      </c>
      <c r="G111" s="153">
        <f t="shared" si="19"/>
        <v>0</v>
      </c>
      <c r="H111" s="153">
        <f t="shared" si="20"/>
        <v>0</v>
      </c>
      <c r="I111" s="153">
        <f t="shared" si="21"/>
        <v>0</v>
      </c>
      <c r="J111" s="153">
        <f t="shared" si="22"/>
        <v>0</v>
      </c>
      <c r="K111" s="154">
        <f t="shared" si="23"/>
        <v>0</v>
      </c>
      <c r="L111" s="37">
        <f>'Combustão Móvel'!F141</f>
        <v>0</v>
      </c>
      <c r="M111" s="41">
        <f>'Combustão Móvel'!G141</f>
        <v>0</v>
      </c>
      <c r="N111" s="153"/>
      <c r="O111" s="153">
        <f t="shared" si="24"/>
        <v>0</v>
      </c>
      <c r="P111" s="153"/>
      <c r="Q111" s="153"/>
      <c r="R111" s="153">
        <f t="shared" si="25"/>
        <v>0</v>
      </c>
      <c r="S111" s="153">
        <f t="shared" si="26"/>
        <v>0</v>
      </c>
      <c r="T111" s="164">
        <f t="shared" si="27"/>
        <v>0</v>
      </c>
      <c r="U111" s="164">
        <f t="shared" si="28"/>
        <v>0</v>
      </c>
      <c r="V111" s="137" t="str">
        <f t="shared" si="29"/>
        <v/>
      </c>
      <c r="W111" s="137" t="str">
        <f t="shared" si="30"/>
        <v/>
      </c>
      <c r="X111" s="137" t="str">
        <f t="shared" si="31"/>
        <v/>
      </c>
    </row>
    <row r="112" spans="2:24" ht="15" thickBot="1" x14ac:dyDescent="0.4">
      <c r="B112" s="1146"/>
      <c r="C112" s="56">
        <f>'Combustão Móvel'!B142</f>
        <v>0</v>
      </c>
      <c r="D112" s="148" t="str">
        <f>'Combustão Móvel'!O142</f>
        <v/>
      </c>
      <c r="E112" s="152">
        <v>0</v>
      </c>
      <c r="F112" s="153">
        <f t="shared" si="18"/>
        <v>0</v>
      </c>
      <c r="G112" s="153">
        <f t="shared" si="19"/>
        <v>0</v>
      </c>
      <c r="H112" s="153">
        <f t="shared" si="20"/>
        <v>0</v>
      </c>
      <c r="I112" s="153">
        <f t="shared" si="21"/>
        <v>0</v>
      </c>
      <c r="J112" s="153">
        <f t="shared" si="22"/>
        <v>0</v>
      </c>
      <c r="K112" s="154">
        <f t="shared" si="23"/>
        <v>0</v>
      </c>
      <c r="L112" s="37">
        <f>'Combustão Móvel'!F142</f>
        <v>0</v>
      </c>
      <c r="M112" s="41">
        <f>'Combustão Móvel'!G142</f>
        <v>0</v>
      </c>
      <c r="N112" s="153"/>
      <c r="O112" s="153">
        <f t="shared" si="24"/>
        <v>0</v>
      </c>
      <c r="P112" s="153"/>
      <c r="Q112" s="153"/>
      <c r="R112" s="153">
        <f t="shared" si="25"/>
        <v>0</v>
      </c>
      <c r="S112" s="153">
        <f t="shared" si="26"/>
        <v>0</v>
      </c>
      <c r="T112" s="164">
        <f t="shared" si="27"/>
        <v>0</v>
      </c>
      <c r="U112" s="164">
        <f t="shared" si="28"/>
        <v>0</v>
      </c>
      <c r="V112" s="137" t="str">
        <f t="shared" si="29"/>
        <v/>
      </c>
      <c r="W112" s="137" t="str">
        <f t="shared" si="30"/>
        <v/>
      </c>
      <c r="X112" s="137" t="str">
        <f t="shared" si="31"/>
        <v/>
      </c>
    </row>
    <row r="113" spans="2:24" ht="15" thickBot="1" x14ac:dyDescent="0.4">
      <c r="B113" s="1146"/>
      <c r="C113" s="56">
        <f>'Combustão Móvel'!B143</f>
        <v>0</v>
      </c>
      <c r="D113" s="148" t="str">
        <f>'Combustão Móvel'!O143</f>
        <v/>
      </c>
      <c r="E113" s="152">
        <v>0</v>
      </c>
      <c r="F113" s="153">
        <f t="shared" si="18"/>
        <v>0</v>
      </c>
      <c r="G113" s="153">
        <f t="shared" si="19"/>
        <v>0</v>
      </c>
      <c r="H113" s="153">
        <f t="shared" si="20"/>
        <v>0</v>
      </c>
      <c r="I113" s="153">
        <f t="shared" si="21"/>
        <v>0</v>
      </c>
      <c r="J113" s="153">
        <f t="shared" si="22"/>
        <v>0</v>
      </c>
      <c r="K113" s="154">
        <f t="shared" si="23"/>
        <v>0</v>
      </c>
      <c r="L113" s="37">
        <f>'Combustão Móvel'!F143</f>
        <v>0</v>
      </c>
      <c r="M113" s="41">
        <f>'Combustão Móvel'!G143</f>
        <v>0</v>
      </c>
      <c r="N113" s="153"/>
      <c r="O113" s="153">
        <f t="shared" si="24"/>
        <v>0</v>
      </c>
      <c r="P113" s="153"/>
      <c r="Q113" s="153"/>
      <c r="R113" s="153">
        <f t="shared" si="25"/>
        <v>0</v>
      </c>
      <c r="S113" s="153">
        <f t="shared" si="26"/>
        <v>0</v>
      </c>
      <c r="T113" s="164">
        <f t="shared" si="27"/>
        <v>0</v>
      </c>
      <c r="U113" s="164">
        <f t="shared" si="28"/>
        <v>0</v>
      </c>
      <c r="V113" s="137" t="str">
        <f t="shared" si="29"/>
        <v/>
      </c>
      <c r="W113" s="137" t="str">
        <f t="shared" si="30"/>
        <v/>
      </c>
      <c r="X113" s="137" t="str">
        <f t="shared" si="31"/>
        <v/>
      </c>
    </row>
    <row r="114" spans="2:24" ht="15" thickBot="1" x14ac:dyDescent="0.4">
      <c r="B114" s="1146"/>
      <c r="C114" s="56">
        <f>'Combustão Móvel'!B144</f>
        <v>0</v>
      </c>
      <c r="D114" s="148" t="str">
        <f>'Combustão Móvel'!O144</f>
        <v/>
      </c>
      <c r="E114" s="152">
        <v>0</v>
      </c>
      <c r="F114" s="153">
        <f t="shared" si="18"/>
        <v>0</v>
      </c>
      <c r="G114" s="153">
        <f t="shared" si="19"/>
        <v>0</v>
      </c>
      <c r="H114" s="153">
        <f t="shared" si="20"/>
        <v>0</v>
      </c>
      <c r="I114" s="153">
        <f t="shared" si="21"/>
        <v>0</v>
      </c>
      <c r="J114" s="153">
        <f t="shared" si="22"/>
        <v>0</v>
      </c>
      <c r="K114" s="154">
        <f t="shared" si="23"/>
        <v>0</v>
      </c>
      <c r="L114" s="37">
        <f>'Combustão Móvel'!F144</f>
        <v>0</v>
      </c>
      <c r="M114" s="41">
        <f>'Combustão Móvel'!G144</f>
        <v>0</v>
      </c>
      <c r="N114" s="153"/>
      <c r="O114" s="153">
        <f t="shared" si="24"/>
        <v>0</v>
      </c>
      <c r="P114" s="153"/>
      <c r="Q114" s="153"/>
      <c r="R114" s="153">
        <f t="shared" si="25"/>
        <v>0</v>
      </c>
      <c r="S114" s="153">
        <f t="shared" si="26"/>
        <v>0</v>
      </c>
      <c r="T114" s="164">
        <f t="shared" si="27"/>
        <v>0</v>
      </c>
      <c r="U114" s="164">
        <f t="shared" si="28"/>
        <v>0</v>
      </c>
      <c r="V114" s="137" t="str">
        <f t="shared" si="29"/>
        <v/>
      </c>
      <c r="W114" s="137" t="str">
        <f t="shared" si="30"/>
        <v/>
      </c>
      <c r="X114" s="137" t="str">
        <f t="shared" si="31"/>
        <v/>
      </c>
    </row>
    <row r="115" spans="2:24" ht="15" thickBot="1" x14ac:dyDescent="0.4">
      <c r="B115" s="1146"/>
      <c r="C115" s="56">
        <f>'Combustão Móvel'!B145</f>
        <v>0</v>
      </c>
      <c r="D115" s="148" t="str">
        <f>'Combustão Móvel'!O145</f>
        <v/>
      </c>
      <c r="E115" s="152">
        <v>0</v>
      </c>
      <c r="F115" s="153">
        <f t="shared" si="18"/>
        <v>0</v>
      </c>
      <c r="G115" s="153">
        <f t="shared" si="19"/>
        <v>0</v>
      </c>
      <c r="H115" s="153">
        <f t="shared" si="20"/>
        <v>0</v>
      </c>
      <c r="I115" s="153">
        <f t="shared" si="21"/>
        <v>0</v>
      </c>
      <c r="J115" s="153">
        <f t="shared" si="22"/>
        <v>0</v>
      </c>
      <c r="K115" s="154">
        <f t="shared" si="23"/>
        <v>0</v>
      </c>
      <c r="L115" s="37">
        <f>'Combustão Móvel'!F145</f>
        <v>0</v>
      </c>
      <c r="M115" s="41">
        <f>'Combustão Móvel'!G145</f>
        <v>0</v>
      </c>
      <c r="N115" s="153"/>
      <c r="O115" s="153">
        <f t="shared" si="24"/>
        <v>0</v>
      </c>
      <c r="P115" s="153"/>
      <c r="Q115" s="153"/>
      <c r="R115" s="153">
        <f t="shared" si="25"/>
        <v>0</v>
      </c>
      <c r="S115" s="153">
        <f t="shared" si="26"/>
        <v>0</v>
      </c>
      <c r="T115" s="164">
        <f t="shared" si="27"/>
        <v>0</v>
      </c>
      <c r="U115" s="164">
        <f t="shared" si="28"/>
        <v>0</v>
      </c>
      <c r="V115" s="137" t="str">
        <f t="shared" si="29"/>
        <v/>
      </c>
      <c r="W115" s="137" t="str">
        <f t="shared" si="30"/>
        <v/>
      </c>
      <c r="X115" s="137" t="str">
        <f t="shared" si="31"/>
        <v/>
      </c>
    </row>
    <row r="116" spans="2:24" ht="15" thickBot="1" x14ac:dyDescent="0.4">
      <c r="B116" s="1146"/>
      <c r="C116" s="56">
        <f>'Combustão Móvel'!B146</f>
        <v>0</v>
      </c>
      <c r="D116" s="148" t="str">
        <f>'Combustão Móvel'!O146</f>
        <v/>
      </c>
      <c r="E116" s="152">
        <v>0</v>
      </c>
      <c r="F116" s="153">
        <f t="shared" si="18"/>
        <v>0</v>
      </c>
      <c r="G116" s="153">
        <f t="shared" si="19"/>
        <v>0</v>
      </c>
      <c r="H116" s="153">
        <f t="shared" si="20"/>
        <v>0</v>
      </c>
      <c r="I116" s="153">
        <f t="shared" si="21"/>
        <v>0</v>
      </c>
      <c r="J116" s="153">
        <f t="shared" si="22"/>
        <v>0</v>
      </c>
      <c r="K116" s="154">
        <f t="shared" si="23"/>
        <v>0</v>
      </c>
      <c r="L116" s="37">
        <f>'Combustão Móvel'!F146</f>
        <v>0</v>
      </c>
      <c r="M116" s="41">
        <f>'Combustão Móvel'!G146</f>
        <v>0</v>
      </c>
      <c r="N116" s="153"/>
      <c r="O116" s="153">
        <f t="shared" si="24"/>
        <v>0</v>
      </c>
      <c r="P116" s="153"/>
      <c r="Q116" s="153"/>
      <c r="R116" s="153">
        <f t="shared" si="25"/>
        <v>0</v>
      </c>
      <c r="S116" s="153">
        <f t="shared" si="26"/>
        <v>0</v>
      </c>
      <c r="T116" s="164">
        <f t="shared" si="27"/>
        <v>0</v>
      </c>
      <c r="U116" s="164">
        <f t="shared" si="28"/>
        <v>0</v>
      </c>
      <c r="V116" s="137" t="str">
        <f t="shared" si="29"/>
        <v/>
      </c>
      <c r="W116" s="137" t="str">
        <f t="shared" si="30"/>
        <v/>
      </c>
      <c r="X116" s="137" t="str">
        <f t="shared" si="31"/>
        <v/>
      </c>
    </row>
    <row r="117" spans="2:24" ht="15" thickBot="1" x14ac:dyDescent="0.4">
      <c r="B117" s="1146"/>
      <c r="C117" s="56">
        <f>'Combustão Móvel'!B147</f>
        <v>0</v>
      </c>
      <c r="D117" s="148" t="str">
        <f>'Combustão Móvel'!O147</f>
        <v/>
      </c>
      <c r="E117" s="152">
        <v>0</v>
      </c>
      <c r="F117" s="153">
        <f t="shared" si="18"/>
        <v>0</v>
      </c>
      <c r="G117" s="153">
        <f t="shared" si="19"/>
        <v>0</v>
      </c>
      <c r="H117" s="153">
        <f t="shared" si="20"/>
        <v>0</v>
      </c>
      <c r="I117" s="153">
        <f t="shared" si="21"/>
        <v>0</v>
      </c>
      <c r="J117" s="153">
        <f t="shared" si="22"/>
        <v>0</v>
      </c>
      <c r="K117" s="154">
        <f t="shared" si="23"/>
        <v>0</v>
      </c>
      <c r="L117" s="37">
        <f>'Combustão Móvel'!F147</f>
        <v>0</v>
      </c>
      <c r="M117" s="41">
        <f>'Combustão Móvel'!G147</f>
        <v>0</v>
      </c>
      <c r="N117" s="153"/>
      <c r="O117" s="153">
        <f t="shared" si="24"/>
        <v>0</v>
      </c>
      <c r="P117" s="153"/>
      <c r="Q117" s="153"/>
      <c r="R117" s="153">
        <f t="shared" si="25"/>
        <v>0</v>
      </c>
      <c r="S117" s="153">
        <f t="shared" si="26"/>
        <v>0</v>
      </c>
      <c r="T117" s="164">
        <f t="shared" si="27"/>
        <v>0</v>
      </c>
      <c r="U117" s="164">
        <f t="shared" si="28"/>
        <v>0</v>
      </c>
      <c r="V117" s="137" t="str">
        <f t="shared" si="29"/>
        <v/>
      </c>
      <c r="W117" s="137" t="str">
        <f t="shared" si="30"/>
        <v/>
      </c>
      <c r="X117" s="137" t="str">
        <f t="shared" si="31"/>
        <v/>
      </c>
    </row>
    <row r="118" spans="2:24" ht="15" thickBot="1" x14ac:dyDescent="0.4">
      <c r="B118" s="1146"/>
      <c r="C118" s="56">
        <f>'Combustão Móvel'!B148</f>
        <v>0</v>
      </c>
      <c r="D118" s="148" t="str">
        <f>'Combustão Móvel'!O148</f>
        <v/>
      </c>
      <c r="E118" s="152">
        <v>0</v>
      </c>
      <c r="F118" s="153">
        <f t="shared" si="18"/>
        <v>0</v>
      </c>
      <c r="G118" s="153">
        <f t="shared" si="19"/>
        <v>0</v>
      </c>
      <c r="H118" s="153">
        <f t="shared" si="20"/>
        <v>0</v>
      </c>
      <c r="I118" s="153">
        <f t="shared" si="21"/>
        <v>0</v>
      </c>
      <c r="J118" s="153">
        <f t="shared" si="22"/>
        <v>0</v>
      </c>
      <c r="K118" s="154">
        <f t="shared" si="23"/>
        <v>0</v>
      </c>
      <c r="L118" s="37">
        <f>'Combustão Móvel'!F148</f>
        <v>0</v>
      </c>
      <c r="M118" s="41">
        <f>'Combustão Móvel'!G148</f>
        <v>0</v>
      </c>
      <c r="N118" s="153"/>
      <c r="O118" s="153">
        <f t="shared" si="24"/>
        <v>0</v>
      </c>
      <c r="P118" s="153"/>
      <c r="Q118" s="153"/>
      <c r="R118" s="153">
        <f t="shared" si="25"/>
        <v>0</v>
      </c>
      <c r="S118" s="153">
        <f t="shared" si="26"/>
        <v>0</v>
      </c>
      <c r="T118" s="164">
        <f t="shared" si="27"/>
        <v>0</v>
      </c>
      <c r="U118" s="164">
        <f t="shared" si="28"/>
        <v>0</v>
      </c>
      <c r="V118" s="137" t="str">
        <f t="shared" si="29"/>
        <v/>
      </c>
      <c r="W118" s="137" t="str">
        <f t="shared" si="30"/>
        <v/>
      </c>
      <c r="X118" s="137" t="str">
        <f t="shared" si="31"/>
        <v/>
      </c>
    </row>
    <row r="119" spans="2:24" ht="15" thickBot="1" x14ac:dyDescent="0.4">
      <c r="B119" s="1146"/>
      <c r="C119" s="56">
        <f>'Combustão Móvel'!B149</f>
        <v>0</v>
      </c>
      <c r="D119" s="148" t="str">
        <f>'Combustão Móvel'!O149</f>
        <v/>
      </c>
      <c r="E119" s="152">
        <v>0</v>
      </c>
      <c r="F119" s="153">
        <f t="shared" si="18"/>
        <v>0</v>
      </c>
      <c r="G119" s="153">
        <f t="shared" si="19"/>
        <v>0</v>
      </c>
      <c r="H119" s="153">
        <f t="shared" si="20"/>
        <v>0</v>
      </c>
      <c r="I119" s="153">
        <f t="shared" si="21"/>
        <v>0</v>
      </c>
      <c r="J119" s="153">
        <f t="shared" si="22"/>
        <v>0</v>
      </c>
      <c r="K119" s="154">
        <f t="shared" si="23"/>
        <v>0</v>
      </c>
      <c r="L119" s="37">
        <f>'Combustão Móvel'!F149</f>
        <v>0</v>
      </c>
      <c r="M119" s="41">
        <f>'Combustão Móvel'!G149</f>
        <v>0</v>
      </c>
      <c r="N119" s="153"/>
      <c r="O119" s="153">
        <f t="shared" si="24"/>
        <v>0</v>
      </c>
      <c r="P119" s="153"/>
      <c r="Q119" s="153"/>
      <c r="R119" s="153">
        <f t="shared" si="25"/>
        <v>0</v>
      </c>
      <c r="S119" s="153">
        <f t="shared" si="26"/>
        <v>0</v>
      </c>
      <c r="T119" s="164">
        <f t="shared" si="27"/>
        <v>0</v>
      </c>
      <c r="U119" s="164">
        <f t="shared" si="28"/>
        <v>0</v>
      </c>
      <c r="V119" s="137" t="str">
        <f t="shared" si="29"/>
        <v/>
      </c>
      <c r="W119" s="137" t="str">
        <f t="shared" si="30"/>
        <v/>
      </c>
      <c r="X119" s="137" t="str">
        <f t="shared" si="31"/>
        <v/>
      </c>
    </row>
    <row r="120" spans="2:24" ht="15" thickBot="1" x14ac:dyDescent="0.4">
      <c r="B120" s="1147"/>
      <c r="C120" s="56">
        <f>'Combustão Móvel'!B150</f>
        <v>0</v>
      </c>
      <c r="D120" s="148" t="str">
        <f>'Combustão Móvel'!O150</f>
        <v/>
      </c>
      <c r="E120" s="155">
        <v>0</v>
      </c>
      <c r="F120" s="156">
        <f t="shared" si="18"/>
        <v>0</v>
      </c>
      <c r="G120" s="156">
        <f t="shared" si="19"/>
        <v>0</v>
      </c>
      <c r="H120" s="156">
        <f t="shared" si="20"/>
        <v>0</v>
      </c>
      <c r="I120" s="156">
        <f t="shared" si="21"/>
        <v>0</v>
      </c>
      <c r="J120" s="156">
        <f t="shared" si="22"/>
        <v>0</v>
      </c>
      <c r="K120" s="157">
        <f t="shared" si="23"/>
        <v>0</v>
      </c>
      <c r="L120" s="37">
        <f>'Combustão Móvel'!F150</f>
        <v>0</v>
      </c>
      <c r="M120" s="41">
        <f>'Combustão Móvel'!G150</f>
        <v>0</v>
      </c>
      <c r="N120" s="153"/>
      <c r="O120" s="153">
        <f t="shared" si="24"/>
        <v>0</v>
      </c>
      <c r="P120" s="153"/>
      <c r="Q120" s="153"/>
      <c r="R120" s="153">
        <f t="shared" si="25"/>
        <v>0</v>
      </c>
      <c r="S120" s="153">
        <f t="shared" si="26"/>
        <v>0</v>
      </c>
      <c r="T120" s="164">
        <f t="shared" si="27"/>
        <v>0</v>
      </c>
      <c r="U120" s="164">
        <f t="shared" si="28"/>
        <v>0</v>
      </c>
      <c r="V120" s="137" t="str">
        <f t="shared" si="29"/>
        <v/>
      </c>
      <c r="W120" s="137" t="str">
        <f t="shared" si="30"/>
        <v/>
      </c>
      <c r="X120" s="137" t="str">
        <f t="shared" si="31"/>
        <v/>
      </c>
    </row>
    <row r="121" spans="2:24" ht="15" thickBot="1" x14ac:dyDescent="0.4">
      <c r="B121" s="1151" t="s">
        <v>233</v>
      </c>
      <c r="C121" s="40">
        <f>'Combustão Móvel'!B169</f>
        <v>0</v>
      </c>
      <c r="D121" s="158" t="str">
        <f>'Combustão Móvel'!Q169</f>
        <v/>
      </c>
      <c r="E121" s="159">
        <f>'Combustão Móvel'!H169</f>
        <v>0</v>
      </c>
      <c r="F121" s="159">
        <f t="shared" ref="F121" si="32">IF(C121=$F$20,D121,0)</f>
        <v>0</v>
      </c>
      <c r="G121" s="159">
        <f t="shared" ref="G121" si="33">IF(C121=$G$20,D121,0)</f>
        <v>0</v>
      </c>
      <c r="H121" s="159">
        <f t="shared" ref="H121" si="34">IF(C121=$H$20,D121,0)</f>
        <v>0</v>
      </c>
      <c r="I121" s="159">
        <f t="shared" ref="I121" si="35">IF(C121=$I$20,E121,0)</f>
        <v>0</v>
      </c>
      <c r="J121" s="159">
        <f t="shared" ref="J121" si="36">IF(C121=$J$20,E121,0)</f>
        <v>0</v>
      </c>
      <c r="K121" s="158">
        <f t="shared" ref="K121" si="37">IF(C121=$K$20,E121,0)</f>
        <v>0</v>
      </c>
      <c r="L121" s="66">
        <f>'Combustão Móvel'!H169</f>
        <v>0</v>
      </c>
      <c r="M121" s="67">
        <f>'Combustão Móvel'!I169</f>
        <v>0</v>
      </c>
      <c r="N121" s="153"/>
      <c r="O121" s="153">
        <f t="shared" si="24"/>
        <v>0</v>
      </c>
      <c r="P121" s="153"/>
      <c r="Q121" s="153"/>
      <c r="R121" s="153">
        <f t="shared" si="25"/>
        <v>0</v>
      </c>
      <c r="S121" s="153">
        <f t="shared" si="26"/>
        <v>0</v>
      </c>
      <c r="T121" s="164">
        <f t="shared" si="27"/>
        <v>0</v>
      </c>
      <c r="U121" s="164">
        <f t="shared" si="28"/>
        <v>0</v>
      </c>
      <c r="V121" s="137" t="str">
        <f t="shared" si="29"/>
        <v/>
      </c>
      <c r="W121" s="137" t="str">
        <f t="shared" si="30"/>
        <v/>
      </c>
      <c r="X121" s="137" t="str">
        <f t="shared" si="31"/>
        <v/>
      </c>
    </row>
    <row r="122" spans="2:24" ht="15" thickBot="1" x14ac:dyDescent="0.4">
      <c r="B122" s="1152"/>
      <c r="C122" s="40">
        <f>'Combustão Móvel'!B170</f>
        <v>0</v>
      </c>
      <c r="D122" s="158" t="str">
        <f>'Combustão Móvel'!Q170</f>
        <v/>
      </c>
      <c r="E122" s="153">
        <f>'Combustão Móvel'!H170</f>
        <v>0</v>
      </c>
      <c r="F122" s="153">
        <f t="shared" ref="F122:F185" si="38">IF(C122=$F$20,D122,0)</f>
        <v>0</v>
      </c>
      <c r="G122" s="153">
        <f t="shared" ref="G122:G185" si="39">IF(C122=$G$20,D122,0)</f>
        <v>0</v>
      </c>
      <c r="H122" s="153">
        <f t="shared" ref="H122:H185" si="40">IF(C122=$H$20,D122,0)</f>
        <v>0</v>
      </c>
      <c r="I122" s="153">
        <f t="shared" ref="I122:I185" si="41">IF(C122=$I$20,E122,0)</f>
        <v>0</v>
      </c>
      <c r="J122" s="153">
        <f t="shared" ref="J122:J185" si="42">IF(C122=$J$20,E122,0)</f>
        <v>0</v>
      </c>
      <c r="K122" s="160">
        <f t="shared" ref="K122:K185" si="43">IF(C122=$K$20,E122,0)</f>
        <v>0</v>
      </c>
      <c r="L122" s="66">
        <f>'Combustão Móvel'!H170</f>
        <v>0</v>
      </c>
      <c r="M122" s="67">
        <f>'Combustão Móvel'!I170</f>
        <v>0</v>
      </c>
      <c r="N122" s="153"/>
      <c r="O122" s="153">
        <f t="shared" si="24"/>
        <v>0</v>
      </c>
      <c r="P122" s="153"/>
      <c r="Q122" s="153"/>
      <c r="R122" s="153">
        <f t="shared" si="25"/>
        <v>0</v>
      </c>
      <c r="S122" s="153">
        <f t="shared" si="26"/>
        <v>0</v>
      </c>
      <c r="T122" s="164">
        <f t="shared" si="27"/>
        <v>0</v>
      </c>
      <c r="U122" s="164">
        <f t="shared" si="28"/>
        <v>0</v>
      </c>
      <c r="V122" s="137" t="str">
        <f t="shared" si="29"/>
        <v/>
      </c>
      <c r="W122" s="137" t="str">
        <f t="shared" si="30"/>
        <v/>
      </c>
      <c r="X122" s="137" t="str">
        <f t="shared" si="31"/>
        <v/>
      </c>
    </row>
    <row r="123" spans="2:24" ht="15" thickBot="1" x14ac:dyDescent="0.4">
      <c r="B123" s="1152"/>
      <c r="C123" s="40">
        <f>'Combustão Móvel'!B171</f>
        <v>0</v>
      </c>
      <c r="D123" s="158" t="str">
        <f>'Combustão Móvel'!Q171</f>
        <v/>
      </c>
      <c r="E123" s="153">
        <f>'Combustão Móvel'!H171</f>
        <v>0</v>
      </c>
      <c r="F123" s="153">
        <f t="shared" si="38"/>
        <v>0</v>
      </c>
      <c r="G123" s="153">
        <f t="shared" si="39"/>
        <v>0</v>
      </c>
      <c r="H123" s="153">
        <f t="shared" si="40"/>
        <v>0</v>
      </c>
      <c r="I123" s="153">
        <f t="shared" si="41"/>
        <v>0</v>
      </c>
      <c r="J123" s="153">
        <f t="shared" si="42"/>
        <v>0</v>
      </c>
      <c r="K123" s="160">
        <f t="shared" si="43"/>
        <v>0</v>
      </c>
      <c r="L123" s="66">
        <f>'Combustão Móvel'!H171</f>
        <v>0</v>
      </c>
      <c r="M123" s="67">
        <f>'Combustão Móvel'!I171</f>
        <v>0</v>
      </c>
      <c r="N123" s="153"/>
      <c r="O123" s="153">
        <f t="shared" si="24"/>
        <v>0</v>
      </c>
      <c r="P123" s="153"/>
      <c r="Q123" s="153"/>
      <c r="R123" s="153">
        <f t="shared" si="25"/>
        <v>0</v>
      </c>
      <c r="S123" s="153">
        <f t="shared" si="26"/>
        <v>0</v>
      </c>
      <c r="T123" s="164">
        <f t="shared" si="27"/>
        <v>0</v>
      </c>
      <c r="U123" s="164">
        <f t="shared" si="28"/>
        <v>0</v>
      </c>
      <c r="V123" s="137" t="str">
        <f t="shared" si="29"/>
        <v/>
      </c>
      <c r="W123" s="137" t="str">
        <f t="shared" si="30"/>
        <v/>
      </c>
      <c r="X123" s="137" t="str">
        <f t="shared" si="31"/>
        <v/>
      </c>
    </row>
    <row r="124" spans="2:24" ht="15" thickBot="1" x14ac:dyDescent="0.4">
      <c r="B124" s="1152"/>
      <c r="C124" s="40">
        <f>'Combustão Móvel'!B172</f>
        <v>0</v>
      </c>
      <c r="D124" s="158" t="str">
        <f>'Combustão Móvel'!Q172</f>
        <v/>
      </c>
      <c r="E124" s="153">
        <f>'Combustão Móvel'!H172</f>
        <v>0</v>
      </c>
      <c r="F124" s="153">
        <f t="shared" si="38"/>
        <v>0</v>
      </c>
      <c r="G124" s="153">
        <f t="shared" si="39"/>
        <v>0</v>
      </c>
      <c r="H124" s="153">
        <f t="shared" si="40"/>
        <v>0</v>
      </c>
      <c r="I124" s="153">
        <f t="shared" si="41"/>
        <v>0</v>
      </c>
      <c r="J124" s="153">
        <f t="shared" si="42"/>
        <v>0</v>
      </c>
      <c r="K124" s="160">
        <f t="shared" si="43"/>
        <v>0</v>
      </c>
      <c r="L124" s="66">
        <f>'Combustão Móvel'!H172</f>
        <v>0</v>
      </c>
      <c r="M124" s="67">
        <f>'Combustão Móvel'!I172</f>
        <v>0</v>
      </c>
      <c r="N124" s="153"/>
      <c r="O124" s="153">
        <f t="shared" si="24"/>
        <v>0</v>
      </c>
      <c r="P124" s="153"/>
      <c r="Q124" s="153"/>
      <c r="R124" s="153">
        <f t="shared" si="25"/>
        <v>0</v>
      </c>
      <c r="S124" s="153">
        <f t="shared" si="26"/>
        <v>0</v>
      </c>
      <c r="T124" s="164">
        <f t="shared" si="27"/>
        <v>0</v>
      </c>
      <c r="U124" s="164">
        <f t="shared" si="28"/>
        <v>0</v>
      </c>
      <c r="V124" s="137" t="str">
        <f t="shared" si="29"/>
        <v/>
      </c>
      <c r="W124" s="137" t="str">
        <f t="shared" si="30"/>
        <v/>
      </c>
      <c r="X124" s="137" t="str">
        <f t="shared" si="31"/>
        <v/>
      </c>
    </row>
    <row r="125" spans="2:24" ht="15" thickBot="1" x14ac:dyDescent="0.4">
      <c r="B125" s="1152"/>
      <c r="C125" s="40">
        <f>'Combustão Móvel'!B173</f>
        <v>0</v>
      </c>
      <c r="D125" s="158" t="str">
        <f>'Combustão Móvel'!Q173</f>
        <v/>
      </c>
      <c r="E125" s="153">
        <f>'Combustão Móvel'!H173</f>
        <v>0</v>
      </c>
      <c r="F125" s="153">
        <f t="shared" si="38"/>
        <v>0</v>
      </c>
      <c r="G125" s="153">
        <f t="shared" si="39"/>
        <v>0</v>
      </c>
      <c r="H125" s="153">
        <f t="shared" si="40"/>
        <v>0</v>
      </c>
      <c r="I125" s="153">
        <f t="shared" si="41"/>
        <v>0</v>
      </c>
      <c r="J125" s="153">
        <f t="shared" si="42"/>
        <v>0</v>
      </c>
      <c r="K125" s="160">
        <f t="shared" si="43"/>
        <v>0</v>
      </c>
      <c r="L125" s="66">
        <f>'Combustão Móvel'!H173</f>
        <v>0</v>
      </c>
      <c r="M125" s="67">
        <f>'Combustão Móvel'!I173</f>
        <v>0</v>
      </c>
      <c r="N125" s="153"/>
      <c r="O125" s="153">
        <f t="shared" si="24"/>
        <v>0</v>
      </c>
      <c r="P125" s="153"/>
      <c r="Q125" s="153"/>
      <c r="R125" s="153">
        <f t="shared" si="25"/>
        <v>0</v>
      </c>
      <c r="S125" s="153">
        <f t="shared" si="26"/>
        <v>0</v>
      </c>
      <c r="T125" s="164">
        <f t="shared" si="27"/>
        <v>0</v>
      </c>
      <c r="U125" s="164">
        <f t="shared" si="28"/>
        <v>0</v>
      </c>
      <c r="V125" s="137" t="str">
        <f t="shared" si="29"/>
        <v/>
      </c>
      <c r="W125" s="137" t="str">
        <f t="shared" si="30"/>
        <v/>
      </c>
      <c r="X125" s="137" t="str">
        <f t="shared" si="31"/>
        <v/>
      </c>
    </row>
    <row r="126" spans="2:24" ht="15" thickBot="1" x14ac:dyDescent="0.4">
      <c r="B126" s="1152"/>
      <c r="C126" s="40">
        <f>'Combustão Móvel'!B174</f>
        <v>0</v>
      </c>
      <c r="D126" s="158" t="str">
        <f>'Combustão Móvel'!Q174</f>
        <v/>
      </c>
      <c r="E126" s="153">
        <f>'Combustão Móvel'!H174</f>
        <v>0</v>
      </c>
      <c r="F126" s="153">
        <f t="shared" si="38"/>
        <v>0</v>
      </c>
      <c r="G126" s="153">
        <f t="shared" si="39"/>
        <v>0</v>
      </c>
      <c r="H126" s="153">
        <f t="shared" si="40"/>
        <v>0</v>
      </c>
      <c r="I126" s="153">
        <f t="shared" si="41"/>
        <v>0</v>
      </c>
      <c r="J126" s="153">
        <f t="shared" si="42"/>
        <v>0</v>
      </c>
      <c r="K126" s="160">
        <f t="shared" si="43"/>
        <v>0</v>
      </c>
      <c r="L126" s="66">
        <f>'Combustão Móvel'!H174</f>
        <v>0</v>
      </c>
      <c r="M126" s="67">
        <f>'Combustão Móvel'!I174</f>
        <v>0</v>
      </c>
      <c r="N126" s="153"/>
      <c r="O126" s="153">
        <f t="shared" si="24"/>
        <v>0</v>
      </c>
      <c r="P126" s="153"/>
      <c r="Q126" s="153"/>
      <c r="R126" s="153">
        <f t="shared" si="25"/>
        <v>0</v>
      </c>
      <c r="S126" s="153">
        <f t="shared" si="26"/>
        <v>0</v>
      </c>
      <c r="T126" s="164">
        <f t="shared" si="27"/>
        <v>0</v>
      </c>
      <c r="U126" s="164">
        <f t="shared" si="28"/>
        <v>0</v>
      </c>
      <c r="V126" s="137" t="str">
        <f t="shared" si="29"/>
        <v/>
      </c>
      <c r="W126" s="137" t="str">
        <f t="shared" si="30"/>
        <v/>
      </c>
      <c r="X126" s="137" t="str">
        <f t="shared" si="31"/>
        <v/>
      </c>
    </row>
    <row r="127" spans="2:24" ht="15" thickBot="1" x14ac:dyDescent="0.4">
      <c r="B127" s="1152"/>
      <c r="C127" s="40">
        <f>'Combustão Móvel'!B175</f>
        <v>0</v>
      </c>
      <c r="D127" s="158" t="str">
        <f>'Combustão Móvel'!Q175</f>
        <v/>
      </c>
      <c r="E127" s="153">
        <f>'Combustão Móvel'!H175</f>
        <v>0</v>
      </c>
      <c r="F127" s="153">
        <f t="shared" si="38"/>
        <v>0</v>
      </c>
      <c r="G127" s="153">
        <f t="shared" si="39"/>
        <v>0</v>
      </c>
      <c r="H127" s="153">
        <f t="shared" si="40"/>
        <v>0</v>
      </c>
      <c r="I127" s="153">
        <f t="shared" si="41"/>
        <v>0</v>
      </c>
      <c r="J127" s="153">
        <f t="shared" si="42"/>
        <v>0</v>
      </c>
      <c r="K127" s="160">
        <f t="shared" si="43"/>
        <v>0</v>
      </c>
      <c r="L127" s="66">
        <f>'Combustão Móvel'!H175</f>
        <v>0</v>
      </c>
      <c r="M127" s="67">
        <f>'Combustão Móvel'!I175</f>
        <v>0</v>
      </c>
      <c r="N127" s="153"/>
      <c r="O127" s="153">
        <f t="shared" si="24"/>
        <v>0</v>
      </c>
      <c r="P127" s="153"/>
      <c r="Q127" s="153"/>
      <c r="R127" s="153">
        <f t="shared" si="25"/>
        <v>0</v>
      </c>
      <c r="S127" s="153">
        <f t="shared" si="26"/>
        <v>0</v>
      </c>
      <c r="T127" s="164">
        <f t="shared" si="27"/>
        <v>0</v>
      </c>
      <c r="U127" s="164">
        <f t="shared" si="28"/>
        <v>0</v>
      </c>
      <c r="V127" s="137" t="str">
        <f t="shared" si="29"/>
        <v/>
      </c>
      <c r="W127" s="137" t="str">
        <f t="shared" si="30"/>
        <v/>
      </c>
      <c r="X127" s="137" t="str">
        <f t="shared" si="31"/>
        <v/>
      </c>
    </row>
    <row r="128" spans="2:24" ht="15" thickBot="1" x14ac:dyDescent="0.4">
      <c r="B128" s="1152"/>
      <c r="C128" s="40">
        <f>'Combustão Móvel'!B176</f>
        <v>0</v>
      </c>
      <c r="D128" s="158" t="str">
        <f>'Combustão Móvel'!Q176</f>
        <v/>
      </c>
      <c r="E128" s="153">
        <f>'Combustão Móvel'!H176</f>
        <v>0</v>
      </c>
      <c r="F128" s="153">
        <f t="shared" si="38"/>
        <v>0</v>
      </c>
      <c r="G128" s="153">
        <f t="shared" si="39"/>
        <v>0</v>
      </c>
      <c r="H128" s="153">
        <f t="shared" si="40"/>
        <v>0</v>
      </c>
      <c r="I128" s="153">
        <f t="shared" si="41"/>
        <v>0</v>
      </c>
      <c r="J128" s="153">
        <f t="shared" si="42"/>
        <v>0</v>
      </c>
      <c r="K128" s="160">
        <f t="shared" si="43"/>
        <v>0</v>
      </c>
      <c r="L128" s="66">
        <f>'Combustão Móvel'!H176</f>
        <v>0</v>
      </c>
      <c r="M128" s="67">
        <f>'Combustão Móvel'!I176</f>
        <v>0</v>
      </c>
      <c r="N128" s="153"/>
      <c r="O128" s="153">
        <f t="shared" si="24"/>
        <v>0</v>
      </c>
      <c r="P128" s="153"/>
      <c r="Q128" s="153"/>
      <c r="R128" s="153">
        <f t="shared" si="25"/>
        <v>0</v>
      </c>
      <c r="S128" s="153">
        <f t="shared" si="26"/>
        <v>0</v>
      </c>
      <c r="T128" s="164">
        <f t="shared" si="27"/>
        <v>0</v>
      </c>
      <c r="U128" s="164">
        <f t="shared" si="28"/>
        <v>0</v>
      </c>
      <c r="V128" s="137" t="str">
        <f t="shared" si="29"/>
        <v/>
      </c>
      <c r="W128" s="137" t="str">
        <f t="shared" si="30"/>
        <v/>
      </c>
      <c r="X128" s="137" t="str">
        <f t="shared" si="31"/>
        <v/>
      </c>
    </row>
    <row r="129" spans="2:24" ht="15" thickBot="1" x14ac:dyDescent="0.4">
      <c r="B129" s="1152"/>
      <c r="C129" s="40">
        <f>'Combustão Móvel'!B177</f>
        <v>0</v>
      </c>
      <c r="D129" s="158" t="str">
        <f>'Combustão Móvel'!Q177</f>
        <v/>
      </c>
      <c r="E129" s="153">
        <f>'Combustão Móvel'!H177</f>
        <v>0</v>
      </c>
      <c r="F129" s="153">
        <f t="shared" si="38"/>
        <v>0</v>
      </c>
      <c r="G129" s="153">
        <f t="shared" si="39"/>
        <v>0</v>
      </c>
      <c r="H129" s="153">
        <f t="shared" si="40"/>
        <v>0</v>
      </c>
      <c r="I129" s="153">
        <f t="shared" si="41"/>
        <v>0</v>
      </c>
      <c r="J129" s="153">
        <f t="shared" si="42"/>
        <v>0</v>
      </c>
      <c r="K129" s="160">
        <f t="shared" si="43"/>
        <v>0</v>
      </c>
      <c r="L129" s="66">
        <f>'Combustão Móvel'!H177</f>
        <v>0</v>
      </c>
      <c r="M129" s="67">
        <f>'Combustão Móvel'!I177</f>
        <v>0</v>
      </c>
      <c r="N129" s="153"/>
      <c r="O129" s="153">
        <f t="shared" si="24"/>
        <v>0</v>
      </c>
      <c r="P129" s="153"/>
      <c r="Q129" s="153"/>
      <c r="R129" s="153">
        <f t="shared" si="25"/>
        <v>0</v>
      </c>
      <c r="S129" s="153">
        <f t="shared" si="26"/>
        <v>0</v>
      </c>
      <c r="T129" s="164">
        <f t="shared" si="27"/>
        <v>0</v>
      </c>
      <c r="U129" s="164">
        <f t="shared" si="28"/>
        <v>0</v>
      </c>
      <c r="V129" s="137" t="str">
        <f t="shared" si="29"/>
        <v/>
      </c>
      <c r="W129" s="137" t="str">
        <f t="shared" si="30"/>
        <v/>
      </c>
      <c r="X129" s="137" t="str">
        <f t="shared" si="31"/>
        <v/>
      </c>
    </row>
    <row r="130" spans="2:24" ht="15" thickBot="1" x14ac:dyDescent="0.4">
      <c r="B130" s="1152"/>
      <c r="C130" s="40">
        <f>'Combustão Móvel'!B178</f>
        <v>0</v>
      </c>
      <c r="D130" s="158" t="str">
        <f>'Combustão Móvel'!Q178</f>
        <v/>
      </c>
      <c r="E130" s="153">
        <f>'Combustão Móvel'!H178</f>
        <v>0</v>
      </c>
      <c r="F130" s="153">
        <f t="shared" si="38"/>
        <v>0</v>
      </c>
      <c r="G130" s="153">
        <f t="shared" si="39"/>
        <v>0</v>
      </c>
      <c r="H130" s="153">
        <f t="shared" si="40"/>
        <v>0</v>
      </c>
      <c r="I130" s="153">
        <f t="shared" si="41"/>
        <v>0</v>
      </c>
      <c r="J130" s="153">
        <f t="shared" si="42"/>
        <v>0</v>
      </c>
      <c r="K130" s="160">
        <f t="shared" si="43"/>
        <v>0</v>
      </c>
      <c r="L130" s="66">
        <f>'Combustão Móvel'!H178</f>
        <v>0</v>
      </c>
      <c r="M130" s="67">
        <f>'Combustão Móvel'!I178</f>
        <v>0</v>
      </c>
      <c r="N130" s="153"/>
      <c r="O130" s="153">
        <f t="shared" si="24"/>
        <v>0</v>
      </c>
      <c r="P130" s="153"/>
      <c r="Q130" s="153"/>
      <c r="R130" s="153">
        <f t="shared" si="25"/>
        <v>0</v>
      </c>
      <c r="S130" s="153">
        <f t="shared" si="26"/>
        <v>0</v>
      </c>
      <c r="T130" s="164">
        <f t="shared" si="27"/>
        <v>0</v>
      </c>
      <c r="U130" s="164">
        <f t="shared" si="28"/>
        <v>0</v>
      </c>
      <c r="V130" s="137" t="str">
        <f t="shared" si="29"/>
        <v/>
      </c>
      <c r="W130" s="137" t="str">
        <f t="shared" si="30"/>
        <v/>
      </c>
      <c r="X130" s="137" t="str">
        <f t="shared" si="31"/>
        <v/>
      </c>
    </row>
    <row r="131" spans="2:24" ht="15" thickBot="1" x14ac:dyDescent="0.4">
      <c r="B131" s="1152"/>
      <c r="C131" s="40">
        <f>'Combustão Móvel'!B179</f>
        <v>0</v>
      </c>
      <c r="D131" s="158" t="str">
        <f>'Combustão Móvel'!Q179</f>
        <v/>
      </c>
      <c r="E131" s="153">
        <f>'Combustão Móvel'!H179</f>
        <v>0</v>
      </c>
      <c r="F131" s="153">
        <f t="shared" si="38"/>
        <v>0</v>
      </c>
      <c r="G131" s="153">
        <f t="shared" si="39"/>
        <v>0</v>
      </c>
      <c r="H131" s="153">
        <f t="shared" si="40"/>
        <v>0</v>
      </c>
      <c r="I131" s="153">
        <f t="shared" si="41"/>
        <v>0</v>
      </c>
      <c r="J131" s="153">
        <f t="shared" si="42"/>
        <v>0</v>
      </c>
      <c r="K131" s="160">
        <f t="shared" si="43"/>
        <v>0</v>
      </c>
      <c r="L131" s="66">
        <f>'Combustão Móvel'!H179</f>
        <v>0</v>
      </c>
      <c r="M131" s="67">
        <f>'Combustão Móvel'!I179</f>
        <v>0</v>
      </c>
      <c r="N131" s="153"/>
      <c r="O131" s="153">
        <f t="shared" si="24"/>
        <v>0</v>
      </c>
      <c r="P131" s="153"/>
      <c r="Q131" s="153"/>
      <c r="R131" s="153">
        <f t="shared" si="25"/>
        <v>0</v>
      </c>
      <c r="S131" s="153">
        <f t="shared" si="26"/>
        <v>0</v>
      </c>
      <c r="T131" s="164">
        <f t="shared" si="27"/>
        <v>0</v>
      </c>
      <c r="U131" s="164">
        <f t="shared" si="28"/>
        <v>0</v>
      </c>
      <c r="V131" s="137" t="str">
        <f t="shared" si="29"/>
        <v/>
      </c>
      <c r="W131" s="137" t="str">
        <f t="shared" si="30"/>
        <v/>
      </c>
      <c r="X131" s="137" t="str">
        <f t="shared" si="31"/>
        <v/>
      </c>
    </row>
    <row r="132" spans="2:24" ht="15" thickBot="1" x14ac:dyDescent="0.4">
      <c r="B132" s="1152"/>
      <c r="C132" s="40">
        <f>'Combustão Móvel'!B180</f>
        <v>0</v>
      </c>
      <c r="D132" s="158" t="str">
        <f>'Combustão Móvel'!Q180</f>
        <v/>
      </c>
      <c r="E132" s="153">
        <f>'Combustão Móvel'!H180</f>
        <v>0</v>
      </c>
      <c r="F132" s="153">
        <f t="shared" si="38"/>
        <v>0</v>
      </c>
      <c r="G132" s="153">
        <f t="shared" si="39"/>
        <v>0</v>
      </c>
      <c r="H132" s="153">
        <f t="shared" si="40"/>
        <v>0</v>
      </c>
      <c r="I132" s="153">
        <f t="shared" si="41"/>
        <v>0</v>
      </c>
      <c r="J132" s="153">
        <f t="shared" si="42"/>
        <v>0</v>
      </c>
      <c r="K132" s="160">
        <f t="shared" si="43"/>
        <v>0</v>
      </c>
      <c r="L132" s="66">
        <f>'Combustão Móvel'!H180</f>
        <v>0</v>
      </c>
      <c r="M132" s="67">
        <f>'Combustão Móvel'!I180</f>
        <v>0</v>
      </c>
      <c r="N132" s="153"/>
      <c r="O132" s="153">
        <f t="shared" si="24"/>
        <v>0</v>
      </c>
      <c r="P132" s="153"/>
      <c r="Q132" s="153"/>
      <c r="R132" s="153">
        <f t="shared" si="25"/>
        <v>0</v>
      </c>
      <c r="S132" s="153">
        <f t="shared" si="26"/>
        <v>0</v>
      </c>
      <c r="T132" s="164">
        <f t="shared" si="27"/>
        <v>0</v>
      </c>
      <c r="U132" s="164">
        <f t="shared" si="28"/>
        <v>0</v>
      </c>
      <c r="V132" s="137" t="str">
        <f t="shared" si="29"/>
        <v/>
      </c>
      <c r="W132" s="137" t="str">
        <f t="shared" si="30"/>
        <v/>
      </c>
      <c r="X132" s="137" t="str">
        <f t="shared" si="31"/>
        <v/>
      </c>
    </row>
    <row r="133" spans="2:24" ht="15" thickBot="1" x14ac:dyDescent="0.4">
      <c r="B133" s="1152"/>
      <c r="C133" s="40">
        <f>'Combustão Móvel'!B181</f>
        <v>0</v>
      </c>
      <c r="D133" s="158" t="str">
        <f>'Combustão Móvel'!Q181</f>
        <v/>
      </c>
      <c r="E133" s="153">
        <f>'Combustão Móvel'!H181</f>
        <v>0</v>
      </c>
      <c r="F133" s="153">
        <f t="shared" si="38"/>
        <v>0</v>
      </c>
      <c r="G133" s="153">
        <f t="shared" si="39"/>
        <v>0</v>
      </c>
      <c r="H133" s="153">
        <f t="shared" si="40"/>
        <v>0</v>
      </c>
      <c r="I133" s="153">
        <f t="shared" si="41"/>
        <v>0</v>
      </c>
      <c r="J133" s="153">
        <f t="shared" si="42"/>
        <v>0</v>
      </c>
      <c r="K133" s="160">
        <f t="shared" si="43"/>
        <v>0</v>
      </c>
      <c r="L133" s="66">
        <f>'Combustão Móvel'!H181</f>
        <v>0</v>
      </c>
      <c r="M133" s="67">
        <f>'Combustão Móvel'!I181</f>
        <v>0</v>
      </c>
      <c r="N133" s="153"/>
      <c r="O133" s="153">
        <f t="shared" si="24"/>
        <v>0</v>
      </c>
      <c r="P133" s="153"/>
      <c r="Q133" s="153"/>
      <c r="R133" s="153">
        <f t="shared" si="25"/>
        <v>0</v>
      </c>
      <c r="S133" s="153">
        <f t="shared" si="26"/>
        <v>0</v>
      </c>
      <c r="T133" s="164">
        <f t="shared" si="27"/>
        <v>0</v>
      </c>
      <c r="U133" s="164">
        <f t="shared" si="28"/>
        <v>0</v>
      </c>
      <c r="V133" s="137" t="str">
        <f t="shared" si="29"/>
        <v/>
      </c>
      <c r="W133" s="137" t="str">
        <f t="shared" si="30"/>
        <v/>
      </c>
      <c r="X133" s="137" t="str">
        <f t="shared" si="31"/>
        <v/>
      </c>
    </row>
    <row r="134" spans="2:24" ht="15" thickBot="1" x14ac:dyDescent="0.4">
      <c r="B134" s="1152"/>
      <c r="C134" s="40">
        <f>'Combustão Móvel'!B182</f>
        <v>0</v>
      </c>
      <c r="D134" s="158" t="str">
        <f>'Combustão Móvel'!Q182</f>
        <v/>
      </c>
      <c r="E134" s="153">
        <f>'Combustão Móvel'!H182</f>
        <v>0</v>
      </c>
      <c r="F134" s="153">
        <f t="shared" si="38"/>
        <v>0</v>
      </c>
      <c r="G134" s="153">
        <f t="shared" si="39"/>
        <v>0</v>
      </c>
      <c r="H134" s="153">
        <f t="shared" si="40"/>
        <v>0</v>
      </c>
      <c r="I134" s="153">
        <f t="shared" si="41"/>
        <v>0</v>
      </c>
      <c r="J134" s="153">
        <f t="shared" si="42"/>
        <v>0</v>
      </c>
      <c r="K134" s="160">
        <f t="shared" si="43"/>
        <v>0</v>
      </c>
      <c r="L134" s="66">
        <f>'Combustão Móvel'!H182</f>
        <v>0</v>
      </c>
      <c r="M134" s="67">
        <f>'Combustão Móvel'!I182</f>
        <v>0</v>
      </c>
      <c r="N134" s="153"/>
      <c r="O134" s="153">
        <f t="shared" si="24"/>
        <v>0</v>
      </c>
      <c r="P134" s="153"/>
      <c r="Q134" s="153"/>
      <c r="R134" s="153">
        <f t="shared" si="25"/>
        <v>0</v>
      </c>
      <c r="S134" s="153">
        <f t="shared" si="26"/>
        <v>0</v>
      </c>
      <c r="T134" s="164">
        <f t="shared" si="27"/>
        <v>0</v>
      </c>
      <c r="U134" s="164">
        <f t="shared" si="28"/>
        <v>0</v>
      </c>
      <c r="V134" s="137" t="str">
        <f t="shared" si="29"/>
        <v/>
      </c>
      <c r="W134" s="137" t="str">
        <f t="shared" si="30"/>
        <v/>
      </c>
      <c r="X134" s="137" t="str">
        <f t="shared" si="31"/>
        <v/>
      </c>
    </row>
    <row r="135" spans="2:24" ht="15" thickBot="1" x14ac:dyDescent="0.4">
      <c r="B135" s="1152"/>
      <c r="C135" s="40">
        <f>'Combustão Móvel'!B183</f>
        <v>0</v>
      </c>
      <c r="D135" s="158" t="str">
        <f>'Combustão Móvel'!Q183</f>
        <v/>
      </c>
      <c r="E135" s="153">
        <f>'Combustão Móvel'!H183</f>
        <v>0</v>
      </c>
      <c r="F135" s="153">
        <f t="shared" si="38"/>
        <v>0</v>
      </c>
      <c r="G135" s="153">
        <f t="shared" si="39"/>
        <v>0</v>
      </c>
      <c r="H135" s="153">
        <f t="shared" si="40"/>
        <v>0</v>
      </c>
      <c r="I135" s="153">
        <f t="shared" si="41"/>
        <v>0</v>
      </c>
      <c r="J135" s="153">
        <f t="shared" si="42"/>
        <v>0</v>
      </c>
      <c r="K135" s="160">
        <f t="shared" si="43"/>
        <v>0</v>
      </c>
      <c r="L135" s="66">
        <f>'Combustão Móvel'!H183</f>
        <v>0</v>
      </c>
      <c r="M135" s="67">
        <f>'Combustão Móvel'!I183</f>
        <v>0</v>
      </c>
      <c r="N135" s="153"/>
      <c r="O135" s="153">
        <f t="shared" si="24"/>
        <v>0</v>
      </c>
      <c r="P135" s="153"/>
      <c r="Q135" s="153"/>
      <c r="R135" s="153">
        <f t="shared" si="25"/>
        <v>0</v>
      </c>
      <c r="S135" s="153">
        <f t="shared" si="26"/>
        <v>0</v>
      </c>
      <c r="T135" s="164">
        <f t="shared" si="27"/>
        <v>0</v>
      </c>
      <c r="U135" s="164">
        <f t="shared" si="28"/>
        <v>0</v>
      </c>
      <c r="V135" s="137" t="str">
        <f t="shared" si="29"/>
        <v/>
      </c>
      <c r="W135" s="137" t="str">
        <f t="shared" si="30"/>
        <v/>
      </c>
      <c r="X135" s="137" t="str">
        <f t="shared" si="31"/>
        <v/>
      </c>
    </row>
    <row r="136" spans="2:24" ht="15" thickBot="1" x14ac:dyDescent="0.4">
      <c r="B136" s="1152"/>
      <c r="C136" s="40">
        <f>'Combustão Móvel'!B184</f>
        <v>0</v>
      </c>
      <c r="D136" s="158" t="str">
        <f>'Combustão Móvel'!Q184</f>
        <v/>
      </c>
      <c r="E136" s="153">
        <f>'Combustão Móvel'!H184</f>
        <v>0</v>
      </c>
      <c r="F136" s="153">
        <f t="shared" si="38"/>
        <v>0</v>
      </c>
      <c r="G136" s="153">
        <f t="shared" si="39"/>
        <v>0</v>
      </c>
      <c r="H136" s="153">
        <f t="shared" si="40"/>
        <v>0</v>
      </c>
      <c r="I136" s="153">
        <f t="shared" si="41"/>
        <v>0</v>
      </c>
      <c r="J136" s="153">
        <f t="shared" si="42"/>
        <v>0</v>
      </c>
      <c r="K136" s="160">
        <f t="shared" si="43"/>
        <v>0</v>
      </c>
      <c r="L136" s="66">
        <f>'Combustão Móvel'!H184</f>
        <v>0</v>
      </c>
      <c r="M136" s="67">
        <f>'Combustão Móvel'!I184</f>
        <v>0</v>
      </c>
      <c r="N136" s="153"/>
      <c r="O136" s="153">
        <f t="shared" si="24"/>
        <v>0</v>
      </c>
      <c r="P136" s="153"/>
      <c r="Q136" s="153"/>
      <c r="R136" s="153">
        <f t="shared" si="25"/>
        <v>0</v>
      </c>
      <c r="S136" s="153">
        <f t="shared" si="26"/>
        <v>0</v>
      </c>
      <c r="T136" s="164">
        <f t="shared" si="27"/>
        <v>0</v>
      </c>
      <c r="U136" s="164">
        <f t="shared" si="28"/>
        <v>0</v>
      </c>
      <c r="V136" s="137" t="str">
        <f t="shared" si="29"/>
        <v/>
      </c>
      <c r="W136" s="137" t="str">
        <f t="shared" si="30"/>
        <v/>
      </c>
      <c r="X136" s="137" t="str">
        <f t="shared" si="31"/>
        <v/>
      </c>
    </row>
    <row r="137" spans="2:24" ht="15" thickBot="1" x14ac:dyDescent="0.4">
      <c r="B137" s="1152"/>
      <c r="C137" s="40">
        <f>'Combustão Móvel'!B185</f>
        <v>0</v>
      </c>
      <c r="D137" s="158" t="str">
        <f>'Combustão Móvel'!Q185</f>
        <v/>
      </c>
      <c r="E137" s="153">
        <f>'Combustão Móvel'!H185</f>
        <v>0</v>
      </c>
      <c r="F137" s="153">
        <f t="shared" si="38"/>
        <v>0</v>
      </c>
      <c r="G137" s="153">
        <f t="shared" si="39"/>
        <v>0</v>
      </c>
      <c r="H137" s="153">
        <f t="shared" si="40"/>
        <v>0</v>
      </c>
      <c r="I137" s="153">
        <f t="shared" si="41"/>
        <v>0</v>
      </c>
      <c r="J137" s="153">
        <f t="shared" si="42"/>
        <v>0</v>
      </c>
      <c r="K137" s="160">
        <f t="shared" si="43"/>
        <v>0</v>
      </c>
      <c r="L137" s="66">
        <f>'Combustão Móvel'!H185</f>
        <v>0</v>
      </c>
      <c r="M137" s="67">
        <f>'Combustão Móvel'!I185</f>
        <v>0</v>
      </c>
      <c r="N137" s="153"/>
      <c r="O137" s="153">
        <f t="shared" si="24"/>
        <v>0</v>
      </c>
      <c r="P137" s="153"/>
      <c r="Q137" s="153"/>
      <c r="R137" s="153">
        <f t="shared" si="25"/>
        <v>0</v>
      </c>
      <c r="S137" s="153">
        <f t="shared" si="26"/>
        <v>0</v>
      </c>
      <c r="T137" s="164">
        <f t="shared" si="27"/>
        <v>0</v>
      </c>
      <c r="U137" s="164">
        <f t="shared" si="28"/>
        <v>0</v>
      </c>
      <c r="V137" s="137" t="str">
        <f t="shared" si="29"/>
        <v/>
      </c>
      <c r="W137" s="137" t="str">
        <f t="shared" si="30"/>
        <v/>
      </c>
      <c r="X137" s="137" t="str">
        <f t="shared" si="31"/>
        <v/>
      </c>
    </row>
    <row r="138" spans="2:24" ht="15" thickBot="1" x14ac:dyDescent="0.4">
      <c r="B138" s="1152"/>
      <c r="C138" s="40">
        <f>'Combustão Móvel'!B186</f>
        <v>0</v>
      </c>
      <c r="D138" s="158" t="str">
        <f>'Combustão Móvel'!Q186</f>
        <v/>
      </c>
      <c r="E138" s="153">
        <f>'Combustão Móvel'!H186</f>
        <v>0</v>
      </c>
      <c r="F138" s="153">
        <f t="shared" si="38"/>
        <v>0</v>
      </c>
      <c r="G138" s="153">
        <f t="shared" si="39"/>
        <v>0</v>
      </c>
      <c r="H138" s="153">
        <f t="shared" si="40"/>
        <v>0</v>
      </c>
      <c r="I138" s="153">
        <f t="shared" si="41"/>
        <v>0</v>
      </c>
      <c r="J138" s="153">
        <f t="shared" si="42"/>
        <v>0</v>
      </c>
      <c r="K138" s="160">
        <f t="shared" si="43"/>
        <v>0</v>
      </c>
      <c r="L138" s="66">
        <f>'Combustão Móvel'!H186</f>
        <v>0</v>
      </c>
      <c r="M138" s="67">
        <f>'Combustão Móvel'!I186</f>
        <v>0</v>
      </c>
      <c r="N138" s="153"/>
      <c r="O138" s="153">
        <f t="shared" si="24"/>
        <v>0</v>
      </c>
      <c r="P138" s="153"/>
      <c r="Q138" s="153"/>
      <c r="R138" s="153">
        <f t="shared" si="25"/>
        <v>0</v>
      </c>
      <c r="S138" s="153">
        <f t="shared" si="26"/>
        <v>0</v>
      </c>
      <c r="T138" s="164">
        <f t="shared" si="27"/>
        <v>0</v>
      </c>
      <c r="U138" s="164">
        <f t="shared" si="28"/>
        <v>0</v>
      </c>
      <c r="V138" s="137" t="str">
        <f t="shared" si="29"/>
        <v/>
      </c>
      <c r="W138" s="137" t="str">
        <f t="shared" si="30"/>
        <v/>
      </c>
      <c r="X138" s="137" t="str">
        <f t="shared" si="31"/>
        <v/>
      </c>
    </row>
    <row r="139" spans="2:24" ht="15" thickBot="1" x14ac:dyDescent="0.4">
      <c r="B139" s="1152"/>
      <c r="C139" s="40">
        <f>'Combustão Móvel'!B187</f>
        <v>0</v>
      </c>
      <c r="D139" s="158" t="str">
        <f>'Combustão Móvel'!Q187</f>
        <v/>
      </c>
      <c r="E139" s="153">
        <f>'Combustão Móvel'!H187</f>
        <v>0</v>
      </c>
      <c r="F139" s="153">
        <f t="shared" si="38"/>
        <v>0</v>
      </c>
      <c r="G139" s="153">
        <f t="shared" si="39"/>
        <v>0</v>
      </c>
      <c r="H139" s="153">
        <f t="shared" si="40"/>
        <v>0</v>
      </c>
      <c r="I139" s="153">
        <f t="shared" si="41"/>
        <v>0</v>
      </c>
      <c r="J139" s="153">
        <f t="shared" si="42"/>
        <v>0</v>
      </c>
      <c r="K139" s="160">
        <f t="shared" si="43"/>
        <v>0</v>
      </c>
      <c r="L139" s="66">
        <f>'Combustão Móvel'!H187</f>
        <v>0</v>
      </c>
      <c r="M139" s="67">
        <f>'Combustão Móvel'!I187</f>
        <v>0</v>
      </c>
      <c r="N139" s="153"/>
      <c r="O139" s="153">
        <f t="shared" si="24"/>
        <v>0</v>
      </c>
      <c r="P139" s="153"/>
      <c r="Q139" s="153"/>
      <c r="R139" s="153">
        <f t="shared" si="25"/>
        <v>0</v>
      </c>
      <c r="S139" s="153">
        <f t="shared" si="26"/>
        <v>0</v>
      </c>
      <c r="T139" s="164">
        <f t="shared" si="27"/>
        <v>0</v>
      </c>
      <c r="U139" s="164">
        <f t="shared" si="28"/>
        <v>0</v>
      </c>
      <c r="V139" s="137" t="str">
        <f t="shared" si="29"/>
        <v/>
      </c>
      <c r="W139" s="137" t="str">
        <f t="shared" si="30"/>
        <v/>
      </c>
      <c r="X139" s="137" t="str">
        <f t="shared" si="31"/>
        <v/>
      </c>
    </row>
    <row r="140" spans="2:24" ht="15" thickBot="1" x14ac:dyDescent="0.4">
      <c r="B140" s="1152"/>
      <c r="C140" s="40">
        <f>'Combustão Móvel'!B188</f>
        <v>0</v>
      </c>
      <c r="D140" s="158" t="str">
        <f>'Combustão Móvel'!Q188</f>
        <v/>
      </c>
      <c r="E140" s="153">
        <f>'Combustão Móvel'!H188</f>
        <v>0</v>
      </c>
      <c r="F140" s="153">
        <f t="shared" si="38"/>
        <v>0</v>
      </c>
      <c r="G140" s="153">
        <f t="shared" si="39"/>
        <v>0</v>
      </c>
      <c r="H140" s="153">
        <f t="shared" si="40"/>
        <v>0</v>
      </c>
      <c r="I140" s="153">
        <f t="shared" si="41"/>
        <v>0</v>
      </c>
      <c r="J140" s="153">
        <f t="shared" si="42"/>
        <v>0</v>
      </c>
      <c r="K140" s="160">
        <f t="shared" si="43"/>
        <v>0</v>
      </c>
      <c r="L140" s="66">
        <f>'Combustão Móvel'!H188</f>
        <v>0</v>
      </c>
      <c r="M140" s="67">
        <f>'Combustão Móvel'!I188</f>
        <v>0</v>
      </c>
      <c r="N140" s="153"/>
      <c r="O140" s="153">
        <f t="shared" si="24"/>
        <v>0</v>
      </c>
      <c r="P140" s="153"/>
      <c r="Q140" s="153"/>
      <c r="R140" s="153">
        <f t="shared" si="25"/>
        <v>0</v>
      </c>
      <c r="S140" s="153">
        <f t="shared" si="26"/>
        <v>0</v>
      </c>
      <c r="T140" s="164">
        <f t="shared" si="27"/>
        <v>0</v>
      </c>
      <c r="U140" s="164">
        <f t="shared" si="28"/>
        <v>0</v>
      </c>
      <c r="V140" s="137" t="str">
        <f t="shared" si="29"/>
        <v/>
      </c>
      <c r="W140" s="137" t="str">
        <f t="shared" si="30"/>
        <v/>
      </c>
      <c r="X140" s="137" t="str">
        <f t="shared" si="31"/>
        <v/>
      </c>
    </row>
    <row r="141" spans="2:24" ht="15" thickBot="1" x14ac:dyDescent="0.4">
      <c r="B141" s="1152"/>
      <c r="C141" s="40">
        <f>'Combustão Móvel'!B189</f>
        <v>0</v>
      </c>
      <c r="D141" s="158" t="str">
        <f>'Combustão Móvel'!Q189</f>
        <v/>
      </c>
      <c r="E141" s="153">
        <f>'Combustão Móvel'!H189</f>
        <v>0</v>
      </c>
      <c r="F141" s="153">
        <f t="shared" si="38"/>
        <v>0</v>
      </c>
      <c r="G141" s="153">
        <f t="shared" si="39"/>
        <v>0</v>
      </c>
      <c r="H141" s="153">
        <f t="shared" si="40"/>
        <v>0</v>
      </c>
      <c r="I141" s="153">
        <f t="shared" si="41"/>
        <v>0</v>
      </c>
      <c r="J141" s="153">
        <f t="shared" si="42"/>
        <v>0</v>
      </c>
      <c r="K141" s="160">
        <f t="shared" si="43"/>
        <v>0</v>
      </c>
      <c r="L141" s="66">
        <f>'Combustão Móvel'!H189</f>
        <v>0</v>
      </c>
      <c r="M141" s="67">
        <f>'Combustão Móvel'!I189</f>
        <v>0</v>
      </c>
      <c r="N141" s="153"/>
      <c r="O141" s="153">
        <f t="shared" si="24"/>
        <v>0</v>
      </c>
      <c r="P141" s="153"/>
      <c r="Q141" s="153"/>
      <c r="R141" s="153">
        <f t="shared" si="25"/>
        <v>0</v>
      </c>
      <c r="S141" s="153">
        <f t="shared" si="26"/>
        <v>0</v>
      </c>
      <c r="T141" s="164">
        <f t="shared" si="27"/>
        <v>0</v>
      </c>
      <c r="U141" s="164">
        <f t="shared" si="28"/>
        <v>0</v>
      </c>
      <c r="V141" s="137" t="str">
        <f t="shared" si="29"/>
        <v/>
      </c>
      <c r="W141" s="137" t="str">
        <f t="shared" si="30"/>
        <v/>
      </c>
      <c r="X141" s="137" t="str">
        <f t="shared" si="31"/>
        <v/>
      </c>
    </row>
    <row r="142" spans="2:24" ht="15" thickBot="1" x14ac:dyDescent="0.4">
      <c r="B142" s="1152"/>
      <c r="C142" s="40">
        <f>'Combustão Móvel'!B190</f>
        <v>0</v>
      </c>
      <c r="D142" s="158" t="str">
        <f>'Combustão Móvel'!Q190</f>
        <v/>
      </c>
      <c r="E142" s="153">
        <f>'Combustão Móvel'!H190</f>
        <v>0</v>
      </c>
      <c r="F142" s="153">
        <f t="shared" si="38"/>
        <v>0</v>
      </c>
      <c r="G142" s="153">
        <f t="shared" si="39"/>
        <v>0</v>
      </c>
      <c r="H142" s="153">
        <f t="shared" si="40"/>
        <v>0</v>
      </c>
      <c r="I142" s="153">
        <f t="shared" si="41"/>
        <v>0</v>
      </c>
      <c r="J142" s="153">
        <f t="shared" si="42"/>
        <v>0</v>
      </c>
      <c r="K142" s="160">
        <f t="shared" si="43"/>
        <v>0</v>
      </c>
      <c r="L142" s="66">
        <f>'Combustão Móvel'!H190</f>
        <v>0</v>
      </c>
      <c r="M142" s="67">
        <f>'Combustão Móvel'!I190</f>
        <v>0</v>
      </c>
      <c r="N142" s="153"/>
      <c r="O142" s="153">
        <f t="shared" si="24"/>
        <v>0</v>
      </c>
      <c r="P142" s="153"/>
      <c r="Q142" s="153"/>
      <c r="R142" s="153">
        <f t="shared" si="25"/>
        <v>0</v>
      </c>
      <c r="S142" s="153">
        <f t="shared" si="26"/>
        <v>0</v>
      </c>
      <c r="T142" s="164">
        <f t="shared" si="27"/>
        <v>0</v>
      </c>
      <c r="U142" s="164">
        <f t="shared" si="28"/>
        <v>0</v>
      </c>
      <c r="V142" s="137" t="str">
        <f t="shared" si="29"/>
        <v/>
      </c>
      <c r="W142" s="137" t="str">
        <f t="shared" si="30"/>
        <v/>
      </c>
      <c r="X142" s="137" t="str">
        <f t="shared" si="31"/>
        <v/>
      </c>
    </row>
    <row r="143" spans="2:24" ht="15" thickBot="1" x14ac:dyDescent="0.4">
      <c r="B143" s="1152"/>
      <c r="C143" s="40">
        <f>'Combustão Móvel'!B191</f>
        <v>0</v>
      </c>
      <c r="D143" s="158" t="str">
        <f>'Combustão Móvel'!Q191</f>
        <v/>
      </c>
      <c r="E143" s="153">
        <f>'Combustão Móvel'!H191</f>
        <v>0</v>
      </c>
      <c r="F143" s="153">
        <f t="shared" si="38"/>
        <v>0</v>
      </c>
      <c r="G143" s="153">
        <f t="shared" si="39"/>
        <v>0</v>
      </c>
      <c r="H143" s="153">
        <f t="shared" si="40"/>
        <v>0</v>
      </c>
      <c r="I143" s="153">
        <f t="shared" si="41"/>
        <v>0</v>
      </c>
      <c r="J143" s="153">
        <f t="shared" si="42"/>
        <v>0</v>
      </c>
      <c r="K143" s="160">
        <f t="shared" si="43"/>
        <v>0</v>
      </c>
      <c r="L143" s="66">
        <f>'Combustão Móvel'!H191</f>
        <v>0</v>
      </c>
      <c r="M143" s="67">
        <f>'Combustão Móvel'!I191</f>
        <v>0</v>
      </c>
      <c r="N143" s="153"/>
      <c r="O143" s="153">
        <f t="shared" si="24"/>
        <v>0</v>
      </c>
      <c r="P143" s="153"/>
      <c r="Q143" s="153"/>
      <c r="R143" s="153">
        <f t="shared" si="25"/>
        <v>0</v>
      </c>
      <c r="S143" s="153">
        <f t="shared" si="26"/>
        <v>0</v>
      </c>
      <c r="T143" s="164">
        <f t="shared" si="27"/>
        <v>0</v>
      </c>
      <c r="U143" s="164">
        <f t="shared" si="28"/>
        <v>0</v>
      </c>
      <c r="V143" s="137" t="str">
        <f t="shared" si="29"/>
        <v/>
      </c>
      <c r="W143" s="137" t="str">
        <f t="shared" si="30"/>
        <v/>
      </c>
      <c r="X143" s="137" t="str">
        <f t="shared" si="31"/>
        <v/>
      </c>
    </row>
    <row r="144" spans="2:24" ht="15" thickBot="1" x14ac:dyDescent="0.4">
      <c r="B144" s="1152"/>
      <c r="C144" s="40">
        <f>'Combustão Móvel'!B192</f>
        <v>0</v>
      </c>
      <c r="D144" s="158" t="str">
        <f>'Combustão Móvel'!Q192</f>
        <v/>
      </c>
      <c r="E144" s="153">
        <f>'Combustão Móvel'!H192</f>
        <v>0</v>
      </c>
      <c r="F144" s="153">
        <f t="shared" si="38"/>
        <v>0</v>
      </c>
      <c r="G144" s="153">
        <f t="shared" si="39"/>
        <v>0</v>
      </c>
      <c r="H144" s="153">
        <f t="shared" si="40"/>
        <v>0</v>
      </c>
      <c r="I144" s="153">
        <f t="shared" si="41"/>
        <v>0</v>
      </c>
      <c r="J144" s="153">
        <f t="shared" si="42"/>
        <v>0</v>
      </c>
      <c r="K144" s="160">
        <f t="shared" si="43"/>
        <v>0</v>
      </c>
      <c r="L144" s="66">
        <f>'Combustão Móvel'!H192</f>
        <v>0</v>
      </c>
      <c r="M144" s="67">
        <f>'Combustão Móvel'!I192</f>
        <v>0</v>
      </c>
      <c r="N144" s="153"/>
      <c r="O144" s="153">
        <f t="shared" si="24"/>
        <v>0</v>
      </c>
      <c r="P144" s="153"/>
      <c r="Q144" s="153"/>
      <c r="R144" s="153">
        <f t="shared" si="25"/>
        <v>0</v>
      </c>
      <c r="S144" s="153">
        <f t="shared" si="26"/>
        <v>0</v>
      </c>
      <c r="T144" s="164">
        <f t="shared" si="27"/>
        <v>0</v>
      </c>
      <c r="U144" s="164">
        <f t="shared" si="28"/>
        <v>0</v>
      </c>
      <c r="V144" s="137" t="str">
        <f t="shared" si="29"/>
        <v/>
      </c>
      <c r="W144" s="137" t="str">
        <f t="shared" si="30"/>
        <v/>
      </c>
      <c r="X144" s="137" t="str">
        <f t="shared" si="31"/>
        <v/>
      </c>
    </row>
    <row r="145" spans="2:24" ht="15" thickBot="1" x14ac:dyDescent="0.4">
      <c r="B145" s="1152"/>
      <c r="C145" s="40">
        <f>'Combustão Móvel'!B193</f>
        <v>0</v>
      </c>
      <c r="D145" s="158" t="str">
        <f>'Combustão Móvel'!Q193</f>
        <v/>
      </c>
      <c r="E145" s="153">
        <f>'Combustão Móvel'!H193</f>
        <v>0</v>
      </c>
      <c r="F145" s="153">
        <f t="shared" si="38"/>
        <v>0</v>
      </c>
      <c r="G145" s="153">
        <f t="shared" si="39"/>
        <v>0</v>
      </c>
      <c r="H145" s="153">
        <f t="shared" si="40"/>
        <v>0</v>
      </c>
      <c r="I145" s="153">
        <f t="shared" si="41"/>
        <v>0</v>
      </c>
      <c r="J145" s="153">
        <f t="shared" si="42"/>
        <v>0</v>
      </c>
      <c r="K145" s="160">
        <f t="shared" si="43"/>
        <v>0</v>
      </c>
      <c r="L145" s="66">
        <f>'Combustão Móvel'!H193</f>
        <v>0</v>
      </c>
      <c r="M145" s="67">
        <f>'Combustão Móvel'!I193</f>
        <v>0</v>
      </c>
      <c r="N145" s="153"/>
      <c r="O145" s="153">
        <f t="shared" si="24"/>
        <v>0</v>
      </c>
      <c r="P145" s="153"/>
      <c r="Q145" s="153"/>
      <c r="R145" s="153">
        <f t="shared" si="25"/>
        <v>0</v>
      </c>
      <c r="S145" s="153">
        <f t="shared" si="26"/>
        <v>0</v>
      </c>
      <c r="T145" s="164">
        <f t="shared" si="27"/>
        <v>0</v>
      </c>
      <c r="U145" s="164">
        <f t="shared" si="28"/>
        <v>0</v>
      </c>
      <c r="V145" s="137" t="str">
        <f t="shared" si="29"/>
        <v/>
      </c>
      <c r="W145" s="137" t="str">
        <f t="shared" si="30"/>
        <v/>
      </c>
      <c r="X145" s="137" t="str">
        <f t="shared" si="31"/>
        <v/>
      </c>
    </row>
    <row r="146" spans="2:24" ht="15" thickBot="1" x14ac:dyDescent="0.4">
      <c r="B146" s="1152"/>
      <c r="C146" s="40">
        <f>'Combustão Móvel'!B194</f>
        <v>0</v>
      </c>
      <c r="D146" s="158" t="str">
        <f>'Combustão Móvel'!Q194</f>
        <v/>
      </c>
      <c r="E146" s="153">
        <f>'Combustão Móvel'!H194</f>
        <v>0</v>
      </c>
      <c r="F146" s="153">
        <f t="shared" si="38"/>
        <v>0</v>
      </c>
      <c r="G146" s="153">
        <f t="shared" si="39"/>
        <v>0</v>
      </c>
      <c r="H146" s="153">
        <f t="shared" si="40"/>
        <v>0</v>
      </c>
      <c r="I146" s="153">
        <f t="shared" si="41"/>
        <v>0</v>
      </c>
      <c r="J146" s="153">
        <f t="shared" si="42"/>
        <v>0</v>
      </c>
      <c r="K146" s="160">
        <f t="shared" si="43"/>
        <v>0</v>
      </c>
      <c r="L146" s="66">
        <f>'Combustão Móvel'!H194</f>
        <v>0</v>
      </c>
      <c r="M146" s="67">
        <f>'Combustão Móvel'!I194</f>
        <v>0</v>
      </c>
      <c r="N146" s="153"/>
      <c r="O146" s="153">
        <f t="shared" si="24"/>
        <v>0</v>
      </c>
      <c r="P146" s="153"/>
      <c r="Q146" s="153"/>
      <c r="R146" s="153">
        <f t="shared" si="25"/>
        <v>0</v>
      </c>
      <c r="S146" s="153">
        <f t="shared" si="26"/>
        <v>0</v>
      </c>
      <c r="T146" s="164">
        <f t="shared" si="27"/>
        <v>0</v>
      </c>
      <c r="U146" s="164">
        <f t="shared" si="28"/>
        <v>0</v>
      </c>
      <c r="V146" s="137" t="str">
        <f t="shared" si="29"/>
        <v/>
      </c>
      <c r="W146" s="137" t="str">
        <f t="shared" si="30"/>
        <v/>
      </c>
      <c r="X146" s="137" t="str">
        <f t="shared" si="31"/>
        <v/>
      </c>
    </row>
    <row r="147" spans="2:24" ht="15" thickBot="1" x14ac:dyDescent="0.4">
      <c r="B147" s="1152"/>
      <c r="C147" s="40">
        <f>'Combustão Móvel'!B195</f>
        <v>0</v>
      </c>
      <c r="D147" s="158" t="str">
        <f>'Combustão Móvel'!Q195</f>
        <v/>
      </c>
      <c r="E147" s="153">
        <f>'Combustão Móvel'!H195</f>
        <v>0</v>
      </c>
      <c r="F147" s="153">
        <f t="shared" si="38"/>
        <v>0</v>
      </c>
      <c r="G147" s="153">
        <f t="shared" si="39"/>
        <v>0</v>
      </c>
      <c r="H147" s="153">
        <f t="shared" si="40"/>
        <v>0</v>
      </c>
      <c r="I147" s="153">
        <f t="shared" si="41"/>
        <v>0</v>
      </c>
      <c r="J147" s="153">
        <f t="shared" si="42"/>
        <v>0</v>
      </c>
      <c r="K147" s="160">
        <f t="shared" si="43"/>
        <v>0</v>
      </c>
      <c r="L147" s="66">
        <f>'Combustão Móvel'!H195</f>
        <v>0</v>
      </c>
      <c r="M147" s="67">
        <f>'Combustão Móvel'!I195</f>
        <v>0</v>
      </c>
      <c r="N147" s="153"/>
      <c r="O147" s="153">
        <f t="shared" si="24"/>
        <v>0</v>
      </c>
      <c r="P147" s="153"/>
      <c r="Q147" s="153"/>
      <c r="R147" s="153">
        <f t="shared" si="25"/>
        <v>0</v>
      </c>
      <c r="S147" s="153">
        <f t="shared" si="26"/>
        <v>0</v>
      </c>
      <c r="T147" s="164">
        <f t="shared" si="27"/>
        <v>0</v>
      </c>
      <c r="U147" s="164">
        <f t="shared" si="28"/>
        <v>0</v>
      </c>
      <c r="V147" s="137" t="str">
        <f t="shared" si="29"/>
        <v/>
      </c>
      <c r="W147" s="137" t="str">
        <f t="shared" si="30"/>
        <v/>
      </c>
      <c r="X147" s="137" t="str">
        <f t="shared" si="31"/>
        <v/>
      </c>
    </row>
    <row r="148" spans="2:24" ht="15" thickBot="1" x14ac:dyDescent="0.4">
      <c r="B148" s="1152"/>
      <c r="C148" s="40">
        <f>'Combustão Móvel'!B196</f>
        <v>0</v>
      </c>
      <c r="D148" s="158" t="str">
        <f>'Combustão Móvel'!Q196</f>
        <v/>
      </c>
      <c r="E148" s="153">
        <f>'Combustão Móvel'!H196</f>
        <v>0</v>
      </c>
      <c r="F148" s="153">
        <f t="shared" si="38"/>
        <v>0</v>
      </c>
      <c r="G148" s="153">
        <f t="shared" si="39"/>
        <v>0</v>
      </c>
      <c r="H148" s="153">
        <f t="shared" si="40"/>
        <v>0</v>
      </c>
      <c r="I148" s="153">
        <f t="shared" si="41"/>
        <v>0</v>
      </c>
      <c r="J148" s="153">
        <f t="shared" si="42"/>
        <v>0</v>
      </c>
      <c r="K148" s="160">
        <f t="shared" si="43"/>
        <v>0</v>
      </c>
      <c r="L148" s="66">
        <f>'Combustão Móvel'!H196</f>
        <v>0</v>
      </c>
      <c r="M148" s="67">
        <f>'Combustão Móvel'!I196</f>
        <v>0</v>
      </c>
      <c r="N148" s="153"/>
      <c r="O148" s="153">
        <f t="shared" si="24"/>
        <v>0</v>
      </c>
      <c r="P148" s="153"/>
      <c r="Q148" s="153"/>
      <c r="R148" s="153">
        <f t="shared" si="25"/>
        <v>0</v>
      </c>
      <c r="S148" s="153">
        <f t="shared" si="26"/>
        <v>0</v>
      </c>
      <c r="T148" s="164">
        <f t="shared" si="27"/>
        <v>0</v>
      </c>
      <c r="U148" s="164">
        <f t="shared" si="28"/>
        <v>0</v>
      </c>
      <c r="V148" s="137" t="str">
        <f t="shared" si="29"/>
        <v/>
      </c>
      <c r="W148" s="137" t="str">
        <f t="shared" si="30"/>
        <v/>
      </c>
      <c r="X148" s="137" t="str">
        <f t="shared" si="31"/>
        <v/>
      </c>
    </row>
    <row r="149" spans="2:24" ht="15" thickBot="1" x14ac:dyDescent="0.4">
      <c r="B149" s="1152"/>
      <c r="C149" s="40">
        <f>'Combustão Móvel'!B197</f>
        <v>0</v>
      </c>
      <c r="D149" s="158" t="str">
        <f>'Combustão Móvel'!Q197</f>
        <v/>
      </c>
      <c r="E149" s="153">
        <f>'Combustão Móvel'!H197</f>
        <v>0</v>
      </c>
      <c r="F149" s="153">
        <f t="shared" si="38"/>
        <v>0</v>
      </c>
      <c r="G149" s="153">
        <f t="shared" si="39"/>
        <v>0</v>
      </c>
      <c r="H149" s="153">
        <f t="shared" si="40"/>
        <v>0</v>
      </c>
      <c r="I149" s="153">
        <f t="shared" si="41"/>
        <v>0</v>
      </c>
      <c r="J149" s="153">
        <f t="shared" si="42"/>
        <v>0</v>
      </c>
      <c r="K149" s="160">
        <f t="shared" si="43"/>
        <v>0</v>
      </c>
      <c r="L149" s="66">
        <f>'Combustão Móvel'!H197</f>
        <v>0</v>
      </c>
      <c r="M149" s="67">
        <f>'Combustão Móvel'!I197</f>
        <v>0</v>
      </c>
      <c r="N149" s="153"/>
      <c r="O149" s="153">
        <f t="shared" si="24"/>
        <v>0</v>
      </c>
      <c r="P149" s="153"/>
      <c r="Q149" s="153"/>
      <c r="R149" s="153">
        <f t="shared" si="25"/>
        <v>0</v>
      </c>
      <c r="S149" s="153">
        <f t="shared" si="26"/>
        <v>0</v>
      </c>
      <c r="T149" s="164">
        <f t="shared" si="27"/>
        <v>0</v>
      </c>
      <c r="U149" s="164">
        <f t="shared" si="28"/>
        <v>0</v>
      </c>
      <c r="V149" s="137" t="str">
        <f t="shared" si="29"/>
        <v/>
      </c>
      <c r="W149" s="137" t="str">
        <f t="shared" si="30"/>
        <v/>
      </c>
      <c r="X149" s="137" t="str">
        <f t="shared" si="31"/>
        <v/>
      </c>
    </row>
    <row r="150" spans="2:24" ht="15" thickBot="1" x14ac:dyDescent="0.4">
      <c r="B150" s="1152"/>
      <c r="C150" s="40">
        <f>'Combustão Móvel'!B198</f>
        <v>0</v>
      </c>
      <c r="D150" s="158" t="str">
        <f>'Combustão Móvel'!Q198</f>
        <v/>
      </c>
      <c r="E150" s="153">
        <f>'Combustão Móvel'!H198</f>
        <v>0</v>
      </c>
      <c r="F150" s="153">
        <f t="shared" si="38"/>
        <v>0</v>
      </c>
      <c r="G150" s="153">
        <f t="shared" si="39"/>
        <v>0</v>
      </c>
      <c r="H150" s="153">
        <f t="shared" si="40"/>
        <v>0</v>
      </c>
      <c r="I150" s="153">
        <f t="shared" si="41"/>
        <v>0</v>
      </c>
      <c r="J150" s="153">
        <f t="shared" si="42"/>
        <v>0</v>
      </c>
      <c r="K150" s="160">
        <f t="shared" si="43"/>
        <v>0</v>
      </c>
      <c r="L150" s="66">
        <f>'Combustão Móvel'!H198</f>
        <v>0</v>
      </c>
      <c r="M150" s="67">
        <f>'Combustão Móvel'!I198</f>
        <v>0</v>
      </c>
      <c r="N150" s="153"/>
      <c r="O150" s="153">
        <f t="shared" ref="O150:O213" si="44">IF($M150=$O$19,IF($L150=$B$14,$D150,0),0)</f>
        <v>0</v>
      </c>
      <c r="P150" s="153"/>
      <c r="Q150" s="153"/>
      <c r="R150" s="153">
        <f t="shared" ref="R150:R213" si="45">IF($M150=$R$19,IF($L150=$B$14,$D150,0),0)</f>
        <v>0</v>
      </c>
      <c r="S150" s="153">
        <f t="shared" ref="S150:S213" si="46">IF($M150=$S$19,IF($L150=$B$14,$D150,0),0)</f>
        <v>0</v>
      </c>
      <c r="T150" s="164">
        <f t="shared" ref="T150:T213" si="47">IF($L150=$T$20,$D150,0)</f>
        <v>0</v>
      </c>
      <c r="U150" s="164">
        <f t="shared" ref="U150:U213" si="48">IF($L150=$U$20,$D150,0)</f>
        <v>0</v>
      </c>
      <c r="V150" s="137" t="str">
        <f t="shared" si="29"/>
        <v/>
      </c>
      <c r="W150" s="137" t="str">
        <f t="shared" si="30"/>
        <v/>
      </c>
      <c r="X150" s="137" t="str">
        <f t="shared" si="31"/>
        <v/>
      </c>
    </row>
    <row r="151" spans="2:24" ht="15" thickBot="1" x14ac:dyDescent="0.4">
      <c r="B151" s="1152"/>
      <c r="C151" s="40">
        <f>'Combustão Móvel'!B199</f>
        <v>0</v>
      </c>
      <c r="D151" s="158" t="str">
        <f>'Combustão Móvel'!Q199</f>
        <v/>
      </c>
      <c r="E151" s="153">
        <f>'Combustão Móvel'!H199</f>
        <v>0</v>
      </c>
      <c r="F151" s="153">
        <f t="shared" si="38"/>
        <v>0</v>
      </c>
      <c r="G151" s="153">
        <f t="shared" si="39"/>
        <v>0</v>
      </c>
      <c r="H151" s="153">
        <f t="shared" si="40"/>
        <v>0</v>
      </c>
      <c r="I151" s="153">
        <f t="shared" si="41"/>
        <v>0</v>
      </c>
      <c r="J151" s="153">
        <f t="shared" si="42"/>
        <v>0</v>
      </c>
      <c r="K151" s="160">
        <f t="shared" si="43"/>
        <v>0</v>
      </c>
      <c r="L151" s="66">
        <f>'Combustão Móvel'!H199</f>
        <v>0</v>
      </c>
      <c r="M151" s="67">
        <f>'Combustão Móvel'!I199</f>
        <v>0</v>
      </c>
      <c r="N151" s="153"/>
      <c r="O151" s="153">
        <f t="shared" si="44"/>
        <v>0</v>
      </c>
      <c r="P151" s="153"/>
      <c r="Q151" s="153"/>
      <c r="R151" s="153">
        <f t="shared" si="45"/>
        <v>0</v>
      </c>
      <c r="S151" s="153">
        <f t="shared" si="46"/>
        <v>0</v>
      </c>
      <c r="T151" s="164">
        <f t="shared" si="47"/>
        <v>0</v>
      </c>
      <c r="U151" s="164">
        <f t="shared" si="48"/>
        <v>0</v>
      </c>
      <c r="V151" s="137" t="str">
        <f t="shared" si="29"/>
        <v/>
      </c>
      <c r="W151" s="137" t="str">
        <f t="shared" si="30"/>
        <v/>
      </c>
      <c r="X151" s="137" t="str">
        <f t="shared" si="31"/>
        <v/>
      </c>
    </row>
    <row r="152" spans="2:24" ht="15" thickBot="1" x14ac:dyDescent="0.4">
      <c r="B152" s="1152"/>
      <c r="C152" s="40">
        <f>'Combustão Móvel'!B200</f>
        <v>0</v>
      </c>
      <c r="D152" s="158" t="str">
        <f>'Combustão Móvel'!Q200</f>
        <v/>
      </c>
      <c r="E152" s="153">
        <f>'Combustão Móvel'!H200</f>
        <v>0</v>
      </c>
      <c r="F152" s="153">
        <f t="shared" si="38"/>
        <v>0</v>
      </c>
      <c r="G152" s="153">
        <f t="shared" si="39"/>
        <v>0</v>
      </c>
      <c r="H152" s="153">
        <f t="shared" si="40"/>
        <v>0</v>
      </c>
      <c r="I152" s="153">
        <f t="shared" si="41"/>
        <v>0</v>
      </c>
      <c r="J152" s="153">
        <f t="shared" si="42"/>
        <v>0</v>
      </c>
      <c r="K152" s="160">
        <f t="shared" si="43"/>
        <v>0</v>
      </c>
      <c r="L152" s="66">
        <f>'Combustão Móvel'!H200</f>
        <v>0</v>
      </c>
      <c r="M152" s="67">
        <f>'Combustão Móvel'!I200</f>
        <v>0</v>
      </c>
      <c r="N152" s="153"/>
      <c r="O152" s="153">
        <f t="shared" si="44"/>
        <v>0</v>
      </c>
      <c r="P152" s="153"/>
      <c r="Q152" s="153"/>
      <c r="R152" s="153">
        <f t="shared" si="45"/>
        <v>0</v>
      </c>
      <c r="S152" s="153">
        <f t="shared" si="46"/>
        <v>0</v>
      </c>
      <c r="T152" s="164">
        <f t="shared" si="47"/>
        <v>0</v>
      </c>
      <c r="U152" s="164">
        <f t="shared" si="48"/>
        <v>0</v>
      </c>
      <c r="V152" s="137" t="str">
        <f t="shared" si="29"/>
        <v/>
      </c>
      <c r="W152" s="137" t="str">
        <f t="shared" si="30"/>
        <v/>
      </c>
      <c r="X152" s="137" t="str">
        <f t="shared" si="31"/>
        <v/>
      </c>
    </row>
    <row r="153" spans="2:24" ht="15" thickBot="1" x14ac:dyDescent="0.4">
      <c r="B153" s="1152"/>
      <c r="C153" s="40">
        <f>'Combustão Móvel'!B201</f>
        <v>0</v>
      </c>
      <c r="D153" s="158" t="str">
        <f>'Combustão Móvel'!Q201</f>
        <v/>
      </c>
      <c r="E153" s="153">
        <f>'Combustão Móvel'!H201</f>
        <v>0</v>
      </c>
      <c r="F153" s="153">
        <f t="shared" si="38"/>
        <v>0</v>
      </c>
      <c r="G153" s="153">
        <f t="shared" si="39"/>
        <v>0</v>
      </c>
      <c r="H153" s="153">
        <f t="shared" si="40"/>
        <v>0</v>
      </c>
      <c r="I153" s="153">
        <f t="shared" si="41"/>
        <v>0</v>
      </c>
      <c r="J153" s="153">
        <f t="shared" si="42"/>
        <v>0</v>
      </c>
      <c r="K153" s="160">
        <f t="shared" si="43"/>
        <v>0</v>
      </c>
      <c r="L153" s="66">
        <f>'Combustão Móvel'!H201</f>
        <v>0</v>
      </c>
      <c r="M153" s="67">
        <f>'Combustão Móvel'!I201</f>
        <v>0</v>
      </c>
      <c r="N153" s="153"/>
      <c r="O153" s="153">
        <f t="shared" si="44"/>
        <v>0</v>
      </c>
      <c r="P153" s="153"/>
      <c r="Q153" s="153"/>
      <c r="R153" s="153">
        <f t="shared" si="45"/>
        <v>0</v>
      </c>
      <c r="S153" s="153">
        <f t="shared" si="46"/>
        <v>0</v>
      </c>
      <c r="T153" s="164">
        <f t="shared" si="47"/>
        <v>0</v>
      </c>
      <c r="U153" s="164">
        <f t="shared" si="48"/>
        <v>0</v>
      </c>
      <c r="V153" s="137" t="str">
        <f t="shared" ref="V153:V216" si="49">IF($L153="Não",F153,"")</f>
        <v/>
      </c>
      <c r="W153" s="137" t="str">
        <f t="shared" ref="W153:W216" si="50">IF($L153="Não",G153,"")</f>
        <v/>
      </c>
      <c r="X153" s="137" t="str">
        <f t="shared" ref="X153:X216" si="51">IF($L153="Não",H153,"")</f>
        <v/>
      </c>
    </row>
    <row r="154" spans="2:24" ht="15" thickBot="1" x14ac:dyDescent="0.4">
      <c r="B154" s="1152"/>
      <c r="C154" s="40">
        <f>'Combustão Móvel'!B202</f>
        <v>0</v>
      </c>
      <c r="D154" s="158" t="str">
        <f>'Combustão Móvel'!Q202</f>
        <v/>
      </c>
      <c r="E154" s="153">
        <f>'Combustão Móvel'!H202</f>
        <v>0</v>
      </c>
      <c r="F154" s="153">
        <f t="shared" si="38"/>
        <v>0</v>
      </c>
      <c r="G154" s="153">
        <f t="shared" si="39"/>
        <v>0</v>
      </c>
      <c r="H154" s="153">
        <f t="shared" si="40"/>
        <v>0</v>
      </c>
      <c r="I154" s="153">
        <f t="shared" si="41"/>
        <v>0</v>
      </c>
      <c r="J154" s="153">
        <f t="shared" si="42"/>
        <v>0</v>
      </c>
      <c r="K154" s="160">
        <f t="shared" si="43"/>
        <v>0</v>
      </c>
      <c r="L154" s="66">
        <f>'Combustão Móvel'!H202</f>
        <v>0</v>
      </c>
      <c r="M154" s="67">
        <f>'Combustão Móvel'!I202</f>
        <v>0</v>
      </c>
      <c r="N154" s="153"/>
      <c r="O154" s="153">
        <f t="shared" si="44"/>
        <v>0</v>
      </c>
      <c r="P154" s="153"/>
      <c r="Q154" s="153"/>
      <c r="R154" s="153">
        <f t="shared" si="45"/>
        <v>0</v>
      </c>
      <c r="S154" s="153">
        <f t="shared" si="46"/>
        <v>0</v>
      </c>
      <c r="T154" s="164">
        <f t="shared" si="47"/>
        <v>0</v>
      </c>
      <c r="U154" s="164">
        <f t="shared" si="48"/>
        <v>0</v>
      </c>
      <c r="V154" s="137" t="str">
        <f t="shared" si="49"/>
        <v/>
      </c>
      <c r="W154" s="137" t="str">
        <f t="shared" si="50"/>
        <v/>
      </c>
      <c r="X154" s="137" t="str">
        <f t="shared" si="51"/>
        <v/>
      </c>
    </row>
    <row r="155" spans="2:24" ht="15" thickBot="1" x14ac:dyDescent="0.4">
      <c r="B155" s="1152"/>
      <c r="C155" s="40">
        <f>'Combustão Móvel'!B203</f>
        <v>0</v>
      </c>
      <c r="D155" s="158" t="str">
        <f>'Combustão Móvel'!Q203</f>
        <v/>
      </c>
      <c r="E155" s="153">
        <f>'Combustão Móvel'!H203</f>
        <v>0</v>
      </c>
      <c r="F155" s="153">
        <f t="shared" si="38"/>
        <v>0</v>
      </c>
      <c r="G155" s="153">
        <f t="shared" si="39"/>
        <v>0</v>
      </c>
      <c r="H155" s="153">
        <f t="shared" si="40"/>
        <v>0</v>
      </c>
      <c r="I155" s="153">
        <f t="shared" si="41"/>
        <v>0</v>
      </c>
      <c r="J155" s="153">
        <f t="shared" si="42"/>
        <v>0</v>
      </c>
      <c r="K155" s="160">
        <f t="shared" si="43"/>
        <v>0</v>
      </c>
      <c r="L155" s="66">
        <f>'Combustão Móvel'!H203</f>
        <v>0</v>
      </c>
      <c r="M155" s="67">
        <f>'Combustão Móvel'!I203</f>
        <v>0</v>
      </c>
      <c r="N155" s="153"/>
      <c r="O155" s="153">
        <f t="shared" si="44"/>
        <v>0</v>
      </c>
      <c r="P155" s="153"/>
      <c r="Q155" s="153"/>
      <c r="R155" s="153">
        <f t="shared" si="45"/>
        <v>0</v>
      </c>
      <c r="S155" s="153">
        <f t="shared" si="46"/>
        <v>0</v>
      </c>
      <c r="T155" s="164">
        <f t="shared" si="47"/>
        <v>0</v>
      </c>
      <c r="U155" s="164">
        <f t="shared" si="48"/>
        <v>0</v>
      </c>
      <c r="V155" s="137" t="str">
        <f t="shared" si="49"/>
        <v/>
      </c>
      <c r="W155" s="137" t="str">
        <f t="shared" si="50"/>
        <v/>
      </c>
      <c r="X155" s="137" t="str">
        <f t="shared" si="51"/>
        <v/>
      </c>
    </row>
    <row r="156" spans="2:24" ht="15" thickBot="1" x14ac:dyDescent="0.4">
      <c r="B156" s="1152"/>
      <c r="C156" s="40">
        <f>'Combustão Móvel'!B204</f>
        <v>0</v>
      </c>
      <c r="D156" s="158" t="str">
        <f>'Combustão Móvel'!Q204</f>
        <v/>
      </c>
      <c r="E156" s="153">
        <f>'Combustão Móvel'!H204</f>
        <v>0</v>
      </c>
      <c r="F156" s="153">
        <f t="shared" si="38"/>
        <v>0</v>
      </c>
      <c r="G156" s="153">
        <f t="shared" si="39"/>
        <v>0</v>
      </c>
      <c r="H156" s="153">
        <f t="shared" si="40"/>
        <v>0</v>
      </c>
      <c r="I156" s="153">
        <f t="shared" si="41"/>
        <v>0</v>
      </c>
      <c r="J156" s="153">
        <f t="shared" si="42"/>
        <v>0</v>
      </c>
      <c r="K156" s="160">
        <f t="shared" si="43"/>
        <v>0</v>
      </c>
      <c r="L156" s="66">
        <f>'Combustão Móvel'!H204</f>
        <v>0</v>
      </c>
      <c r="M156" s="67">
        <f>'Combustão Móvel'!I204</f>
        <v>0</v>
      </c>
      <c r="N156" s="153"/>
      <c r="O156" s="153">
        <f t="shared" si="44"/>
        <v>0</v>
      </c>
      <c r="P156" s="153"/>
      <c r="Q156" s="153"/>
      <c r="R156" s="153">
        <f t="shared" si="45"/>
        <v>0</v>
      </c>
      <c r="S156" s="153">
        <f t="shared" si="46"/>
        <v>0</v>
      </c>
      <c r="T156" s="164">
        <f t="shared" si="47"/>
        <v>0</v>
      </c>
      <c r="U156" s="164">
        <f t="shared" si="48"/>
        <v>0</v>
      </c>
      <c r="V156" s="137" t="str">
        <f t="shared" si="49"/>
        <v/>
      </c>
      <c r="W156" s="137" t="str">
        <f t="shared" si="50"/>
        <v/>
      </c>
      <c r="X156" s="137" t="str">
        <f t="shared" si="51"/>
        <v/>
      </c>
    </row>
    <row r="157" spans="2:24" ht="15" thickBot="1" x14ac:dyDescent="0.4">
      <c r="B157" s="1152"/>
      <c r="C157" s="40">
        <f>'Combustão Móvel'!B205</f>
        <v>0</v>
      </c>
      <c r="D157" s="158" t="str">
        <f>'Combustão Móvel'!Q205</f>
        <v/>
      </c>
      <c r="E157" s="153">
        <f>'Combustão Móvel'!H205</f>
        <v>0</v>
      </c>
      <c r="F157" s="153">
        <f t="shared" si="38"/>
        <v>0</v>
      </c>
      <c r="G157" s="153">
        <f t="shared" si="39"/>
        <v>0</v>
      </c>
      <c r="H157" s="153">
        <f t="shared" si="40"/>
        <v>0</v>
      </c>
      <c r="I157" s="153">
        <f t="shared" si="41"/>
        <v>0</v>
      </c>
      <c r="J157" s="153">
        <f t="shared" si="42"/>
        <v>0</v>
      </c>
      <c r="K157" s="160">
        <f t="shared" si="43"/>
        <v>0</v>
      </c>
      <c r="L157" s="66">
        <f>'Combustão Móvel'!H205</f>
        <v>0</v>
      </c>
      <c r="M157" s="67">
        <f>'Combustão Móvel'!I205</f>
        <v>0</v>
      </c>
      <c r="N157" s="153"/>
      <c r="O157" s="153">
        <f t="shared" si="44"/>
        <v>0</v>
      </c>
      <c r="P157" s="153"/>
      <c r="Q157" s="153"/>
      <c r="R157" s="153">
        <f t="shared" si="45"/>
        <v>0</v>
      </c>
      <c r="S157" s="153">
        <f t="shared" si="46"/>
        <v>0</v>
      </c>
      <c r="T157" s="164">
        <f t="shared" si="47"/>
        <v>0</v>
      </c>
      <c r="U157" s="164">
        <f t="shared" si="48"/>
        <v>0</v>
      </c>
      <c r="V157" s="137" t="str">
        <f t="shared" si="49"/>
        <v/>
      </c>
      <c r="W157" s="137" t="str">
        <f t="shared" si="50"/>
        <v/>
      </c>
      <c r="X157" s="137" t="str">
        <f t="shared" si="51"/>
        <v/>
      </c>
    </row>
    <row r="158" spans="2:24" ht="15" thickBot="1" x14ac:dyDescent="0.4">
      <c r="B158" s="1152"/>
      <c r="C158" s="40">
        <f>'Combustão Móvel'!B206</f>
        <v>0</v>
      </c>
      <c r="D158" s="158" t="str">
        <f>'Combustão Móvel'!Q206</f>
        <v/>
      </c>
      <c r="E158" s="153">
        <f>'Combustão Móvel'!H206</f>
        <v>0</v>
      </c>
      <c r="F158" s="153">
        <f t="shared" si="38"/>
        <v>0</v>
      </c>
      <c r="G158" s="153">
        <f t="shared" si="39"/>
        <v>0</v>
      </c>
      <c r="H158" s="153">
        <f t="shared" si="40"/>
        <v>0</v>
      </c>
      <c r="I158" s="153">
        <f t="shared" si="41"/>
        <v>0</v>
      </c>
      <c r="J158" s="153">
        <f t="shared" si="42"/>
        <v>0</v>
      </c>
      <c r="K158" s="160">
        <f t="shared" si="43"/>
        <v>0</v>
      </c>
      <c r="L158" s="66">
        <f>'Combustão Móvel'!H206</f>
        <v>0</v>
      </c>
      <c r="M158" s="67">
        <f>'Combustão Móvel'!I206</f>
        <v>0</v>
      </c>
      <c r="N158" s="153"/>
      <c r="O158" s="153">
        <f t="shared" si="44"/>
        <v>0</v>
      </c>
      <c r="P158" s="153"/>
      <c r="Q158" s="153"/>
      <c r="R158" s="153">
        <f t="shared" si="45"/>
        <v>0</v>
      </c>
      <c r="S158" s="153">
        <f t="shared" si="46"/>
        <v>0</v>
      </c>
      <c r="T158" s="164">
        <f t="shared" si="47"/>
        <v>0</v>
      </c>
      <c r="U158" s="164">
        <f t="shared" si="48"/>
        <v>0</v>
      </c>
      <c r="V158" s="137" t="str">
        <f t="shared" si="49"/>
        <v/>
      </c>
      <c r="W158" s="137" t="str">
        <f t="shared" si="50"/>
        <v/>
      </c>
      <c r="X158" s="137" t="str">
        <f t="shared" si="51"/>
        <v/>
      </c>
    </row>
    <row r="159" spans="2:24" ht="15" thickBot="1" x14ac:dyDescent="0.4">
      <c r="B159" s="1152"/>
      <c r="C159" s="40">
        <f>'Combustão Móvel'!B207</f>
        <v>0</v>
      </c>
      <c r="D159" s="158" t="str">
        <f>'Combustão Móvel'!Q207</f>
        <v/>
      </c>
      <c r="E159" s="153">
        <f>'Combustão Móvel'!H207</f>
        <v>0</v>
      </c>
      <c r="F159" s="153">
        <f t="shared" si="38"/>
        <v>0</v>
      </c>
      <c r="G159" s="153">
        <f t="shared" si="39"/>
        <v>0</v>
      </c>
      <c r="H159" s="153">
        <f t="shared" si="40"/>
        <v>0</v>
      </c>
      <c r="I159" s="153">
        <f t="shared" si="41"/>
        <v>0</v>
      </c>
      <c r="J159" s="153">
        <f t="shared" si="42"/>
        <v>0</v>
      </c>
      <c r="K159" s="160">
        <f t="shared" si="43"/>
        <v>0</v>
      </c>
      <c r="L159" s="66">
        <f>'Combustão Móvel'!H207</f>
        <v>0</v>
      </c>
      <c r="M159" s="67">
        <f>'Combustão Móvel'!I207</f>
        <v>0</v>
      </c>
      <c r="N159" s="153"/>
      <c r="O159" s="153">
        <f t="shared" si="44"/>
        <v>0</v>
      </c>
      <c r="P159" s="153"/>
      <c r="Q159" s="153"/>
      <c r="R159" s="153">
        <f t="shared" si="45"/>
        <v>0</v>
      </c>
      <c r="S159" s="153">
        <f t="shared" si="46"/>
        <v>0</v>
      </c>
      <c r="T159" s="164">
        <f t="shared" si="47"/>
        <v>0</v>
      </c>
      <c r="U159" s="164">
        <f t="shared" si="48"/>
        <v>0</v>
      </c>
      <c r="V159" s="137" t="str">
        <f t="shared" si="49"/>
        <v/>
      </c>
      <c r="W159" s="137" t="str">
        <f t="shared" si="50"/>
        <v/>
      </c>
      <c r="X159" s="137" t="str">
        <f t="shared" si="51"/>
        <v/>
      </c>
    </row>
    <row r="160" spans="2:24" ht="15" thickBot="1" x14ac:dyDescent="0.4">
      <c r="B160" s="1152"/>
      <c r="C160" s="40">
        <f>'Combustão Móvel'!B208</f>
        <v>0</v>
      </c>
      <c r="D160" s="158" t="str">
        <f>'Combustão Móvel'!Q208</f>
        <v/>
      </c>
      <c r="E160" s="153">
        <f>'Combustão Móvel'!H208</f>
        <v>0</v>
      </c>
      <c r="F160" s="153">
        <f t="shared" si="38"/>
        <v>0</v>
      </c>
      <c r="G160" s="153">
        <f t="shared" si="39"/>
        <v>0</v>
      </c>
      <c r="H160" s="153">
        <f t="shared" si="40"/>
        <v>0</v>
      </c>
      <c r="I160" s="153">
        <f t="shared" si="41"/>
        <v>0</v>
      </c>
      <c r="J160" s="153">
        <f t="shared" si="42"/>
        <v>0</v>
      </c>
      <c r="K160" s="160">
        <f t="shared" si="43"/>
        <v>0</v>
      </c>
      <c r="L160" s="66">
        <f>'Combustão Móvel'!H208</f>
        <v>0</v>
      </c>
      <c r="M160" s="67">
        <f>'Combustão Móvel'!I208</f>
        <v>0</v>
      </c>
      <c r="N160" s="153"/>
      <c r="O160" s="153">
        <f t="shared" si="44"/>
        <v>0</v>
      </c>
      <c r="P160" s="153"/>
      <c r="Q160" s="153"/>
      <c r="R160" s="153">
        <f t="shared" si="45"/>
        <v>0</v>
      </c>
      <c r="S160" s="153">
        <f t="shared" si="46"/>
        <v>0</v>
      </c>
      <c r="T160" s="164">
        <f t="shared" si="47"/>
        <v>0</v>
      </c>
      <c r="U160" s="164">
        <f t="shared" si="48"/>
        <v>0</v>
      </c>
      <c r="V160" s="137" t="str">
        <f t="shared" si="49"/>
        <v/>
      </c>
      <c r="W160" s="137" t="str">
        <f t="shared" si="50"/>
        <v/>
      </c>
      <c r="X160" s="137" t="str">
        <f t="shared" si="51"/>
        <v/>
      </c>
    </row>
    <row r="161" spans="2:24" ht="15" thickBot="1" x14ac:dyDescent="0.4">
      <c r="B161" s="1152"/>
      <c r="C161" s="40">
        <f>'Combustão Móvel'!B209</f>
        <v>0</v>
      </c>
      <c r="D161" s="158" t="str">
        <f>'Combustão Móvel'!Q209</f>
        <v/>
      </c>
      <c r="E161" s="153">
        <f>'Combustão Móvel'!H209</f>
        <v>0</v>
      </c>
      <c r="F161" s="153">
        <f t="shared" si="38"/>
        <v>0</v>
      </c>
      <c r="G161" s="153">
        <f t="shared" si="39"/>
        <v>0</v>
      </c>
      <c r="H161" s="153">
        <f t="shared" si="40"/>
        <v>0</v>
      </c>
      <c r="I161" s="153">
        <f t="shared" si="41"/>
        <v>0</v>
      </c>
      <c r="J161" s="153">
        <f t="shared" si="42"/>
        <v>0</v>
      </c>
      <c r="K161" s="160">
        <f t="shared" si="43"/>
        <v>0</v>
      </c>
      <c r="L161" s="66">
        <f>'Combustão Móvel'!H209</f>
        <v>0</v>
      </c>
      <c r="M161" s="67">
        <f>'Combustão Móvel'!I209</f>
        <v>0</v>
      </c>
      <c r="N161" s="153"/>
      <c r="O161" s="153">
        <f t="shared" si="44"/>
        <v>0</v>
      </c>
      <c r="P161" s="153"/>
      <c r="Q161" s="153"/>
      <c r="R161" s="153">
        <f t="shared" si="45"/>
        <v>0</v>
      </c>
      <c r="S161" s="153">
        <f t="shared" si="46"/>
        <v>0</v>
      </c>
      <c r="T161" s="164">
        <f t="shared" si="47"/>
        <v>0</v>
      </c>
      <c r="U161" s="164">
        <f t="shared" si="48"/>
        <v>0</v>
      </c>
      <c r="V161" s="137" t="str">
        <f t="shared" si="49"/>
        <v/>
      </c>
      <c r="W161" s="137" t="str">
        <f t="shared" si="50"/>
        <v/>
      </c>
      <c r="X161" s="137" t="str">
        <f t="shared" si="51"/>
        <v/>
      </c>
    </row>
    <row r="162" spans="2:24" ht="15" thickBot="1" x14ac:dyDescent="0.4">
      <c r="B162" s="1152"/>
      <c r="C162" s="40">
        <f>'Combustão Móvel'!B210</f>
        <v>0</v>
      </c>
      <c r="D162" s="158" t="str">
        <f>'Combustão Móvel'!Q210</f>
        <v/>
      </c>
      <c r="E162" s="153">
        <f>'Combustão Móvel'!H210</f>
        <v>0</v>
      </c>
      <c r="F162" s="153">
        <f t="shared" si="38"/>
        <v>0</v>
      </c>
      <c r="G162" s="153">
        <f t="shared" si="39"/>
        <v>0</v>
      </c>
      <c r="H162" s="153">
        <f t="shared" si="40"/>
        <v>0</v>
      </c>
      <c r="I162" s="153">
        <f t="shared" si="41"/>
        <v>0</v>
      </c>
      <c r="J162" s="153">
        <f t="shared" si="42"/>
        <v>0</v>
      </c>
      <c r="K162" s="160">
        <f t="shared" si="43"/>
        <v>0</v>
      </c>
      <c r="L162" s="66">
        <f>'Combustão Móvel'!H210</f>
        <v>0</v>
      </c>
      <c r="M162" s="67">
        <f>'Combustão Móvel'!I210</f>
        <v>0</v>
      </c>
      <c r="N162" s="153"/>
      <c r="O162" s="153">
        <f t="shared" si="44"/>
        <v>0</v>
      </c>
      <c r="P162" s="153"/>
      <c r="Q162" s="153"/>
      <c r="R162" s="153">
        <f t="shared" si="45"/>
        <v>0</v>
      </c>
      <c r="S162" s="153">
        <f t="shared" si="46"/>
        <v>0</v>
      </c>
      <c r="T162" s="164">
        <f t="shared" si="47"/>
        <v>0</v>
      </c>
      <c r="U162" s="164">
        <f t="shared" si="48"/>
        <v>0</v>
      </c>
      <c r="V162" s="137" t="str">
        <f t="shared" si="49"/>
        <v/>
      </c>
      <c r="W162" s="137" t="str">
        <f t="shared" si="50"/>
        <v/>
      </c>
      <c r="X162" s="137" t="str">
        <f t="shared" si="51"/>
        <v/>
      </c>
    </row>
    <row r="163" spans="2:24" ht="15" thickBot="1" x14ac:dyDescent="0.4">
      <c r="B163" s="1152"/>
      <c r="C163" s="40">
        <f>'Combustão Móvel'!B211</f>
        <v>0</v>
      </c>
      <c r="D163" s="158" t="str">
        <f>'Combustão Móvel'!Q211</f>
        <v/>
      </c>
      <c r="E163" s="153">
        <f>'Combustão Móvel'!H211</f>
        <v>0</v>
      </c>
      <c r="F163" s="153">
        <f t="shared" si="38"/>
        <v>0</v>
      </c>
      <c r="G163" s="153">
        <f t="shared" si="39"/>
        <v>0</v>
      </c>
      <c r="H163" s="153">
        <f t="shared" si="40"/>
        <v>0</v>
      </c>
      <c r="I163" s="153">
        <f t="shared" si="41"/>
        <v>0</v>
      </c>
      <c r="J163" s="153">
        <f t="shared" si="42"/>
        <v>0</v>
      </c>
      <c r="K163" s="160">
        <f t="shared" si="43"/>
        <v>0</v>
      </c>
      <c r="L163" s="66">
        <f>'Combustão Móvel'!H211</f>
        <v>0</v>
      </c>
      <c r="M163" s="67">
        <f>'Combustão Móvel'!I211</f>
        <v>0</v>
      </c>
      <c r="N163" s="153"/>
      <c r="O163" s="153">
        <f t="shared" si="44"/>
        <v>0</v>
      </c>
      <c r="P163" s="153"/>
      <c r="Q163" s="153"/>
      <c r="R163" s="153">
        <f t="shared" si="45"/>
        <v>0</v>
      </c>
      <c r="S163" s="153">
        <f t="shared" si="46"/>
        <v>0</v>
      </c>
      <c r="T163" s="164">
        <f t="shared" si="47"/>
        <v>0</v>
      </c>
      <c r="U163" s="164">
        <f t="shared" si="48"/>
        <v>0</v>
      </c>
      <c r="V163" s="137" t="str">
        <f t="shared" si="49"/>
        <v/>
      </c>
      <c r="W163" s="137" t="str">
        <f t="shared" si="50"/>
        <v/>
      </c>
      <c r="X163" s="137" t="str">
        <f t="shared" si="51"/>
        <v/>
      </c>
    </row>
    <row r="164" spans="2:24" ht="15" thickBot="1" x14ac:dyDescent="0.4">
      <c r="B164" s="1152"/>
      <c r="C164" s="40">
        <f>'Combustão Móvel'!B212</f>
        <v>0</v>
      </c>
      <c r="D164" s="158" t="str">
        <f>'Combustão Móvel'!Q212</f>
        <v/>
      </c>
      <c r="E164" s="153">
        <f>'Combustão Móvel'!H212</f>
        <v>0</v>
      </c>
      <c r="F164" s="153">
        <f t="shared" si="38"/>
        <v>0</v>
      </c>
      <c r="G164" s="153">
        <f t="shared" si="39"/>
        <v>0</v>
      </c>
      <c r="H164" s="153">
        <f t="shared" si="40"/>
        <v>0</v>
      </c>
      <c r="I164" s="153">
        <f t="shared" si="41"/>
        <v>0</v>
      </c>
      <c r="J164" s="153">
        <f t="shared" si="42"/>
        <v>0</v>
      </c>
      <c r="K164" s="160">
        <f t="shared" si="43"/>
        <v>0</v>
      </c>
      <c r="L164" s="66">
        <f>'Combustão Móvel'!H212</f>
        <v>0</v>
      </c>
      <c r="M164" s="67">
        <f>'Combustão Móvel'!I212</f>
        <v>0</v>
      </c>
      <c r="N164" s="153"/>
      <c r="O164" s="153">
        <f t="shared" si="44"/>
        <v>0</v>
      </c>
      <c r="P164" s="153"/>
      <c r="Q164" s="153"/>
      <c r="R164" s="153">
        <f t="shared" si="45"/>
        <v>0</v>
      </c>
      <c r="S164" s="153">
        <f t="shared" si="46"/>
        <v>0</v>
      </c>
      <c r="T164" s="164">
        <f t="shared" si="47"/>
        <v>0</v>
      </c>
      <c r="U164" s="164">
        <f t="shared" si="48"/>
        <v>0</v>
      </c>
      <c r="V164" s="137" t="str">
        <f t="shared" si="49"/>
        <v/>
      </c>
      <c r="W164" s="137" t="str">
        <f t="shared" si="50"/>
        <v/>
      </c>
      <c r="X164" s="137" t="str">
        <f t="shared" si="51"/>
        <v/>
      </c>
    </row>
    <row r="165" spans="2:24" ht="15" thickBot="1" x14ac:dyDescent="0.4">
      <c r="B165" s="1152"/>
      <c r="C165" s="40">
        <f>'Combustão Móvel'!B213</f>
        <v>0</v>
      </c>
      <c r="D165" s="158" t="str">
        <f>'Combustão Móvel'!Q213</f>
        <v/>
      </c>
      <c r="E165" s="153">
        <f>'Combustão Móvel'!H213</f>
        <v>0</v>
      </c>
      <c r="F165" s="153">
        <f t="shared" si="38"/>
        <v>0</v>
      </c>
      <c r="G165" s="153">
        <f t="shared" si="39"/>
        <v>0</v>
      </c>
      <c r="H165" s="153">
        <f t="shared" si="40"/>
        <v>0</v>
      </c>
      <c r="I165" s="153">
        <f t="shared" si="41"/>
        <v>0</v>
      </c>
      <c r="J165" s="153">
        <f t="shared" si="42"/>
        <v>0</v>
      </c>
      <c r="K165" s="160">
        <f t="shared" si="43"/>
        <v>0</v>
      </c>
      <c r="L165" s="66">
        <f>'Combustão Móvel'!H213</f>
        <v>0</v>
      </c>
      <c r="M165" s="67">
        <f>'Combustão Móvel'!I213</f>
        <v>0</v>
      </c>
      <c r="N165" s="153"/>
      <c r="O165" s="153">
        <f t="shared" si="44"/>
        <v>0</v>
      </c>
      <c r="P165" s="153"/>
      <c r="Q165" s="153"/>
      <c r="R165" s="153">
        <f t="shared" si="45"/>
        <v>0</v>
      </c>
      <c r="S165" s="153">
        <f t="shared" si="46"/>
        <v>0</v>
      </c>
      <c r="T165" s="164">
        <f t="shared" si="47"/>
        <v>0</v>
      </c>
      <c r="U165" s="164">
        <f t="shared" si="48"/>
        <v>0</v>
      </c>
      <c r="V165" s="137" t="str">
        <f t="shared" si="49"/>
        <v/>
      </c>
      <c r="W165" s="137" t="str">
        <f t="shared" si="50"/>
        <v/>
      </c>
      <c r="X165" s="137" t="str">
        <f t="shared" si="51"/>
        <v/>
      </c>
    </row>
    <row r="166" spans="2:24" ht="15" thickBot="1" x14ac:dyDescent="0.4">
      <c r="B166" s="1152"/>
      <c r="C166" s="40">
        <f>'Combustão Móvel'!B214</f>
        <v>0</v>
      </c>
      <c r="D166" s="158" t="str">
        <f>'Combustão Móvel'!Q214</f>
        <v/>
      </c>
      <c r="E166" s="153">
        <f>'Combustão Móvel'!H214</f>
        <v>0</v>
      </c>
      <c r="F166" s="153">
        <f t="shared" si="38"/>
        <v>0</v>
      </c>
      <c r="G166" s="153">
        <f t="shared" si="39"/>
        <v>0</v>
      </c>
      <c r="H166" s="153">
        <f t="shared" si="40"/>
        <v>0</v>
      </c>
      <c r="I166" s="153">
        <f t="shared" si="41"/>
        <v>0</v>
      </c>
      <c r="J166" s="153">
        <f t="shared" si="42"/>
        <v>0</v>
      </c>
      <c r="K166" s="160">
        <f t="shared" si="43"/>
        <v>0</v>
      </c>
      <c r="L166" s="66">
        <f>'Combustão Móvel'!H214</f>
        <v>0</v>
      </c>
      <c r="M166" s="67">
        <f>'Combustão Móvel'!I214</f>
        <v>0</v>
      </c>
      <c r="N166" s="153"/>
      <c r="O166" s="153">
        <f t="shared" si="44"/>
        <v>0</v>
      </c>
      <c r="P166" s="153"/>
      <c r="Q166" s="153"/>
      <c r="R166" s="153">
        <f t="shared" si="45"/>
        <v>0</v>
      </c>
      <c r="S166" s="153">
        <f t="shared" si="46"/>
        <v>0</v>
      </c>
      <c r="T166" s="164">
        <f t="shared" si="47"/>
        <v>0</v>
      </c>
      <c r="U166" s="164">
        <f t="shared" si="48"/>
        <v>0</v>
      </c>
      <c r="V166" s="137" t="str">
        <f t="shared" si="49"/>
        <v/>
      </c>
      <c r="W166" s="137" t="str">
        <f t="shared" si="50"/>
        <v/>
      </c>
      <c r="X166" s="137" t="str">
        <f t="shared" si="51"/>
        <v/>
      </c>
    </row>
    <row r="167" spans="2:24" ht="15" thickBot="1" x14ac:dyDescent="0.4">
      <c r="B167" s="1152"/>
      <c r="C167" s="40">
        <f>'Combustão Móvel'!B215</f>
        <v>0</v>
      </c>
      <c r="D167" s="158" t="str">
        <f>'Combustão Móvel'!Q215</f>
        <v/>
      </c>
      <c r="E167" s="153">
        <f>'Combustão Móvel'!H215</f>
        <v>0</v>
      </c>
      <c r="F167" s="153">
        <f t="shared" si="38"/>
        <v>0</v>
      </c>
      <c r="G167" s="153">
        <f t="shared" si="39"/>
        <v>0</v>
      </c>
      <c r="H167" s="153">
        <f t="shared" si="40"/>
        <v>0</v>
      </c>
      <c r="I167" s="153">
        <f t="shared" si="41"/>
        <v>0</v>
      </c>
      <c r="J167" s="153">
        <f t="shared" si="42"/>
        <v>0</v>
      </c>
      <c r="K167" s="160">
        <f t="shared" si="43"/>
        <v>0</v>
      </c>
      <c r="L167" s="66">
        <f>'Combustão Móvel'!H215</f>
        <v>0</v>
      </c>
      <c r="M167" s="67">
        <f>'Combustão Móvel'!I215</f>
        <v>0</v>
      </c>
      <c r="N167" s="153"/>
      <c r="O167" s="153">
        <f t="shared" si="44"/>
        <v>0</v>
      </c>
      <c r="P167" s="153"/>
      <c r="Q167" s="153"/>
      <c r="R167" s="153">
        <f t="shared" si="45"/>
        <v>0</v>
      </c>
      <c r="S167" s="153">
        <f t="shared" si="46"/>
        <v>0</v>
      </c>
      <c r="T167" s="164">
        <f t="shared" si="47"/>
        <v>0</v>
      </c>
      <c r="U167" s="164">
        <f t="shared" si="48"/>
        <v>0</v>
      </c>
      <c r="V167" s="137" t="str">
        <f t="shared" si="49"/>
        <v/>
      </c>
      <c r="W167" s="137" t="str">
        <f t="shared" si="50"/>
        <v/>
      </c>
      <c r="X167" s="137" t="str">
        <f t="shared" si="51"/>
        <v/>
      </c>
    </row>
    <row r="168" spans="2:24" ht="15" thickBot="1" x14ac:dyDescent="0.4">
      <c r="B168" s="1152"/>
      <c r="C168" s="40">
        <f>'Combustão Móvel'!B216</f>
        <v>0</v>
      </c>
      <c r="D168" s="158" t="str">
        <f>'Combustão Móvel'!Q216</f>
        <v/>
      </c>
      <c r="E168" s="153">
        <f>'Combustão Móvel'!H216</f>
        <v>0</v>
      </c>
      <c r="F168" s="153">
        <f t="shared" si="38"/>
        <v>0</v>
      </c>
      <c r="G168" s="153">
        <f t="shared" si="39"/>
        <v>0</v>
      </c>
      <c r="H168" s="153">
        <f t="shared" si="40"/>
        <v>0</v>
      </c>
      <c r="I168" s="153">
        <f t="shared" si="41"/>
        <v>0</v>
      </c>
      <c r="J168" s="153">
        <f t="shared" si="42"/>
        <v>0</v>
      </c>
      <c r="K168" s="160">
        <f t="shared" si="43"/>
        <v>0</v>
      </c>
      <c r="L168" s="66">
        <f>'Combustão Móvel'!H216</f>
        <v>0</v>
      </c>
      <c r="M168" s="67">
        <f>'Combustão Móvel'!I216</f>
        <v>0</v>
      </c>
      <c r="N168" s="153"/>
      <c r="O168" s="153">
        <f t="shared" si="44"/>
        <v>0</v>
      </c>
      <c r="P168" s="153"/>
      <c r="Q168" s="153"/>
      <c r="R168" s="153">
        <f t="shared" si="45"/>
        <v>0</v>
      </c>
      <c r="S168" s="153">
        <f t="shared" si="46"/>
        <v>0</v>
      </c>
      <c r="T168" s="164">
        <f t="shared" si="47"/>
        <v>0</v>
      </c>
      <c r="U168" s="164">
        <f t="shared" si="48"/>
        <v>0</v>
      </c>
      <c r="V168" s="137" t="str">
        <f t="shared" si="49"/>
        <v/>
      </c>
      <c r="W168" s="137" t="str">
        <f t="shared" si="50"/>
        <v/>
      </c>
      <c r="X168" s="137" t="str">
        <f t="shared" si="51"/>
        <v/>
      </c>
    </row>
    <row r="169" spans="2:24" ht="15" thickBot="1" x14ac:dyDescent="0.4">
      <c r="B169" s="1152"/>
      <c r="C169" s="40">
        <f>'Combustão Móvel'!B217</f>
        <v>0</v>
      </c>
      <c r="D169" s="158" t="str">
        <f>'Combustão Móvel'!Q217</f>
        <v/>
      </c>
      <c r="E169" s="153">
        <f>'Combustão Móvel'!H217</f>
        <v>0</v>
      </c>
      <c r="F169" s="153">
        <f t="shared" si="38"/>
        <v>0</v>
      </c>
      <c r="G169" s="153">
        <f t="shared" si="39"/>
        <v>0</v>
      </c>
      <c r="H169" s="153">
        <f t="shared" si="40"/>
        <v>0</v>
      </c>
      <c r="I169" s="153">
        <f t="shared" si="41"/>
        <v>0</v>
      </c>
      <c r="J169" s="153">
        <f t="shared" si="42"/>
        <v>0</v>
      </c>
      <c r="K169" s="160">
        <f t="shared" si="43"/>
        <v>0</v>
      </c>
      <c r="L169" s="66">
        <f>'Combustão Móvel'!H217</f>
        <v>0</v>
      </c>
      <c r="M169" s="67">
        <f>'Combustão Móvel'!I217</f>
        <v>0</v>
      </c>
      <c r="N169" s="153"/>
      <c r="O169" s="153">
        <f t="shared" si="44"/>
        <v>0</v>
      </c>
      <c r="P169" s="153"/>
      <c r="Q169" s="153"/>
      <c r="R169" s="153">
        <f t="shared" si="45"/>
        <v>0</v>
      </c>
      <c r="S169" s="153">
        <f t="shared" si="46"/>
        <v>0</v>
      </c>
      <c r="T169" s="164">
        <f t="shared" si="47"/>
        <v>0</v>
      </c>
      <c r="U169" s="164">
        <f t="shared" si="48"/>
        <v>0</v>
      </c>
      <c r="V169" s="137" t="str">
        <f t="shared" si="49"/>
        <v/>
      </c>
      <c r="W169" s="137" t="str">
        <f t="shared" si="50"/>
        <v/>
      </c>
      <c r="X169" s="137" t="str">
        <f t="shared" si="51"/>
        <v/>
      </c>
    </row>
    <row r="170" spans="2:24" ht="15" thickBot="1" x14ac:dyDescent="0.4">
      <c r="B170" s="1152"/>
      <c r="C170" s="40">
        <f>'Combustão Móvel'!B218</f>
        <v>0</v>
      </c>
      <c r="D170" s="158" t="str">
        <f>'Combustão Móvel'!Q218</f>
        <v/>
      </c>
      <c r="E170" s="153">
        <f>'Combustão Móvel'!H218</f>
        <v>0</v>
      </c>
      <c r="F170" s="153">
        <f t="shared" si="38"/>
        <v>0</v>
      </c>
      <c r="G170" s="153">
        <f t="shared" si="39"/>
        <v>0</v>
      </c>
      <c r="H170" s="153">
        <f t="shared" si="40"/>
        <v>0</v>
      </c>
      <c r="I170" s="153">
        <f t="shared" si="41"/>
        <v>0</v>
      </c>
      <c r="J170" s="153">
        <f t="shared" si="42"/>
        <v>0</v>
      </c>
      <c r="K170" s="160">
        <f t="shared" si="43"/>
        <v>0</v>
      </c>
      <c r="L170" s="66">
        <f>'Combustão Móvel'!H218</f>
        <v>0</v>
      </c>
      <c r="M170" s="67">
        <f>'Combustão Móvel'!I218</f>
        <v>0</v>
      </c>
      <c r="N170" s="153"/>
      <c r="O170" s="153">
        <f t="shared" si="44"/>
        <v>0</v>
      </c>
      <c r="P170" s="153"/>
      <c r="Q170" s="153"/>
      <c r="R170" s="153">
        <f t="shared" si="45"/>
        <v>0</v>
      </c>
      <c r="S170" s="153">
        <f t="shared" si="46"/>
        <v>0</v>
      </c>
      <c r="T170" s="164">
        <f t="shared" si="47"/>
        <v>0</v>
      </c>
      <c r="U170" s="164">
        <f t="shared" si="48"/>
        <v>0</v>
      </c>
      <c r="V170" s="137" t="str">
        <f t="shared" si="49"/>
        <v/>
      </c>
      <c r="W170" s="137" t="str">
        <f t="shared" si="50"/>
        <v/>
      </c>
      <c r="X170" s="137" t="str">
        <f t="shared" si="51"/>
        <v/>
      </c>
    </row>
    <row r="171" spans="2:24" ht="15" thickBot="1" x14ac:dyDescent="0.4">
      <c r="B171" s="1152"/>
      <c r="C171" s="40">
        <f>'Combustão Móvel'!B219</f>
        <v>0</v>
      </c>
      <c r="D171" s="158" t="str">
        <f>'Combustão Móvel'!Q219</f>
        <v/>
      </c>
      <c r="E171" s="153">
        <f>'Combustão Móvel'!H219</f>
        <v>0</v>
      </c>
      <c r="F171" s="153">
        <f t="shared" si="38"/>
        <v>0</v>
      </c>
      <c r="G171" s="153">
        <f t="shared" si="39"/>
        <v>0</v>
      </c>
      <c r="H171" s="153">
        <f t="shared" si="40"/>
        <v>0</v>
      </c>
      <c r="I171" s="153">
        <f t="shared" si="41"/>
        <v>0</v>
      </c>
      <c r="J171" s="153">
        <f t="shared" si="42"/>
        <v>0</v>
      </c>
      <c r="K171" s="160">
        <f t="shared" si="43"/>
        <v>0</v>
      </c>
      <c r="L171" s="66">
        <f>'Combustão Móvel'!H219</f>
        <v>0</v>
      </c>
      <c r="M171" s="67">
        <f>'Combustão Móvel'!I219</f>
        <v>0</v>
      </c>
      <c r="N171" s="153"/>
      <c r="O171" s="153">
        <f t="shared" si="44"/>
        <v>0</v>
      </c>
      <c r="P171" s="153"/>
      <c r="Q171" s="153"/>
      <c r="R171" s="153">
        <f t="shared" si="45"/>
        <v>0</v>
      </c>
      <c r="S171" s="153">
        <f t="shared" si="46"/>
        <v>0</v>
      </c>
      <c r="T171" s="164">
        <f t="shared" si="47"/>
        <v>0</v>
      </c>
      <c r="U171" s="164">
        <f t="shared" si="48"/>
        <v>0</v>
      </c>
      <c r="V171" s="137" t="str">
        <f t="shared" si="49"/>
        <v/>
      </c>
      <c r="W171" s="137" t="str">
        <f t="shared" si="50"/>
        <v/>
      </c>
      <c r="X171" s="137" t="str">
        <f t="shared" si="51"/>
        <v/>
      </c>
    </row>
    <row r="172" spans="2:24" ht="15" thickBot="1" x14ac:dyDescent="0.4">
      <c r="B172" s="1152"/>
      <c r="C172" s="40">
        <f>'Combustão Móvel'!B220</f>
        <v>0</v>
      </c>
      <c r="D172" s="158" t="str">
        <f>'Combustão Móvel'!Q220</f>
        <v/>
      </c>
      <c r="E172" s="153">
        <f>'Combustão Móvel'!H220</f>
        <v>0</v>
      </c>
      <c r="F172" s="153">
        <f t="shared" si="38"/>
        <v>0</v>
      </c>
      <c r="G172" s="153">
        <f t="shared" si="39"/>
        <v>0</v>
      </c>
      <c r="H172" s="153">
        <f t="shared" si="40"/>
        <v>0</v>
      </c>
      <c r="I172" s="153">
        <f t="shared" si="41"/>
        <v>0</v>
      </c>
      <c r="J172" s="153">
        <f t="shared" si="42"/>
        <v>0</v>
      </c>
      <c r="K172" s="160">
        <f t="shared" si="43"/>
        <v>0</v>
      </c>
      <c r="L172" s="66">
        <f>'Combustão Móvel'!H220</f>
        <v>0</v>
      </c>
      <c r="M172" s="67">
        <f>'Combustão Móvel'!I220</f>
        <v>0</v>
      </c>
      <c r="N172" s="153"/>
      <c r="O172" s="153">
        <f t="shared" si="44"/>
        <v>0</v>
      </c>
      <c r="P172" s="153"/>
      <c r="Q172" s="153"/>
      <c r="R172" s="153">
        <f t="shared" si="45"/>
        <v>0</v>
      </c>
      <c r="S172" s="153">
        <f t="shared" si="46"/>
        <v>0</v>
      </c>
      <c r="T172" s="164">
        <f t="shared" si="47"/>
        <v>0</v>
      </c>
      <c r="U172" s="164">
        <f t="shared" si="48"/>
        <v>0</v>
      </c>
      <c r="V172" s="137" t="str">
        <f t="shared" si="49"/>
        <v/>
      </c>
      <c r="W172" s="137" t="str">
        <f t="shared" si="50"/>
        <v/>
      </c>
      <c r="X172" s="137" t="str">
        <f t="shared" si="51"/>
        <v/>
      </c>
    </row>
    <row r="173" spans="2:24" ht="15" thickBot="1" x14ac:dyDescent="0.4">
      <c r="B173" s="1152"/>
      <c r="C173" s="40">
        <f>'Combustão Móvel'!B221</f>
        <v>0</v>
      </c>
      <c r="D173" s="158" t="str">
        <f>'Combustão Móvel'!Q221</f>
        <v/>
      </c>
      <c r="E173" s="153">
        <f>'Combustão Móvel'!H221</f>
        <v>0</v>
      </c>
      <c r="F173" s="153">
        <f t="shared" si="38"/>
        <v>0</v>
      </c>
      <c r="G173" s="153">
        <f t="shared" si="39"/>
        <v>0</v>
      </c>
      <c r="H173" s="153">
        <f t="shared" si="40"/>
        <v>0</v>
      </c>
      <c r="I173" s="153">
        <f t="shared" si="41"/>
        <v>0</v>
      </c>
      <c r="J173" s="153">
        <f t="shared" si="42"/>
        <v>0</v>
      </c>
      <c r="K173" s="160">
        <f t="shared" si="43"/>
        <v>0</v>
      </c>
      <c r="L173" s="66">
        <f>'Combustão Móvel'!H221</f>
        <v>0</v>
      </c>
      <c r="M173" s="67">
        <f>'Combustão Móvel'!I221</f>
        <v>0</v>
      </c>
      <c r="N173" s="153"/>
      <c r="O173" s="153">
        <f t="shared" si="44"/>
        <v>0</v>
      </c>
      <c r="P173" s="153"/>
      <c r="Q173" s="153"/>
      <c r="R173" s="153">
        <f t="shared" si="45"/>
        <v>0</v>
      </c>
      <c r="S173" s="153">
        <f t="shared" si="46"/>
        <v>0</v>
      </c>
      <c r="T173" s="164">
        <f t="shared" si="47"/>
        <v>0</v>
      </c>
      <c r="U173" s="164">
        <f t="shared" si="48"/>
        <v>0</v>
      </c>
      <c r="V173" s="137" t="str">
        <f t="shared" si="49"/>
        <v/>
      </c>
      <c r="W173" s="137" t="str">
        <f t="shared" si="50"/>
        <v/>
      </c>
      <c r="X173" s="137" t="str">
        <f t="shared" si="51"/>
        <v/>
      </c>
    </row>
    <row r="174" spans="2:24" ht="15" thickBot="1" x14ac:dyDescent="0.4">
      <c r="B174" s="1152"/>
      <c r="C174" s="40">
        <f>'Combustão Móvel'!B222</f>
        <v>0</v>
      </c>
      <c r="D174" s="158" t="str">
        <f>'Combustão Móvel'!Q222</f>
        <v/>
      </c>
      <c r="E174" s="153">
        <f>'Combustão Móvel'!H222</f>
        <v>0</v>
      </c>
      <c r="F174" s="153">
        <f t="shared" si="38"/>
        <v>0</v>
      </c>
      <c r="G174" s="153">
        <f t="shared" si="39"/>
        <v>0</v>
      </c>
      <c r="H174" s="153">
        <f t="shared" si="40"/>
        <v>0</v>
      </c>
      <c r="I174" s="153">
        <f t="shared" si="41"/>
        <v>0</v>
      </c>
      <c r="J174" s="153">
        <f t="shared" si="42"/>
        <v>0</v>
      </c>
      <c r="K174" s="160">
        <f t="shared" si="43"/>
        <v>0</v>
      </c>
      <c r="L174" s="66">
        <f>'Combustão Móvel'!H222</f>
        <v>0</v>
      </c>
      <c r="M174" s="67">
        <f>'Combustão Móvel'!I222</f>
        <v>0</v>
      </c>
      <c r="N174" s="153"/>
      <c r="O174" s="153">
        <f t="shared" si="44"/>
        <v>0</v>
      </c>
      <c r="P174" s="153"/>
      <c r="Q174" s="153"/>
      <c r="R174" s="153">
        <f t="shared" si="45"/>
        <v>0</v>
      </c>
      <c r="S174" s="153">
        <f t="shared" si="46"/>
        <v>0</v>
      </c>
      <c r="T174" s="164">
        <f t="shared" si="47"/>
        <v>0</v>
      </c>
      <c r="U174" s="164">
        <f t="shared" si="48"/>
        <v>0</v>
      </c>
      <c r="V174" s="137" t="str">
        <f t="shared" si="49"/>
        <v/>
      </c>
      <c r="W174" s="137" t="str">
        <f t="shared" si="50"/>
        <v/>
      </c>
      <c r="X174" s="137" t="str">
        <f t="shared" si="51"/>
        <v/>
      </c>
    </row>
    <row r="175" spans="2:24" ht="15" thickBot="1" x14ac:dyDescent="0.4">
      <c r="B175" s="1152"/>
      <c r="C175" s="40">
        <f>'Combustão Móvel'!B223</f>
        <v>0</v>
      </c>
      <c r="D175" s="158" t="str">
        <f>'Combustão Móvel'!Q223</f>
        <v/>
      </c>
      <c r="E175" s="153">
        <f>'Combustão Móvel'!H223</f>
        <v>0</v>
      </c>
      <c r="F175" s="153">
        <f t="shared" si="38"/>
        <v>0</v>
      </c>
      <c r="G175" s="153">
        <f t="shared" si="39"/>
        <v>0</v>
      </c>
      <c r="H175" s="153">
        <f t="shared" si="40"/>
        <v>0</v>
      </c>
      <c r="I175" s="153">
        <f t="shared" si="41"/>
        <v>0</v>
      </c>
      <c r="J175" s="153">
        <f t="shared" si="42"/>
        <v>0</v>
      </c>
      <c r="K175" s="160">
        <f t="shared" si="43"/>
        <v>0</v>
      </c>
      <c r="L175" s="66">
        <f>'Combustão Móvel'!H223</f>
        <v>0</v>
      </c>
      <c r="M175" s="67">
        <f>'Combustão Móvel'!I223</f>
        <v>0</v>
      </c>
      <c r="N175" s="153"/>
      <c r="O175" s="153">
        <f t="shared" si="44"/>
        <v>0</v>
      </c>
      <c r="P175" s="153"/>
      <c r="Q175" s="153"/>
      <c r="R175" s="153">
        <f t="shared" si="45"/>
        <v>0</v>
      </c>
      <c r="S175" s="153">
        <f t="shared" si="46"/>
        <v>0</v>
      </c>
      <c r="T175" s="164">
        <f t="shared" si="47"/>
        <v>0</v>
      </c>
      <c r="U175" s="164">
        <f t="shared" si="48"/>
        <v>0</v>
      </c>
      <c r="V175" s="137" t="str">
        <f t="shared" si="49"/>
        <v/>
      </c>
      <c r="W175" s="137" t="str">
        <f t="shared" si="50"/>
        <v/>
      </c>
      <c r="X175" s="137" t="str">
        <f t="shared" si="51"/>
        <v/>
      </c>
    </row>
    <row r="176" spans="2:24" ht="15" thickBot="1" x14ac:dyDescent="0.4">
      <c r="B176" s="1152"/>
      <c r="C176" s="40">
        <f>'Combustão Móvel'!B224</f>
        <v>0</v>
      </c>
      <c r="D176" s="158" t="str">
        <f>'Combustão Móvel'!Q224</f>
        <v/>
      </c>
      <c r="E176" s="153">
        <f>'Combustão Móvel'!H224</f>
        <v>0</v>
      </c>
      <c r="F176" s="153">
        <f t="shared" si="38"/>
        <v>0</v>
      </c>
      <c r="G176" s="153">
        <f t="shared" si="39"/>
        <v>0</v>
      </c>
      <c r="H176" s="153">
        <f t="shared" si="40"/>
        <v>0</v>
      </c>
      <c r="I176" s="153">
        <f t="shared" si="41"/>
        <v>0</v>
      </c>
      <c r="J176" s="153">
        <f t="shared" si="42"/>
        <v>0</v>
      </c>
      <c r="K176" s="160">
        <f t="shared" si="43"/>
        <v>0</v>
      </c>
      <c r="L176" s="66">
        <f>'Combustão Móvel'!H224</f>
        <v>0</v>
      </c>
      <c r="M176" s="67">
        <f>'Combustão Móvel'!I224</f>
        <v>0</v>
      </c>
      <c r="N176" s="153"/>
      <c r="O176" s="153">
        <f t="shared" si="44"/>
        <v>0</v>
      </c>
      <c r="P176" s="153"/>
      <c r="Q176" s="153"/>
      <c r="R176" s="153">
        <f t="shared" si="45"/>
        <v>0</v>
      </c>
      <c r="S176" s="153">
        <f t="shared" si="46"/>
        <v>0</v>
      </c>
      <c r="T176" s="164">
        <f t="shared" si="47"/>
        <v>0</v>
      </c>
      <c r="U176" s="164">
        <f t="shared" si="48"/>
        <v>0</v>
      </c>
      <c r="V176" s="137" t="str">
        <f t="shared" si="49"/>
        <v/>
      </c>
      <c r="W176" s="137" t="str">
        <f t="shared" si="50"/>
        <v/>
      </c>
      <c r="X176" s="137" t="str">
        <f t="shared" si="51"/>
        <v/>
      </c>
    </row>
    <row r="177" spans="2:24" ht="15" thickBot="1" x14ac:dyDescent="0.4">
      <c r="B177" s="1152"/>
      <c r="C177" s="40">
        <f>'Combustão Móvel'!B225</f>
        <v>0</v>
      </c>
      <c r="D177" s="158" t="str">
        <f>'Combustão Móvel'!Q225</f>
        <v/>
      </c>
      <c r="E177" s="153">
        <f>'Combustão Móvel'!H225</f>
        <v>0</v>
      </c>
      <c r="F177" s="153">
        <f t="shared" si="38"/>
        <v>0</v>
      </c>
      <c r="G177" s="153">
        <f t="shared" si="39"/>
        <v>0</v>
      </c>
      <c r="H177" s="153">
        <f t="shared" si="40"/>
        <v>0</v>
      </c>
      <c r="I177" s="153">
        <f t="shared" si="41"/>
        <v>0</v>
      </c>
      <c r="J177" s="153">
        <f t="shared" si="42"/>
        <v>0</v>
      </c>
      <c r="K177" s="160">
        <f t="shared" si="43"/>
        <v>0</v>
      </c>
      <c r="L177" s="66">
        <f>'Combustão Móvel'!H225</f>
        <v>0</v>
      </c>
      <c r="M177" s="67">
        <f>'Combustão Móvel'!I225</f>
        <v>0</v>
      </c>
      <c r="N177" s="153"/>
      <c r="O177" s="153">
        <f t="shared" si="44"/>
        <v>0</v>
      </c>
      <c r="P177" s="153"/>
      <c r="Q177" s="153"/>
      <c r="R177" s="153">
        <f t="shared" si="45"/>
        <v>0</v>
      </c>
      <c r="S177" s="153">
        <f t="shared" si="46"/>
        <v>0</v>
      </c>
      <c r="T177" s="164">
        <f t="shared" si="47"/>
        <v>0</v>
      </c>
      <c r="U177" s="164">
        <f t="shared" si="48"/>
        <v>0</v>
      </c>
      <c r="V177" s="137" t="str">
        <f t="shared" si="49"/>
        <v/>
      </c>
      <c r="W177" s="137" t="str">
        <f t="shared" si="50"/>
        <v/>
      </c>
      <c r="X177" s="137" t="str">
        <f t="shared" si="51"/>
        <v/>
      </c>
    </row>
    <row r="178" spans="2:24" ht="15" thickBot="1" x14ac:dyDescent="0.4">
      <c r="B178" s="1152"/>
      <c r="C178" s="40">
        <f>'Combustão Móvel'!B226</f>
        <v>0</v>
      </c>
      <c r="D178" s="158" t="str">
        <f>'Combustão Móvel'!Q226</f>
        <v/>
      </c>
      <c r="E178" s="153">
        <f>'Combustão Móvel'!H226</f>
        <v>0</v>
      </c>
      <c r="F178" s="153">
        <f t="shared" si="38"/>
        <v>0</v>
      </c>
      <c r="G178" s="153">
        <f t="shared" si="39"/>
        <v>0</v>
      </c>
      <c r="H178" s="153">
        <f t="shared" si="40"/>
        <v>0</v>
      </c>
      <c r="I178" s="153">
        <f t="shared" si="41"/>
        <v>0</v>
      </c>
      <c r="J178" s="153">
        <f t="shared" si="42"/>
        <v>0</v>
      </c>
      <c r="K178" s="160">
        <f t="shared" si="43"/>
        <v>0</v>
      </c>
      <c r="L178" s="66">
        <f>'Combustão Móvel'!H226</f>
        <v>0</v>
      </c>
      <c r="M178" s="67">
        <f>'Combustão Móvel'!I226</f>
        <v>0</v>
      </c>
      <c r="N178" s="153"/>
      <c r="O178" s="153">
        <f t="shared" si="44"/>
        <v>0</v>
      </c>
      <c r="P178" s="153"/>
      <c r="Q178" s="153"/>
      <c r="R178" s="153">
        <f t="shared" si="45"/>
        <v>0</v>
      </c>
      <c r="S178" s="153">
        <f t="shared" si="46"/>
        <v>0</v>
      </c>
      <c r="T178" s="164">
        <f t="shared" si="47"/>
        <v>0</v>
      </c>
      <c r="U178" s="164">
        <f t="shared" si="48"/>
        <v>0</v>
      </c>
      <c r="V178" s="137" t="str">
        <f t="shared" si="49"/>
        <v/>
      </c>
      <c r="W178" s="137" t="str">
        <f t="shared" si="50"/>
        <v/>
      </c>
      <c r="X178" s="137" t="str">
        <f t="shared" si="51"/>
        <v/>
      </c>
    </row>
    <row r="179" spans="2:24" ht="15" thickBot="1" x14ac:dyDescent="0.4">
      <c r="B179" s="1152"/>
      <c r="C179" s="40">
        <f>'Combustão Móvel'!B227</f>
        <v>0</v>
      </c>
      <c r="D179" s="158" t="str">
        <f>'Combustão Móvel'!Q227</f>
        <v/>
      </c>
      <c r="E179" s="153">
        <f>'Combustão Móvel'!H227</f>
        <v>0</v>
      </c>
      <c r="F179" s="153">
        <f t="shared" si="38"/>
        <v>0</v>
      </c>
      <c r="G179" s="153">
        <f t="shared" si="39"/>
        <v>0</v>
      </c>
      <c r="H179" s="153">
        <f t="shared" si="40"/>
        <v>0</v>
      </c>
      <c r="I179" s="153">
        <f t="shared" si="41"/>
        <v>0</v>
      </c>
      <c r="J179" s="153">
        <f t="shared" si="42"/>
        <v>0</v>
      </c>
      <c r="K179" s="160">
        <f t="shared" si="43"/>
        <v>0</v>
      </c>
      <c r="L179" s="66">
        <f>'Combustão Móvel'!H227</f>
        <v>0</v>
      </c>
      <c r="M179" s="67">
        <f>'Combustão Móvel'!I227</f>
        <v>0</v>
      </c>
      <c r="N179" s="153"/>
      <c r="O179" s="153">
        <f t="shared" si="44"/>
        <v>0</v>
      </c>
      <c r="P179" s="153"/>
      <c r="Q179" s="153"/>
      <c r="R179" s="153">
        <f t="shared" si="45"/>
        <v>0</v>
      </c>
      <c r="S179" s="153">
        <f t="shared" si="46"/>
        <v>0</v>
      </c>
      <c r="T179" s="164">
        <f t="shared" si="47"/>
        <v>0</v>
      </c>
      <c r="U179" s="164">
        <f t="shared" si="48"/>
        <v>0</v>
      </c>
      <c r="V179" s="137" t="str">
        <f t="shared" si="49"/>
        <v/>
      </c>
      <c r="W179" s="137" t="str">
        <f t="shared" si="50"/>
        <v/>
      </c>
      <c r="X179" s="137" t="str">
        <f t="shared" si="51"/>
        <v/>
      </c>
    </row>
    <row r="180" spans="2:24" ht="15" thickBot="1" x14ac:dyDescent="0.4">
      <c r="B180" s="1152"/>
      <c r="C180" s="40">
        <f>'Combustão Móvel'!B228</f>
        <v>0</v>
      </c>
      <c r="D180" s="158" t="str">
        <f>'Combustão Móvel'!Q228</f>
        <v/>
      </c>
      <c r="E180" s="153">
        <f>'Combustão Móvel'!H228</f>
        <v>0</v>
      </c>
      <c r="F180" s="153">
        <f t="shared" si="38"/>
        <v>0</v>
      </c>
      <c r="G180" s="153">
        <f t="shared" si="39"/>
        <v>0</v>
      </c>
      <c r="H180" s="153">
        <f t="shared" si="40"/>
        <v>0</v>
      </c>
      <c r="I180" s="153">
        <f t="shared" si="41"/>
        <v>0</v>
      </c>
      <c r="J180" s="153">
        <f t="shared" si="42"/>
        <v>0</v>
      </c>
      <c r="K180" s="160">
        <f t="shared" si="43"/>
        <v>0</v>
      </c>
      <c r="L180" s="66">
        <f>'Combustão Móvel'!H228</f>
        <v>0</v>
      </c>
      <c r="M180" s="67">
        <f>'Combustão Móvel'!I228</f>
        <v>0</v>
      </c>
      <c r="N180" s="153"/>
      <c r="O180" s="153">
        <f t="shared" si="44"/>
        <v>0</v>
      </c>
      <c r="P180" s="153"/>
      <c r="Q180" s="153"/>
      <c r="R180" s="153">
        <f t="shared" si="45"/>
        <v>0</v>
      </c>
      <c r="S180" s="153">
        <f t="shared" si="46"/>
        <v>0</v>
      </c>
      <c r="T180" s="164">
        <f t="shared" si="47"/>
        <v>0</v>
      </c>
      <c r="U180" s="164">
        <f t="shared" si="48"/>
        <v>0</v>
      </c>
      <c r="V180" s="137" t="str">
        <f t="shared" si="49"/>
        <v/>
      </c>
      <c r="W180" s="137" t="str">
        <f t="shared" si="50"/>
        <v/>
      </c>
      <c r="X180" s="137" t="str">
        <f t="shared" si="51"/>
        <v/>
      </c>
    </row>
    <row r="181" spans="2:24" ht="15" thickBot="1" x14ac:dyDescent="0.4">
      <c r="B181" s="1152"/>
      <c r="C181" s="40">
        <f>'Combustão Móvel'!B229</f>
        <v>0</v>
      </c>
      <c r="D181" s="158" t="str">
        <f>'Combustão Móvel'!Q229</f>
        <v/>
      </c>
      <c r="E181" s="153">
        <f>'Combustão Móvel'!H229</f>
        <v>0</v>
      </c>
      <c r="F181" s="153">
        <f t="shared" si="38"/>
        <v>0</v>
      </c>
      <c r="G181" s="153">
        <f t="shared" si="39"/>
        <v>0</v>
      </c>
      <c r="H181" s="153">
        <f t="shared" si="40"/>
        <v>0</v>
      </c>
      <c r="I181" s="153">
        <f t="shared" si="41"/>
        <v>0</v>
      </c>
      <c r="J181" s="153">
        <f t="shared" si="42"/>
        <v>0</v>
      </c>
      <c r="K181" s="160">
        <f t="shared" si="43"/>
        <v>0</v>
      </c>
      <c r="L181" s="66">
        <f>'Combustão Móvel'!H229</f>
        <v>0</v>
      </c>
      <c r="M181" s="67">
        <f>'Combustão Móvel'!I229</f>
        <v>0</v>
      </c>
      <c r="N181" s="153"/>
      <c r="O181" s="153">
        <f t="shared" si="44"/>
        <v>0</v>
      </c>
      <c r="P181" s="153"/>
      <c r="Q181" s="153"/>
      <c r="R181" s="153">
        <f t="shared" si="45"/>
        <v>0</v>
      </c>
      <c r="S181" s="153">
        <f t="shared" si="46"/>
        <v>0</v>
      </c>
      <c r="T181" s="164">
        <f t="shared" si="47"/>
        <v>0</v>
      </c>
      <c r="U181" s="164">
        <f t="shared" si="48"/>
        <v>0</v>
      </c>
      <c r="V181" s="137" t="str">
        <f t="shared" si="49"/>
        <v/>
      </c>
      <c r="W181" s="137" t="str">
        <f t="shared" si="50"/>
        <v/>
      </c>
      <c r="X181" s="137" t="str">
        <f t="shared" si="51"/>
        <v/>
      </c>
    </row>
    <row r="182" spans="2:24" ht="15" thickBot="1" x14ac:dyDescent="0.4">
      <c r="B182" s="1152"/>
      <c r="C182" s="40">
        <f>'Combustão Móvel'!B230</f>
        <v>0</v>
      </c>
      <c r="D182" s="158" t="str">
        <f>'Combustão Móvel'!Q230</f>
        <v/>
      </c>
      <c r="E182" s="153">
        <f>'Combustão Móvel'!H230</f>
        <v>0</v>
      </c>
      <c r="F182" s="153">
        <f t="shared" si="38"/>
        <v>0</v>
      </c>
      <c r="G182" s="153">
        <f t="shared" si="39"/>
        <v>0</v>
      </c>
      <c r="H182" s="153">
        <f t="shared" si="40"/>
        <v>0</v>
      </c>
      <c r="I182" s="153">
        <f t="shared" si="41"/>
        <v>0</v>
      </c>
      <c r="J182" s="153">
        <f t="shared" si="42"/>
        <v>0</v>
      </c>
      <c r="K182" s="160">
        <f t="shared" si="43"/>
        <v>0</v>
      </c>
      <c r="L182" s="66">
        <f>'Combustão Móvel'!H230</f>
        <v>0</v>
      </c>
      <c r="M182" s="67">
        <f>'Combustão Móvel'!I230</f>
        <v>0</v>
      </c>
      <c r="N182" s="153"/>
      <c r="O182" s="153">
        <f t="shared" si="44"/>
        <v>0</v>
      </c>
      <c r="P182" s="153"/>
      <c r="Q182" s="153"/>
      <c r="R182" s="153">
        <f t="shared" si="45"/>
        <v>0</v>
      </c>
      <c r="S182" s="153">
        <f t="shared" si="46"/>
        <v>0</v>
      </c>
      <c r="T182" s="164">
        <f t="shared" si="47"/>
        <v>0</v>
      </c>
      <c r="U182" s="164">
        <f t="shared" si="48"/>
        <v>0</v>
      </c>
      <c r="V182" s="137" t="str">
        <f t="shared" si="49"/>
        <v/>
      </c>
      <c r="W182" s="137" t="str">
        <f t="shared" si="50"/>
        <v/>
      </c>
      <c r="X182" s="137" t="str">
        <f t="shared" si="51"/>
        <v/>
      </c>
    </row>
    <row r="183" spans="2:24" ht="15" thickBot="1" x14ac:dyDescent="0.4">
      <c r="B183" s="1152"/>
      <c r="C183" s="40">
        <f>'Combustão Móvel'!B231</f>
        <v>0</v>
      </c>
      <c r="D183" s="158" t="str">
        <f>'Combustão Móvel'!Q231</f>
        <v/>
      </c>
      <c r="E183" s="153">
        <f>'Combustão Móvel'!H231</f>
        <v>0</v>
      </c>
      <c r="F183" s="153">
        <f t="shared" si="38"/>
        <v>0</v>
      </c>
      <c r="G183" s="153">
        <f t="shared" si="39"/>
        <v>0</v>
      </c>
      <c r="H183" s="153">
        <f t="shared" si="40"/>
        <v>0</v>
      </c>
      <c r="I183" s="153">
        <f t="shared" si="41"/>
        <v>0</v>
      </c>
      <c r="J183" s="153">
        <f t="shared" si="42"/>
        <v>0</v>
      </c>
      <c r="K183" s="160">
        <f t="shared" si="43"/>
        <v>0</v>
      </c>
      <c r="L183" s="66">
        <f>'Combustão Móvel'!H231</f>
        <v>0</v>
      </c>
      <c r="M183" s="67">
        <f>'Combustão Móvel'!I231</f>
        <v>0</v>
      </c>
      <c r="N183" s="153"/>
      <c r="O183" s="153">
        <f t="shared" si="44"/>
        <v>0</v>
      </c>
      <c r="P183" s="153"/>
      <c r="Q183" s="153"/>
      <c r="R183" s="153">
        <f t="shared" si="45"/>
        <v>0</v>
      </c>
      <c r="S183" s="153">
        <f t="shared" si="46"/>
        <v>0</v>
      </c>
      <c r="T183" s="164">
        <f t="shared" si="47"/>
        <v>0</v>
      </c>
      <c r="U183" s="164">
        <f t="shared" si="48"/>
        <v>0</v>
      </c>
      <c r="V183" s="137" t="str">
        <f t="shared" si="49"/>
        <v/>
      </c>
      <c r="W183" s="137" t="str">
        <f t="shared" si="50"/>
        <v/>
      </c>
      <c r="X183" s="137" t="str">
        <f t="shared" si="51"/>
        <v/>
      </c>
    </row>
    <row r="184" spans="2:24" ht="15" thickBot="1" x14ac:dyDescent="0.4">
      <c r="B184" s="1152"/>
      <c r="C184" s="40">
        <f>'Combustão Móvel'!B232</f>
        <v>0</v>
      </c>
      <c r="D184" s="158" t="str">
        <f>'Combustão Móvel'!Q232</f>
        <v/>
      </c>
      <c r="E184" s="153">
        <f>'Combustão Móvel'!H232</f>
        <v>0</v>
      </c>
      <c r="F184" s="153">
        <f t="shared" si="38"/>
        <v>0</v>
      </c>
      <c r="G184" s="153">
        <f t="shared" si="39"/>
        <v>0</v>
      </c>
      <c r="H184" s="153">
        <f t="shared" si="40"/>
        <v>0</v>
      </c>
      <c r="I184" s="153">
        <f t="shared" si="41"/>
        <v>0</v>
      </c>
      <c r="J184" s="153">
        <f t="shared" si="42"/>
        <v>0</v>
      </c>
      <c r="K184" s="160">
        <f t="shared" si="43"/>
        <v>0</v>
      </c>
      <c r="L184" s="66">
        <f>'Combustão Móvel'!H232</f>
        <v>0</v>
      </c>
      <c r="M184" s="67">
        <f>'Combustão Móvel'!I232</f>
        <v>0</v>
      </c>
      <c r="N184" s="153"/>
      <c r="O184" s="153">
        <f t="shared" si="44"/>
        <v>0</v>
      </c>
      <c r="P184" s="153"/>
      <c r="Q184" s="153"/>
      <c r="R184" s="153">
        <f t="shared" si="45"/>
        <v>0</v>
      </c>
      <c r="S184" s="153">
        <f t="shared" si="46"/>
        <v>0</v>
      </c>
      <c r="T184" s="164">
        <f t="shared" si="47"/>
        <v>0</v>
      </c>
      <c r="U184" s="164">
        <f t="shared" si="48"/>
        <v>0</v>
      </c>
      <c r="V184" s="137" t="str">
        <f t="shared" si="49"/>
        <v/>
      </c>
      <c r="W184" s="137" t="str">
        <f t="shared" si="50"/>
        <v/>
      </c>
      <c r="X184" s="137" t="str">
        <f t="shared" si="51"/>
        <v/>
      </c>
    </row>
    <row r="185" spans="2:24" ht="15" thickBot="1" x14ac:dyDescent="0.4">
      <c r="B185" s="1152"/>
      <c r="C185" s="40">
        <f>'Combustão Móvel'!B233</f>
        <v>0</v>
      </c>
      <c r="D185" s="158" t="str">
        <f>'Combustão Móvel'!Q233</f>
        <v/>
      </c>
      <c r="E185" s="153">
        <f>'Combustão Móvel'!H233</f>
        <v>0</v>
      </c>
      <c r="F185" s="153">
        <f t="shared" si="38"/>
        <v>0</v>
      </c>
      <c r="G185" s="153">
        <f t="shared" si="39"/>
        <v>0</v>
      </c>
      <c r="H185" s="153">
        <f t="shared" si="40"/>
        <v>0</v>
      </c>
      <c r="I185" s="153">
        <f t="shared" si="41"/>
        <v>0</v>
      </c>
      <c r="J185" s="153">
        <f t="shared" si="42"/>
        <v>0</v>
      </c>
      <c r="K185" s="160">
        <f t="shared" si="43"/>
        <v>0</v>
      </c>
      <c r="L185" s="66">
        <f>'Combustão Móvel'!H233</f>
        <v>0</v>
      </c>
      <c r="M185" s="67">
        <f>'Combustão Móvel'!I233</f>
        <v>0</v>
      </c>
      <c r="N185" s="153"/>
      <c r="O185" s="153">
        <f t="shared" si="44"/>
        <v>0</v>
      </c>
      <c r="P185" s="153"/>
      <c r="Q185" s="153"/>
      <c r="R185" s="153">
        <f t="shared" si="45"/>
        <v>0</v>
      </c>
      <c r="S185" s="153">
        <f t="shared" si="46"/>
        <v>0</v>
      </c>
      <c r="T185" s="164">
        <f t="shared" si="47"/>
        <v>0</v>
      </c>
      <c r="U185" s="164">
        <f t="shared" si="48"/>
        <v>0</v>
      </c>
      <c r="V185" s="137" t="str">
        <f t="shared" si="49"/>
        <v/>
      </c>
      <c r="W185" s="137" t="str">
        <f t="shared" si="50"/>
        <v/>
      </c>
      <c r="X185" s="137" t="str">
        <f t="shared" si="51"/>
        <v/>
      </c>
    </row>
    <row r="186" spans="2:24" ht="15" thickBot="1" x14ac:dyDescent="0.4">
      <c r="B186" s="1152"/>
      <c r="C186" s="40">
        <f>'Combustão Móvel'!B234</f>
        <v>0</v>
      </c>
      <c r="D186" s="158" t="str">
        <f>'Combustão Móvel'!Q234</f>
        <v/>
      </c>
      <c r="E186" s="153">
        <f>'Combustão Móvel'!H234</f>
        <v>0</v>
      </c>
      <c r="F186" s="153">
        <f t="shared" ref="F186:F220" si="52">IF(C186=$F$20,D186,0)</f>
        <v>0</v>
      </c>
      <c r="G186" s="153">
        <f t="shared" ref="G186:G220" si="53">IF(C186=$G$20,D186,0)</f>
        <v>0</v>
      </c>
      <c r="H186" s="153">
        <f t="shared" ref="H186:H220" si="54">IF(C186=$H$20,D186,0)</f>
        <v>0</v>
      </c>
      <c r="I186" s="153">
        <f t="shared" ref="I186:I220" si="55">IF(C186=$I$20,E186,0)</f>
        <v>0</v>
      </c>
      <c r="J186" s="153">
        <f t="shared" ref="J186:J220" si="56">IF(C186=$J$20,E186,0)</f>
        <v>0</v>
      </c>
      <c r="K186" s="160">
        <f t="shared" ref="K186:K220" si="57">IF(C186=$K$20,E186,0)</f>
        <v>0</v>
      </c>
      <c r="L186" s="66">
        <f>'Combustão Móvel'!H234</f>
        <v>0</v>
      </c>
      <c r="M186" s="67">
        <f>'Combustão Móvel'!I234</f>
        <v>0</v>
      </c>
      <c r="N186" s="153"/>
      <c r="O186" s="153">
        <f t="shared" si="44"/>
        <v>0</v>
      </c>
      <c r="P186" s="153"/>
      <c r="Q186" s="153"/>
      <c r="R186" s="153">
        <f t="shared" si="45"/>
        <v>0</v>
      </c>
      <c r="S186" s="153">
        <f t="shared" si="46"/>
        <v>0</v>
      </c>
      <c r="T186" s="164">
        <f t="shared" si="47"/>
        <v>0</v>
      </c>
      <c r="U186" s="164">
        <f t="shared" si="48"/>
        <v>0</v>
      </c>
      <c r="V186" s="137" t="str">
        <f t="shared" si="49"/>
        <v/>
      </c>
      <c r="W186" s="137" t="str">
        <f t="shared" si="50"/>
        <v/>
      </c>
      <c r="X186" s="137" t="str">
        <f t="shared" si="51"/>
        <v/>
      </c>
    </row>
    <row r="187" spans="2:24" ht="15" thickBot="1" x14ac:dyDescent="0.4">
      <c r="B187" s="1152"/>
      <c r="C187" s="40">
        <f>'Combustão Móvel'!B235</f>
        <v>0</v>
      </c>
      <c r="D187" s="158" t="str">
        <f>'Combustão Móvel'!Q235</f>
        <v/>
      </c>
      <c r="E187" s="153">
        <f>'Combustão Móvel'!H235</f>
        <v>0</v>
      </c>
      <c r="F187" s="153">
        <f t="shared" si="52"/>
        <v>0</v>
      </c>
      <c r="G187" s="153">
        <f t="shared" si="53"/>
        <v>0</v>
      </c>
      <c r="H187" s="153">
        <f t="shared" si="54"/>
        <v>0</v>
      </c>
      <c r="I187" s="153">
        <f t="shared" si="55"/>
        <v>0</v>
      </c>
      <c r="J187" s="153">
        <f t="shared" si="56"/>
        <v>0</v>
      </c>
      <c r="K187" s="160">
        <f t="shared" si="57"/>
        <v>0</v>
      </c>
      <c r="L187" s="66">
        <f>'Combustão Móvel'!H235</f>
        <v>0</v>
      </c>
      <c r="M187" s="67">
        <f>'Combustão Móvel'!I235</f>
        <v>0</v>
      </c>
      <c r="N187" s="153"/>
      <c r="O187" s="153">
        <f t="shared" si="44"/>
        <v>0</v>
      </c>
      <c r="P187" s="153"/>
      <c r="Q187" s="153"/>
      <c r="R187" s="153">
        <f t="shared" si="45"/>
        <v>0</v>
      </c>
      <c r="S187" s="153">
        <f t="shared" si="46"/>
        <v>0</v>
      </c>
      <c r="T187" s="164">
        <f t="shared" si="47"/>
        <v>0</v>
      </c>
      <c r="U187" s="164">
        <f t="shared" si="48"/>
        <v>0</v>
      </c>
      <c r="V187" s="137" t="str">
        <f t="shared" si="49"/>
        <v/>
      </c>
      <c r="W187" s="137" t="str">
        <f t="shared" si="50"/>
        <v/>
      </c>
      <c r="X187" s="137" t="str">
        <f t="shared" si="51"/>
        <v/>
      </c>
    </row>
    <row r="188" spans="2:24" ht="15" thickBot="1" x14ac:dyDescent="0.4">
      <c r="B188" s="1152"/>
      <c r="C188" s="40">
        <f>'Combustão Móvel'!B236</f>
        <v>0</v>
      </c>
      <c r="D188" s="158" t="str">
        <f>'Combustão Móvel'!Q236</f>
        <v/>
      </c>
      <c r="E188" s="153">
        <f>'Combustão Móvel'!H236</f>
        <v>0</v>
      </c>
      <c r="F188" s="153">
        <f t="shared" si="52"/>
        <v>0</v>
      </c>
      <c r="G188" s="153">
        <f t="shared" si="53"/>
        <v>0</v>
      </c>
      <c r="H188" s="153">
        <f t="shared" si="54"/>
        <v>0</v>
      </c>
      <c r="I188" s="153">
        <f t="shared" si="55"/>
        <v>0</v>
      </c>
      <c r="J188" s="153">
        <f t="shared" si="56"/>
        <v>0</v>
      </c>
      <c r="K188" s="160">
        <f t="shared" si="57"/>
        <v>0</v>
      </c>
      <c r="L188" s="66">
        <f>'Combustão Móvel'!H236</f>
        <v>0</v>
      </c>
      <c r="M188" s="67">
        <f>'Combustão Móvel'!I236</f>
        <v>0</v>
      </c>
      <c r="N188" s="153"/>
      <c r="O188" s="153">
        <f t="shared" si="44"/>
        <v>0</v>
      </c>
      <c r="P188" s="153"/>
      <c r="Q188" s="153"/>
      <c r="R188" s="153">
        <f t="shared" si="45"/>
        <v>0</v>
      </c>
      <c r="S188" s="153">
        <f t="shared" si="46"/>
        <v>0</v>
      </c>
      <c r="T188" s="164">
        <f t="shared" si="47"/>
        <v>0</v>
      </c>
      <c r="U188" s="164">
        <f t="shared" si="48"/>
        <v>0</v>
      </c>
      <c r="V188" s="137" t="str">
        <f t="shared" si="49"/>
        <v/>
      </c>
      <c r="W188" s="137" t="str">
        <f t="shared" si="50"/>
        <v/>
      </c>
      <c r="X188" s="137" t="str">
        <f t="shared" si="51"/>
        <v/>
      </c>
    </row>
    <row r="189" spans="2:24" ht="15" thickBot="1" x14ac:dyDescent="0.4">
      <c r="B189" s="1152"/>
      <c r="C189" s="40">
        <f>'Combustão Móvel'!B237</f>
        <v>0</v>
      </c>
      <c r="D189" s="158" t="str">
        <f>'Combustão Móvel'!Q237</f>
        <v/>
      </c>
      <c r="E189" s="153">
        <f>'Combustão Móvel'!H237</f>
        <v>0</v>
      </c>
      <c r="F189" s="153">
        <f t="shared" si="52"/>
        <v>0</v>
      </c>
      <c r="G189" s="153">
        <f t="shared" si="53"/>
        <v>0</v>
      </c>
      <c r="H189" s="153">
        <f t="shared" si="54"/>
        <v>0</v>
      </c>
      <c r="I189" s="153">
        <f t="shared" si="55"/>
        <v>0</v>
      </c>
      <c r="J189" s="153">
        <f t="shared" si="56"/>
        <v>0</v>
      </c>
      <c r="K189" s="160">
        <f t="shared" si="57"/>
        <v>0</v>
      </c>
      <c r="L189" s="66">
        <f>'Combustão Móvel'!H237</f>
        <v>0</v>
      </c>
      <c r="M189" s="67">
        <f>'Combustão Móvel'!I237</f>
        <v>0</v>
      </c>
      <c r="N189" s="153"/>
      <c r="O189" s="153">
        <f t="shared" si="44"/>
        <v>0</v>
      </c>
      <c r="P189" s="153"/>
      <c r="Q189" s="153"/>
      <c r="R189" s="153">
        <f t="shared" si="45"/>
        <v>0</v>
      </c>
      <c r="S189" s="153">
        <f t="shared" si="46"/>
        <v>0</v>
      </c>
      <c r="T189" s="164">
        <f t="shared" si="47"/>
        <v>0</v>
      </c>
      <c r="U189" s="164">
        <f t="shared" si="48"/>
        <v>0</v>
      </c>
      <c r="V189" s="137" t="str">
        <f t="shared" si="49"/>
        <v/>
      </c>
      <c r="W189" s="137" t="str">
        <f t="shared" si="50"/>
        <v/>
      </c>
      <c r="X189" s="137" t="str">
        <f t="shared" si="51"/>
        <v/>
      </c>
    </row>
    <row r="190" spans="2:24" ht="15" thickBot="1" x14ac:dyDescent="0.4">
      <c r="B190" s="1152"/>
      <c r="C190" s="40">
        <f>'Combustão Móvel'!B238</f>
        <v>0</v>
      </c>
      <c r="D190" s="158" t="str">
        <f>'Combustão Móvel'!Q238</f>
        <v/>
      </c>
      <c r="E190" s="153">
        <f>'Combustão Móvel'!H238</f>
        <v>0</v>
      </c>
      <c r="F190" s="153">
        <f t="shared" si="52"/>
        <v>0</v>
      </c>
      <c r="G190" s="153">
        <f t="shared" si="53"/>
        <v>0</v>
      </c>
      <c r="H190" s="153">
        <f t="shared" si="54"/>
        <v>0</v>
      </c>
      <c r="I190" s="153">
        <f t="shared" si="55"/>
        <v>0</v>
      </c>
      <c r="J190" s="153">
        <f t="shared" si="56"/>
        <v>0</v>
      </c>
      <c r="K190" s="160">
        <f t="shared" si="57"/>
        <v>0</v>
      </c>
      <c r="L190" s="66">
        <f>'Combustão Móvel'!H238</f>
        <v>0</v>
      </c>
      <c r="M190" s="67">
        <f>'Combustão Móvel'!I238</f>
        <v>0</v>
      </c>
      <c r="N190" s="153"/>
      <c r="O190" s="153">
        <f t="shared" si="44"/>
        <v>0</v>
      </c>
      <c r="P190" s="153"/>
      <c r="Q190" s="153"/>
      <c r="R190" s="153">
        <f t="shared" si="45"/>
        <v>0</v>
      </c>
      <c r="S190" s="153">
        <f t="shared" si="46"/>
        <v>0</v>
      </c>
      <c r="T190" s="164">
        <f t="shared" si="47"/>
        <v>0</v>
      </c>
      <c r="U190" s="164">
        <f t="shared" si="48"/>
        <v>0</v>
      </c>
      <c r="V190" s="137" t="str">
        <f t="shared" si="49"/>
        <v/>
      </c>
      <c r="W190" s="137" t="str">
        <f t="shared" si="50"/>
        <v/>
      </c>
      <c r="X190" s="137" t="str">
        <f t="shared" si="51"/>
        <v/>
      </c>
    </row>
    <row r="191" spans="2:24" ht="15" thickBot="1" x14ac:dyDescent="0.4">
      <c r="B191" s="1152"/>
      <c r="C191" s="40">
        <f>'Combustão Móvel'!B239</f>
        <v>0</v>
      </c>
      <c r="D191" s="158" t="str">
        <f>'Combustão Móvel'!Q239</f>
        <v/>
      </c>
      <c r="E191" s="153">
        <f>'Combustão Móvel'!H239</f>
        <v>0</v>
      </c>
      <c r="F191" s="153">
        <f t="shared" si="52"/>
        <v>0</v>
      </c>
      <c r="G191" s="153">
        <f t="shared" si="53"/>
        <v>0</v>
      </c>
      <c r="H191" s="153">
        <f t="shared" si="54"/>
        <v>0</v>
      </c>
      <c r="I191" s="153">
        <f t="shared" si="55"/>
        <v>0</v>
      </c>
      <c r="J191" s="153">
        <f t="shared" si="56"/>
        <v>0</v>
      </c>
      <c r="K191" s="160">
        <f t="shared" si="57"/>
        <v>0</v>
      </c>
      <c r="L191" s="66">
        <f>'Combustão Móvel'!H239</f>
        <v>0</v>
      </c>
      <c r="M191" s="67">
        <f>'Combustão Móvel'!I239</f>
        <v>0</v>
      </c>
      <c r="N191" s="153"/>
      <c r="O191" s="153">
        <f t="shared" si="44"/>
        <v>0</v>
      </c>
      <c r="P191" s="153"/>
      <c r="Q191" s="153"/>
      <c r="R191" s="153">
        <f t="shared" si="45"/>
        <v>0</v>
      </c>
      <c r="S191" s="153">
        <f t="shared" si="46"/>
        <v>0</v>
      </c>
      <c r="T191" s="164">
        <f t="shared" si="47"/>
        <v>0</v>
      </c>
      <c r="U191" s="164">
        <f t="shared" si="48"/>
        <v>0</v>
      </c>
      <c r="V191" s="137" t="str">
        <f t="shared" si="49"/>
        <v/>
      </c>
      <c r="W191" s="137" t="str">
        <f t="shared" si="50"/>
        <v/>
      </c>
      <c r="X191" s="137" t="str">
        <f t="shared" si="51"/>
        <v/>
      </c>
    </row>
    <row r="192" spans="2:24" ht="15" thickBot="1" x14ac:dyDescent="0.4">
      <c r="B192" s="1152"/>
      <c r="C192" s="40">
        <f>'Combustão Móvel'!B240</f>
        <v>0</v>
      </c>
      <c r="D192" s="158" t="str">
        <f>'Combustão Móvel'!Q240</f>
        <v/>
      </c>
      <c r="E192" s="153">
        <f>'Combustão Móvel'!H240</f>
        <v>0</v>
      </c>
      <c r="F192" s="153">
        <f t="shared" si="52"/>
        <v>0</v>
      </c>
      <c r="G192" s="153">
        <f t="shared" si="53"/>
        <v>0</v>
      </c>
      <c r="H192" s="153">
        <f t="shared" si="54"/>
        <v>0</v>
      </c>
      <c r="I192" s="153">
        <f t="shared" si="55"/>
        <v>0</v>
      </c>
      <c r="J192" s="153">
        <f t="shared" si="56"/>
        <v>0</v>
      </c>
      <c r="K192" s="160">
        <f t="shared" si="57"/>
        <v>0</v>
      </c>
      <c r="L192" s="66">
        <f>'Combustão Móvel'!H240</f>
        <v>0</v>
      </c>
      <c r="M192" s="67">
        <f>'Combustão Móvel'!I240</f>
        <v>0</v>
      </c>
      <c r="N192" s="153"/>
      <c r="O192" s="153">
        <f t="shared" si="44"/>
        <v>0</v>
      </c>
      <c r="P192" s="153"/>
      <c r="Q192" s="153"/>
      <c r="R192" s="153">
        <f t="shared" si="45"/>
        <v>0</v>
      </c>
      <c r="S192" s="153">
        <f t="shared" si="46"/>
        <v>0</v>
      </c>
      <c r="T192" s="164">
        <f t="shared" si="47"/>
        <v>0</v>
      </c>
      <c r="U192" s="164">
        <f t="shared" si="48"/>
        <v>0</v>
      </c>
      <c r="V192" s="137" t="str">
        <f t="shared" si="49"/>
        <v/>
      </c>
      <c r="W192" s="137" t="str">
        <f t="shared" si="50"/>
        <v/>
      </c>
      <c r="X192" s="137" t="str">
        <f t="shared" si="51"/>
        <v/>
      </c>
    </row>
    <row r="193" spans="2:24" ht="15" thickBot="1" x14ac:dyDescent="0.4">
      <c r="B193" s="1152"/>
      <c r="C193" s="40">
        <f>'Combustão Móvel'!B241</f>
        <v>0</v>
      </c>
      <c r="D193" s="158" t="str">
        <f>'Combustão Móvel'!Q241</f>
        <v/>
      </c>
      <c r="E193" s="153">
        <f>'Combustão Móvel'!H241</f>
        <v>0</v>
      </c>
      <c r="F193" s="153">
        <f t="shared" si="52"/>
        <v>0</v>
      </c>
      <c r="G193" s="153">
        <f t="shared" si="53"/>
        <v>0</v>
      </c>
      <c r="H193" s="153">
        <f t="shared" si="54"/>
        <v>0</v>
      </c>
      <c r="I193" s="153">
        <f t="shared" si="55"/>
        <v>0</v>
      </c>
      <c r="J193" s="153">
        <f t="shared" si="56"/>
        <v>0</v>
      </c>
      <c r="K193" s="160">
        <f t="shared" si="57"/>
        <v>0</v>
      </c>
      <c r="L193" s="66">
        <f>'Combustão Móvel'!H241</f>
        <v>0</v>
      </c>
      <c r="M193" s="67">
        <f>'Combustão Móvel'!I241</f>
        <v>0</v>
      </c>
      <c r="N193" s="153"/>
      <c r="O193" s="153">
        <f t="shared" si="44"/>
        <v>0</v>
      </c>
      <c r="P193" s="153"/>
      <c r="Q193" s="153"/>
      <c r="R193" s="153">
        <f t="shared" si="45"/>
        <v>0</v>
      </c>
      <c r="S193" s="153">
        <f t="shared" si="46"/>
        <v>0</v>
      </c>
      <c r="T193" s="164">
        <f t="shared" si="47"/>
        <v>0</v>
      </c>
      <c r="U193" s="164">
        <f t="shared" si="48"/>
        <v>0</v>
      </c>
      <c r="V193" s="137" t="str">
        <f t="shared" si="49"/>
        <v/>
      </c>
      <c r="W193" s="137" t="str">
        <f t="shared" si="50"/>
        <v/>
      </c>
      <c r="X193" s="137" t="str">
        <f t="shared" si="51"/>
        <v/>
      </c>
    </row>
    <row r="194" spans="2:24" ht="15" thickBot="1" x14ac:dyDescent="0.4">
      <c r="B194" s="1152"/>
      <c r="C194" s="40">
        <f>'Combustão Móvel'!B242</f>
        <v>0</v>
      </c>
      <c r="D194" s="158" t="str">
        <f>'Combustão Móvel'!Q242</f>
        <v/>
      </c>
      <c r="E194" s="153">
        <f>'Combustão Móvel'!H242</f>
        <v>0</v>
      </c>
      <c r="F194" s="153">
        <f t="shared" si="52"/>
        <v>0</v>
      </c>
      <c r="G194" s="153">
        <f t="shared" si="53"/>
        <v>0</v>
      </c>
      <c r="H194" s="153">
        <f t="shared" si="54"/>
        <v>0</v>
      </c>
      <c r="I194" s="153">
        <f t="shared" si="55"/>
        <v>0</v>
      </c>
      <c r="J194" s="153">
        <f t="shared" si="56"/>
        <v>0</v>
      </c>
      <c r="K194" s="160">
        <f t="shared" si="57"/>
        <v>0</v>
      </c>
      <c r="L194" s="66">
        <f>'Combustão Móvel'!H242</f>
        <v>0</v>
      </c>
      <c r="M194" s="67">
        <f>'Combustão Móvel'!I242</f>
        <v>0</v>
      </c>
      <c r="N194" s="153"/>
      <c r="O194" s="153">
        <f t="shared" si="44"/>
        <v>0</v>
      </c>
      <c r="P194" s="153"/>
      <c r="Q194" s="153"/>
      <c r="R194" s="153">
        <f t="shared" si="45"/>
        <v>0</v>
      </c>
      <c r="S194" s="153">
        <f t="shared" si="46"/>
        <v>0</v>
      </c>
      <c r="T194" s="164">
        <f t="shared" si="47"/>
        <v>0</v>
      </c>
      <c r="U194" s="164">
        <f t="shared" si="48"/>
        <v>0</v>
      </c>
      <c r="V194" s="137" t="str">
        <f t="shared" si="49"/>
        <v/>
      </c>
      <c r="W194" s="137" t="str">
        <f t="shared" si="50"/>
        <v/>
      </c>
      <c r="X194" s="137" t="str">
        <f t="shared" si="51"/>
        <v/>
      </c>
    </row>
    <row r="195" spans="2:24" ht="15" thickBot="1" x14ac:dyDescent="0.4">
      <c r="B195" s="1152"/>
      <c r="C195" s="40">
        <f>'Combustão Móvel'!B243</f>
        <v>0</v>
      </c>
      <c r="D195" s="158" t="str">
        <f>'Combustão Móvel'!Q243</f>
        <v/>
      </c>
      <c r="E195" s="153">
        <f>'Combustão Móvel'!H243</f>
        <v>0</v>
      </c>
      <c r="F195" s="153">
        <f t="shared" si="52"/>
        <v>0</v>
      </c>
      <c r="G195" s="153">
        <f t="shared" si="53"/>
        <v>0</v>
      </c>
      <c r="H195" s="153">
        <f t="shared" si="54"/>
        <v>0</v>
      </c>
      <c r="I195" s="153">
        <f t="shared" si="55"/>
        <v>0</v>
      </c>
      <c r="J195" s="153">
        <f t="shared" si="56"/>
        <v>0</v>
      </c>
      <c r="K195" s="160">
        <f t="shared" si="57"/>
        <v>0</v>
      </c>
      <c r="L195" s="66">
        <f>'Combustão Móvel'!H243</f>
        <v>0</v>
      </c>
      <c r="M195" s="67">
        <f>'Combustão Móvel'!I243</f>
        <v>0</v>
      </c>
      <c r="N195" s="153"/>
      <c r="O195" s="153">
        <f t="shared" si="44"/>
        <v>0</v>
      </c>
      <c r="P195" s="153"/>
      <c r="Q195" s="153"/>
      <c r="R195" s="153">
        <f t="shared" si="45"/>
        <v>0</v>
      </c>
      <c r="S195" s="153">
        <f t="shared" si="46"/>
        <v>0</v>
      </c>
      <c r="T195" s="164">
        <f t="shared" si="47"/>
        <v>0</v>
      </c>
      <c r="U195" s="164">
        <f t="shared" si="48"/>
        <v>0</v>
      </c>
      <c r="V195" s="137" t="str">
        <f t="shared" si="49"/>
        <v/>
      </c>
      <c r="W195" s="137" t="str">
        <f t="shared" si="50"/>
        <v/>
      </c>
      <c r="X195" s="137" t="str">
        <f t="shared" si="51"/>
        <v/>
      </c>
    </row>
    <row r="196" spans="2:24" ht="15" thickBot="1" x14ac:dyDescent="0.4">
      <c r="B196" s="1152"/>
      <c r="C196" s="40">
        <f>'Combustão Móvel'!B244</f>
        <v>0</v>
      </c>
      <c r="D196" s="158" t="str">
        <f>'Combustão Móvel'!Q244</f>
        <v/>
      </c>
      <c r="E196" s="153">
        <f>'Combustão Móvel'!H244</f>
        <v>0</v>
      </c>
      <c r="F196" s="153">
        <f t="shared" si="52"/>
        <v>0</v>
      </c>
      <c r="G196" s="153">
        <f t="shared" si="53"/>
        <v>0</v>
      </c>
      <c r="H196" s="153">
        <f t="shared" si="54"/>
        <v>0</v>
      </c>
      <c r="I196" s="153">
        <f t="shared" si="55"/>
        <v>0</v>
      </c>
      <c r="J196" s="153">
        <f t="shared" si="56"/>
        <v>0</v>
      </c>
      <c r="K196" s="160">
        <f t="shared" si="57"/>
        <v>0</v>
      </c>
      <c r="L196" s="66">
        <f>'Combustão Móvel'!H244</f>
        <v>0</v>
      </c>
      <c r="M196" s="67">
        <f>'Combustão Móvel'!I244</f>
        <v>0</v>
      </c>
      <c r="N196" s="153"/>
      <c r="O196" s="153">
        <f t="shared" si="44"/>
        <v>0</v>
      </c>
      <c r="P196" s="153"/>
      <c r="Q196" s="153"/>
      <c r="R196" s="153">
        <f t="shared" si="45"/>
        <v>0</v>
      </c>
      <c r="S196" s="153">
        <f t="shared" si="46"/>
        <v>0</v>
      </c>
      <c r="T196" s="164">
        <f t="shared" si="47"/>
        <v>0</v>
      </c>
      <c r="U196" s="164">
        <f t="shared" si="48"/>
        <v>0</v>
      </c>
      <c r="V196" s="137" t="str">
        <f t="shared" si="49"/>
        <v/>
      </c>
      <c r="W196" s="137" t="str">
        <f t="shared" si="50"/>
        <v/>
      </c>
      <c r="X196" s="137" t="str">
        <f t="shared" si="51"/>
        <v/>
      </c>
    </row>
    <row r="197" spans="2:24" ht="15" thickBot="1" x14ac:dyDescent="0.4">
      <c r="B197" s="1152"/>
      <c r="C197" s="40">
        <f>'Combustão Móvel'!B245</f>
        <v>0</v>
      </c>
      <c r="D197" s="158" t="str">
        <f>'Combustão Móvel'!Q245</f>
        <v/>
      </c>
      <c r="E197" s="153">
        <f>'Combustão Móvel'!H245</f>
        <v>0</v>
      </c>
      <c r="F197" s="153">
        <f t="shared" si="52"/>
        <v>0</v>
      </c>
      <c r="G197" s="153">
        <f t="shared" si="53"/>
        <v>0</v>
      </c>
      <c r="H197" s="153">
        <f t="shared" si="54"/>
        <v>0</v>
      </c>
      <c r="I197" s="153">
        <f t="shared" si="55"/>
        <v>0</v>
      </c>
      <c r="J197" s="153">
        <f t="shared" si="56"/>
        <v>0</v>
      </c>
      <c r="K197" s="160">
        <f t="shared" si="57"/>
        <v>0</v>
      </c>
      <c r="L197" s="66">
        <f>'Combustão Móvel'!H245</f>
        <v>0</v>
      </c>
      <c r="M197" s="67">
        <f>'Combustão Móvel'!I245</f>
        <v>0</v>
      </c>
      <c r="N197" s="153"/>
      <c r="O197" s="153">
        <f t="shared" si="44"/>
        <v>0</v>
      </c>
      <c r="P197" s="153"/>
      <c r="Q197" s="153"/>
      <c r="R197" s="153">
        <f t="shared" si="45"/>
        <v>0</v>
      </c>
      <c r="S197" s="153">
        <f t="shared" si="46"/>
        <v>0</v>
      </c>
      <c r="T197" s="164">
        <f t="shared" si="47"/>
        <v>0</v>
      </c>
      <c r="U197" s="164">
        <f t="shared" si="48"/>
        <v>0</v>
      </c>
      <c r="V197" s="137" t="str">
        <f t="shared" si="49"/>
        <v/>
      </c>
      <c r="W197" s="137" t="str">
        <f t="shared" si="50"/>
        <v/>
      </c>
      <c r="X197" s="137" t="str">
        <f t="shared" si="51"/>
        <v/>
      </c>
    </row>
    <row r="198" spans="2:24" ht="15" thickBot="1" x14ac:dyDescent="0.4">
      <c r="B198" s="1152"/>
      <c r="C198" s="40">
        <f>'Combustão Móvel'!B246</f>
        <v>0</v>
      </c>
      <c r="D198" s="158" t="str">
        <f>'Combustão Móvel'!Q246</f>
        <v/>
      </c>
      <c r="E198" s="153">
        <f>'Combustão Móvel'!H246</f>
        <v>0</v>
      </c>
      <c r="F198" s="153">
        <f t="shared" si="52"/>
        <v>0</v>
      </c>
      <c r="G198" s="153">
        <f t="shared" si="53"/>
        <v>0</v>
      </c>
      <c r="H198" s="153">
        <f t="shared" si="54"/>
        <v>0</v>
      </c>
      <c r="I198" s="153">
        <f t="shared" si="55"/>
        <v>0</v>
      </c>
      <c r="J198" s="153">
        <f t="shared" si="56"/>
        <v>0</v>
      </c>
      <c r="K198" s="160">
        <f t="shared" si="57"/>
        <v>0</v>
      </c>
      <c r="L198" s="66">
        <f>'Combustão Móvel'!H246</f>
        <v>0</v>
      </c>
      <c r="M198" s="67">
        <f>'Combustão Móvel'!I246</f>
        <v>0</v>
      </c>
      <c r="N198" s="153"/>
      <c r="O198" s="153">
        <f t="shared" si="44"/>
        <v>0</v>
      </c>
      <c r="P198" s="153"/>
      <c r="Q198" s="153"/>
      <c r="R198" s="153">
        <f t="shared" si="45"/>
        <v>0</v>
      </c>
      <c r="S198" s="153">
        <f t="shared" si="46"/>
        <v>0</v>
      </c>
      <c r="T198" s="164">
        <f t="shared" si="47"/>
        <v>0</v>
      </c>
      <c r="U198" s="164">
        <f t="shared" si="48"/>
        <v>0</v>
      </c>
      <c r="V198" s="137" t="str">
        <f t="shared" si="49"/>
        <v/>
      </c>
      <c r="W198" s="137" t="str">
        <f t="shared" si="50"/>
        <v/>
      </c>
      <c r="X198" s="137" t="str">
        <f t="shared" si="51"/>
        <v/>
      </c>
    </row>
    <row r="199" spans="2:24" ht="15" thickBot="1" x14ac:dyDescent="0.4">
      <c r="B199" s="1152"/>
      <c r="C199" s="40">
        <f>'Combustão Móvel'!B247</f>
        <v>0</v>
      </c>
      <c r="D199" s="158" t="str">
        <f>'Combustão Móvel'!Q247</f>
        <v/>
      </c>
      <c r="E199" s="153">
        <f>'Combustão Móvel'!H247</f>
        <v>0</v>
      </c>
      <c r="F199" s="153">
        <f t="shared" si="52"/>
        <v>0</v>
      </c>
      <c r="G199" s="153">
        <f t="shared" si="53"/>
        <v>0</v>
      </c>
      <c r="H199" s="153">
        <f t="shared" si="54"/>
        <v>0</v>
      </c>
      <c r="I199" s="153">
        <f t="shared" si="55"/>
        <v>0</v>
      </c>
      <c r="J199" s="153">
        <f t="shared" si="56"/>
        <v>0</v>
      </c>
      <c r="K199" s="160">
        <f t="shared" si="57"/>
        <v>0</v>
      </c>
      <c r="L199" s="66">
        <f>'Combustão Móvel'!H247</f>
        <v>0</v>
      </c>
      <c r="M199" s="67">
        <f>'Combustão Móvel'!I247</f>
        <v>0</v>
      </c>
      <c r="N199" s="153"/>
      <c r="O199" s="153">
        <f t="shared" si="44"/>
        <v>0</v>
      </c>
      <c r="P199" s="153"/>
      <c r="Q199" s="153"/>
      <c r="R199" s="153">
        <f t="shared" si="45"/>
        <v>0</v>
      </c>
      <c r="S199" s="153">
        <f t="shared" si="46"/>
        <v>0</v>
      </c>
      <c r="T199" s="164">
        <f t="shared" si="47"/>
        <v>0</v>
      </c>
      <c r="U199" s="164">
        <f t="shared" si="48"/>
        <v>0</v>
      </c>
      <c r="V199" s="137" t="str">
        <f t="shared" si="49"/>
        <v/>
      </c>
      <c r="W199" s="137" t="str">
        <f t="shared" si="50"/>
        <v/>
      </c>
      <c r="X199" s="137" t="str">
        <f t="shared" si="51"/>
        <v/>
      </c>
    </row>
    <row r="200" spans="2:24" ht="15" thickBot="1" x14ac:dyDescent="0.4">
      <c r="B200" s="1152"/>
      <c r="C200" s="40">
        <f>'Combustão Móvel'!B248</f>
        <v>0</v>
      </c>
      <c r="D200" s="158" t="str">
        <f>'Combustão Móvel'!Q248</f>
        <v/>
      </c>
      <c r="E200" s="153">
        <f>'Combustão Móvel'!H248</f>
        <v>0</v>
      </c>
      <c r="F200" s="153">
        <f t="shared" si="52"/>
        <v>0</v>
      </c>
      <c r="G200" s="153">
        <f t="shared" si="53"/>
        <v>0</v>
      </c>
      <c r="H200" s="153">
        <f t="shared" si="54"/>
        <v>0</v>
      </c>
      <c r="I200" s="153">
        <f t="shared" si="55"/>
        <v>0</v>
      </c>
      <c r="J200" s="153">
        <f t="shared" si="56"/>
        <v>0</v>
      </c>
      <c r="K200" s="160">
        <f t="shared" si="57"/>
        <v>0</v>
      </c>
      <c r="L200" s="66">
        <f>'Combustão Móvel'!H248</f>
        <v>0</v>
      </c>
      <c r="M200" s="67">
        <f>'Combustão Móvel'!I248</f>
        <v>0</v>
      </c>
      <c r="N200" s="153"/>
      <c r="O200" s="153">
        <f t="shared" si="44"/>
        <v>0</v>
      </c>
      <c r="P200" s="153"/>
      <c r="Q200" s="153"/>
      <c r="R200" s="153">
        <f t="shared" si="45"/>
        <v>0</v>
      </c>
      <c r="S200" s="153">
        <f t="shared" si="46"/>
        <v>0</v>
      </c>
      <c r="T200" s="164">
        <f t="shared" si="47"/>
        <v>0</v>
      </c>
      <c r="U200" s="164">
        <f t="shared" si="48"/>
        <v>0</v>
      </c>
      <c r="V200" s="137" t="str">
        <f t="shared" si="49"/>
        <v/>
      </c>
      <c r="W200" s="137" t="str">
        <f t="shared" si="50"/>
        <v/>
      </c>
      <c r="X200" s="137" t="str">
        <f t="shared" si="51"/>
        <v/>
      </c>
    </row>
    <row r="201" spans="2:24" ht="15" thickBot="1" x14ac:dyDescent="0.4">
      <c r="B201" s="1152"/>
      <c r="C201" s="40">
        <f>'Combustão Móvel'!B249</f>
        <v>0</v>
      </c>
      <c r="D201" s="158" t="str">
        <f>'Combustão Móvel'!Q249</f>
        <v/>
      </c>
      <c r="E201" s="153">
        <f>'Combustão Móvel'!H249</f>
        <v>0</v>
      </c>
      <c r="F201" s="153">
        <f t="shared" si="52"/>
        <v>0</v>
      </c>
      <c r="G201" s="153">
        <f t="shared" si="53"/>
        <v>0</v>
      </c>
      <c r="H201" s="153">
        <f t="shared" si="54"/>
        <v>0</v>
      </c>
      <c r="I201" s="153">
        <f t="shared" si="55"/>
        <v>0</v>
      </c>
      <c r="J201" s="153">
        <f t="shared" si="56"/>
        <v>0</v>
      </c>
      <c r="K201" s="160">
        <f t="shared" si="57"/>
        <v>0</v>
      </c>
      <c r="L201" s="66">
        <f>'Combustão Móvel'!H249</f>
        <v>0</v>
      </c>
      <c r="M201" s="67">
        <f>'Combustão Móvel'!I249</f>
        <v>0</v>
      </c>
      <c r="N201" s="153"/>
      <c r="O201" s="153">
        <f t="shared" si="44"/>
        <v>0</v>
      </c>
      <c r="P201" s="153"/>
      <c r="Q201" s="153"/>
      <c r="R201" s="153">
        <f t="shared" si="45"/>
        <v>0</v>
      </c>
      <c r="S201" s="153">
        <f t="shared" si="46"/>
        <v>0</v>
      </c>
      <c r="T201" s="164">
        <f t="shared" si="47"/>
        <v>0</v>
      </c>
      <c r="U201" s="164">
        <f t="shared" si="48"/>
        <v>0</v>
      </c>
      <c r="V201" s="137" t="str">
        <f t="shared" si="49"/>
        <v/>
      </c>
      <c r="W201" s="137" t="str">
        <f t="shared" si="50"/>
        <v/>
      </c>
      <c r="X201" s="137" t="str">
        <f t="shared" si="51"/>
        <v/>
      </c>
    </row>
    <row r="202" spans="2:24" ht="15" thickBot="1" x14ac:dyDescent="0.4">
      <c r="B202" s="1152"/>
      <c r="C202" s="40">
        <f>'Combustão Móvel'!B250</f>
        <v>0</v>
      </c>
      <c r="D202" s="158" t="str">
        <f>'Combustão Móvel'!Q250</f>
        <v/>
      </c>
      <c r="E202" s="153">
        <f>'Combustão Móvel'!H250</f>
        <v>0</v>
      </c>
      <c r="F202" s="153">
        <f t="shared" si="52"/>
        <v>0</v>
      </c>
      <c r="G202" s="153">
        <f t="shared" si="53"/>
        <v>0</v>
      </c>
      <c r="H202" s="153">
        <f t="shared" si="54"/>
        <v>0</v>
      </c>
      <c r="I202" s="153">
        <f t="shared" si="55"/>
        <v>0</v>
      </c>
      <c r="J202" s="153">
        <f t="shared" si="56"/>
        <v>0</v>
      </c>
      <c r="K202" s="160">
        <f t="shared" si="57"/>
        <v>0</v>
      </c>
      <c r="L202" s="66">
        <f>'Combustão Móvel'!H250</f>
        <v>0</v>
      </c>
      <c r="M202" s="67">
        <f>'Combustão Móvel'!I250</f>
        <v>0</v>
      </c>
      <c r="N202" s="153"/>
      <c r="O202" s="153">
        <f t="shared" si="44"/>
        <v>0</v>
      </c>
      <c r="P202" s="153"/>
      <c r="Q202" s="153"/>
      <c r="R202" s="153">
        <f t="shared" si="45"/>
        <v>0</v>
      </c>
      <c r="S202" s="153">
        <f t="shared" si="46"/>
        <v>0</v>
      </c>
      <c r="T202" s="164">
        <f t="shared" si="47"/>
        <v>0</v>
      </c>
      <c r="U202" s="164">
        <f t="shared" si="48"/>
        <v>0</v>
      </c>
      <c r="V202" s="137" t="str">
        <f t="shared" si="49"/>
        <v/>
      </c>
      <c r="W202" s="137" t="str">
        <f t="shared" si="50"/>
        <v/>
      </c>
      <c r="X202" s="137" t="str">
        <f t="shared" si="51"/>
        <v/>
      </c>
    </row>
    <row r="203" spans="2:24" ht="15" thickBot="1" x14ac:dyDescent="0.4">
      <c r="B203" s="1152"/>
      <c r="C203" s="40">
        <f>'Combustão Móvel'!B251</f>
        <v>0</v>
      </c>
      <c r="D203" s="158" t="str">
        <f>'Combustão Móvel'!Q251</f>
        <v/>
      </c>
      <c r="E203" s="153">
        <f>'Combustão Móvel'!H251</f>
        <v>0</v>
      </c>
      <c r="F203" s="153">
        <f t="shared" si="52"/>
        <v>0</v>
      </c>
      <c r="G203" s="153">
        <f t="shared" si="53"/>
        <v>0</v>
      </c>
      <c r="H203" s="153">
        <f t="shared" si="54"/>
        <v>0</v>
      </c>
      <c r="I203" s="153">
        <f t="shared" si="55"/>
        <v>0</v>
      </c>
      <c r="J203" s="153">
        <f t="shared" si="56"/>
        <v>0</v>
      </c>
      <c r="K203" s="160">
        <f t="shared" si="57"/>
        <v>0</v>
      </c>
      <c r="L203" s="66">
        <f>'Combustão Móvel'!H251</f>
        <v>0</v>
      </c>
      <c r="M203" s="67">
        <f>'Combustão Móvel'!I251</f>
        <v>0</v>
      </c>
      <c r="N203" s="153"/>
      <c r="O203" s="153">
        <f t="shared" si="44"/>
        <v>0</v>
      </c>
      <c r="P203" s="153"/>
      <c r="Q203" s="153"/>
      <c r="R203" s="153">
        <f t="shared" si="45"/>
        <v>0</v>
      </c>
      <c r="S203" s="153">
        <f t="shared" si="46"/>
        <v>0</v>
      </c>
      <c r="T203" s="164">
        <f t="shared" si="47"/>
        <v>0</v>
      </c>
      <c r="U203" s="164">
        <f t="shared" si="48"/>
        <v>0</v>
      </c>
      <c r="V203" s="137" t="str">
        <f t="shared" si="49"/>
        <v/>
      </c>
      <c r="W203" s="137" t="str">
        <f t="shared" si="50"/>
        <v/>
      </c>
      <c r="X203" s="137" t="str">
        <f t="shared" si="51"/>
        <v/>
      </c>
    </row>
    <row r="204" spans="2:24" ht="15" thickBot="1" x14ac:dyDescent="0.4">
      <c r="B204" s="1152"/>
      <c r="C204" s="40">
        <f>'Combustão Móvel'!B252</f>
        <v>0</v>
      </c>
      <c r="D204" s="158" t="str">
        <f>'Combustão Móvel'!Q252</f>
        <v/>
      </c>
      <c r="E204" s="153">
        <f>'Combustão Móvel'!H252</f>
        <v>0</v>
      </c>
      <c r="F204" s="153">
        <f t="shared" si="52"/>
        <v>0</v>
      </c>
      <c r="G204" s="153">
        <f t="shared" si="53"/>
        <v>0</v>
      </c>
      <c r="H204" s="153">
        <f t="shared" si="54"/>
        <v>0</v>
      </c>
      <c r="I204" s="153">
        <f t="shared" si="55"/>
        <v>0</v>
      </c>
      <c r="J204" s="153">
        <f t="shared" si="56"/>
        <v>0</v>
      </c>
      <c r="K204" s="160">
        <f t="shared" si="57"/>
        <v>0</v>
      </c>
      <c r="L204" s="66">
        <f>'Combustão Móvel'!H252</f>
        <v>0</v>
      </c>
      <c r="M204" s="67">
        <f>'Combustão Móvel'!I252</f>
        <v>0</v>
      </c>
      <c r="N204" s="153"/>
      <c r="O204" s="153">
        <f t="shared" si="44"/>
        <v>0</v>
      </c>
      <c r="P204" s="153"/>
      <c r="Q204" s="153"/>
      <c r="R204" s="153">
        <f t="shared" si="45"/>
        <v>0</v>
      </c>
      <c r="S204" s="153">
        <f t="shared" si="46"/>
        <v>0</v>
      </c>
      <c r="T204" s="164">
        <f t="shared" si="47"/>
        <v>0</v>
      </c>
      <c r="U204" s="164">
        <f t="shared" si="48"/>
        <v>0</v>
      </c>
      <c r="V204" s="137" t="str">
        <f t="shared" si="49"/>
        <v/>
      </c>
      <c r="W204" s="137" t="str">
        <f t="shared" si="50"/>
        <v/>
      </c>
      <c r="X204" s="137" t="str">
        <f t="shared" si="51"/>
        <v/>
      </c>
    </row>
    <row r="205" spans="2:24" ht="15" thickBot="1" x14ac:dyDescent="0.4">
      <c r="B205" s="1152"/>
      <c r="C205" s="40">
        <f>'Combustão Móvel'!B253</f>
        <v>0</v>
      </c>
      <c r="D205" s="158" t="str">
        <f>'Combustão Móvel'!Q253</f>
        <v/>
      </c>
      <c r="E205" s="153">
        <f>'Combustão Móvel'!H253</f>
        <v>0</v>
      </c>
      <c r="F205" s="153">
        <f t="shared" si="52"/>
        <v>0</v>
      </c>
      <c r="G205" s="153">
        <f t="shared" si="53"/>
        <v>0</v>
      </c>
      <c r="H205" s="153">
        <f t="shared" si="54"/>
        <v>0</v>
      </c>
      <c r="I205" s="153">
        <f t="shared" si="55"/>
        <v>0</v>
      </c>
      <c r="J205" s="153">
        <f t="shared" si="56"/>
        <v>0</v>
      </c>
      <c r="K205" s="160">
        <f t="shared" si="57"/>
        <v>0</v>
      </c>
      <c r="L205" s="66">
        <f>'Combustão Móvel'!H253</f>
        <v>0</v>
      </c>
      <c r="M205" s="67">
        <f>'Combustão Móvel'!I253</f>
        <v>0</v>
      </c>
      <c r="N205" s="153"/>
      <c r="O205" s="153">
        <f t="shared" si="44"/>
        <v>0</v>
      </c>
      <c r="P205" s="153"/>
      <c r="Q205" s="153"/>
      <c r="R205" s="153">
        <f t="shared" si="45"/>
        <v>0</v>
      </c>
      <c r="S205" s="153">
        <f t="shared" si="46"/>
        <v>0</v>
      </c>
      <c r="T205" s="164">
        <f t="shared" si="47"/>
        <v>0</v>
      </c>
      <c r="U205" s="164">
        <f t="shared" si="48"/>
        <v>0</v>
      </c>
      <c r="V205" s="137" t="str">
        <f t="shared" si="49"/>
        <v/>
      </c>
      <c r="W205" s="137" t="str">
        <f t="shared" si="50"/>
        <v/>
      </c>
      <c r="X205" s="137" t="str">
        <f t="shared" si="51"/>
        <v/>
      </c>
    </row>
    <row r="206" spans="2:24" ht="15" thickBot="1" x14ac:dyDescent="0.4">
      <c r="B206" s="1152"/>
      <c r="C206" s="40">
        <f>'Combustão Móvel'!B254</f>
        <v>0</v>
      </c>
      <c r="D206" s="158" t="str">
        <f>'Combustão Móvel'!Q254</f>
        <v/>
      </c>
      <c r="E206" s="153">
        <f>'Combustão Móvel'!H254</f>
        <v>0</v>
      </c>
      <c r="F206" s="153">
        <f t="shared" si="52"/>
        <v>0</v>
      </c>
      <c r="G206" s="153">
        <f t="shared" si="53"/>
        <v>0</v>
      </c>
      <c r="H206" s="153">
        <f t="shared" si="54"/>
        <v>0</v>
      </c>
      <c r="I206" s="153">
        <f t="shared" si="55"/>
        <v>0</v>
      </c>
      <c r="J206" s="153">
        <f t="shared" si="56"/>
        <v>0</v>
      </c>
      <c r="K206" s="160">
        <f t="shared" si="57"/>
        <v>0</v>
      </c>
      <c r="L206" s="66">
        <f>'Combustão Móvel'!H254</f>
        <v>0</v>
      </c>
      <c r="M206" s="67">
        <f>'Combustão Móvel'!I254</f>
        <v>0</v>
      </c>
      <c r="N206" s="153"/>
      <c r="O206" s="153">
        <f t="shared" si="44"/>
        <v>0</v>
      </c>
      <c r="P206" s="153"/>
      <c r="Q206" s="153"/>
      <c r="R206" s="153">
        <f t="shared" si="45"/>
        <v>0</v>
      </c>
      <c r="S206" s="153">
        <f t="shared" si="46"/>
        <v>0</v>
      </c>
      <c r="T206" s="164">
        <f t="shared" si="47"/>
        <v>0</v>
      </c>
      <c r="U206" s="164">
        <f t="shared" si="48"/>
        <v>0</v>
      </c>
      <c r="V206" s="137" t="str">
        <f t="shared" si="49"/>
        <v/>
      </c>
      <c r="W206" s="137" t="str">
        <f t="shared" si="50"/>
        <v/>
      </c>
      <c r="X206" s="137" t="str">
        <f t="shared" si="51"/>
        <v/>
      </c>
    </row>
    <row r="207" spans="2:24" ht="15" thickBot="1" x14ac:dyDescent="0.4">
      <c r="B207" s="1152"/>
      <c r="C207" s="40">
        <f>'Combustão Móvel'!B255</f>
        <v>0</v>
      </c>
      <c r="D207" s="158" t="str">
        <f>'Combustão Móvel'!Q255</f>
        <v/>
      </c>
      <c r="E207" s="153">
        <f>'Combustão Móvel'!H255</f>
        <v>0</v>
      </c>
      <c r="F207" s="153">
        <f t="shared" si="52"/>
        <v>0</v>
      </c>
      <c r="G207" s="153">
        <f t="shared" si="53"/>
        <v>0</v>
      </c>
      <c r="H207" s="153">
        <f t="shared" si="54"/>
        <v>0</v>
      </c>
      <c r="I207" s="153">
        <f t="shared" si="55"/>
        <v>0</v>
      </c>
      <c r="J207" s="153">
        <f t="shared" si="56"/>
        <v>0</v>
      </c>
      <c r="K207" s="160">
        <f t="shared" si="57"/>
        <v>0</v>
      </c>
      <c r="L207" s="66">
        <f>'Combustão Móvel'!H255</f>
        <v>0</v>
      </c>
      <c r="M207" s="67">
        <f>'Combustão Móvel'!I255</f>
        <v>0</v>
      </c>
      <c r="N207" s="153"/>
      <c r="O207" s="153">
        <f t="shared" si="44"/>
        <v>0</v>
      </c>
      <c r="P207" s="153"/>
      <c r="Q207" s="153"/>
      <c r="R207" s="153">
        <f t="shared" si="45"/>
        <v>0</v>
      </c>
      <c r="S207" s="153">
        <f t="shared" si="46"/>
        <v>0</v>
      </c>
      <c r="T207" s="164">
        <f t="shared" si="47"/>
        <v>0</v>
      </c>
      <c r="U207" s="164">
        <f t="shared" si="48"/>
        <v>0</v>
      </c>
      <c r="V207" s="137" t="str">
        <f t="shared" si="49"/>
        <v/>
      </c>
      <c r="W207" s="137" t="str">
        <f t="shared" si="50"/>
        <v/>
      </c>
      <c r="X207" s="137" t="str">
        <f t="shared" si="51"/>
        <v/>
      </c>
    </row>
    <row r="208" spans="2:24" ht="15" thickBot="1" x14ac:dyDescent="0.4">
      <c r="B208" s="1152"/>
      <c r="C208" s="40">
        <f>'Combustão Móvel'!B256</f>
        <v>0</v>
      </c>
      <c r="D208" s="158" t="str">
        <f>'Combustão Móvel'!Q256</f>
        <v/>
      </c>
      <c r="E208" s="153">
        <f>'Combustão Móvel'!H256</f>
        <v>0</v>
      </c>
      <c r="F208" s="153">
        <f t="shared" si="52"/>
        <v>0</v>
      </c>
      <c r="G208" s="153">
        <f t="shared" si="53"/>
        <v>0</v>
      </c>
      <c r="H208" s="153">
        <f t="shared" si="54"/>
        <v>0</v>
      </c>
      <c r="I208" s="153">
        <f t="shared" si="55"/>
        <v>0</v>
      </c>
      <c r="J208" s="153">
        <f t="shared" si="56"/>
        <v>0</v>
      </c>
      <c r="K208" s="160">
        <f t="shared" si="57"/>
        <v>0</v>
      </c>
      <c r="L208" s="66">
        <f>'Combustão Móvel'!H256</f>
        <v>0</v>
      </c>
      <c r="M208" s="67">
        <f>'Combustão Móvel'!I256</f>
        <v>0</v>
      </c>
      <c r="N208" s="153"/>
      <c r="O208" s="153">
        <f t="shared" si="44"/>
        <v>0</v>
      </c>
      <c r="P208" s="153"/>
      <c r="Q208" s="153"/>
      <c r="R208" s="153">
        <f t="shared" si="45"/>
        <v>0</v>
      </c>
      <c r="S208" s="153">
        <f t="shared" si="46"/>
        <v>0</v>
      </c>
      <c r="T208" s="164">
        <f t="shared" si="47"/>
        <v>0</v>
      </c>
      <c r="U208" s="164">
        <f t="shared" si="48"/>
        <v>0</v>
      </c>
      <c r="V208" s="137" t="str">
        <f t="shared" si="49"/>
        <v/>
      </c>
      <c r="W208" s="137" t="str">
        <f t="shared" si="50"/>
        <v/>
      </c>
      <c r="X208" s="137" t="str">
        <f t="shared" si="51"/>
        <v/>
      </c>
    </row>
    <row r="209" spans="2:24" ht="15" thickBot="1" x14ac:dyDescent="0.4">
      <c r="B209" s="1152"/>
      <c r="C209" s="40">
        <f>'Combustão Móvel'!B257</f>
        <v>0</v>
      </c>
      <c r="D209" s="158" t="str">
        <f>'Combustão Móvel'!Q257</f>
        <v/>
      </c>
      <c r="E209" s="153">
        <f>'Combustão Móvel'!H257</f>
        <v>0</v>
      </c>
      <c r="F209" s="153">
        <f t="shared" si="52"/>
        <v>0</v>
      </c>
      <c r="G209" s="153">
        <f t="shared" si="53"/>
        <v>0</v>
      </c>
      <c r="H209" s="153">
        <f t="shared" si="54"/>
        <v>0</v>
      </c>
      <c r="I209" s="153">
        <f t="shared" si="55"/>
        <v>0</v>
      </c>
      <c r="J209" s="153">
        <f t="shared" si="56"/>
        <v>0</v>
      </c>
      <c r="K209" s="160">
        <f t="shared" si="57"/>
        <v>0</v>
      </c>
      <c r="L209" s="66">
        <f>'Combustão Móvel'!H257</f>
        <v>0</v>
      </c>
      <c r="M209" s="67">
        <f>'Combustão Móvel'!I257</f>
        <v>0</v>
      </c>
      <c r="N209" s="153"/>
      <c r="O209" s="153">
        <f t="shared" si="44"/>
        <v>0</v>
      </c>
      <c r="P209" s="153"/>
      <c r="Q209" s="153"/>
      <c r="R209" s="153">
        <f t="shared" si="45"/>
        <v>0</v>
      </c>
      <c r="S209" s="153">
        <f t="shared" si="46"/>
        <v>0</v>
      </c>
      <c r="T209" s="164">
        <f t="shared" si="47"/>
        <v>0</v>
      </c>
      <c r="U209" s="164">
        <f t="shared" si="48"/>
        <v>0</v>
      </c>
      <c r="V209" s="137" t="str">
        <f t="shared" si="49"/>
        <v/>
      </c>
      <c r="W209" s="137" t="str">
        <f t="shared" si="50"/>
        <v/>
      </c>
      <c r="X209" s="137" t="str">
        <f t="shared" si="51"/>
        <v/>
      </c>
    </row>
    <row r="210" spans="2:24" ht="15" thickBot="1" x14ac:dyDescent="0.4">
      <c r="B210" s="1152"/>
      <c r="C210" s="40">
        <f>'Combustão Móvel'!B258</f>
        <v>0</v>
      </c>
      <c r="D210" s="158" t="str">
        <f>'Combustão Móvel'!Q258</f>
        <v/>
      </c>
      <c r="E210" s="153">
        <f>'Combustão Móvel'!H258</f>
        <v>0</v>
      </c>
      <c r="F210" s="153">
        <f t="shared" si="52"/>
        <v>0</v>
      </c>
      <c r="G210" s="153">
        <f t="shared" si="53"/>
        <v>0</v>
      </c>
      <c r="H210" s="153">
        <f t="shared" si="54"/>
        <v>0</v>
      </c>
      <c r="I210" s="153">
        <f t="shared" si="55"/>
        <v>0</v>
      </c>
      <c r="J210" s="153">
        <f t="shared" si="56"/>
        <v>0</v>
      </c>
      <c r="K210" s="160">
        <f t="shared" si="57"/>
        <v>0</v>
      </c>
      <c r="L210" s="66">
        <f>'Combustão Móvel'!H258</f>
        <v>0</v>
      </c>
      <c r="M210" s="67">
        <f>'Combustão Móvel'!I258</f>
        <v>0</v>
      </c>
      <c r="N210" s="153"/>
      <c r="O210" s="153">
        <f t="shared" si="44"/>
        <v>0</v>
      </c>
      <c r="P210" s="153"/>
      <c r="Q210" s="153"/>
      <c r="R210" s="153">
        <f t="shared" si="45"/>
        <v>0</v>
      </c>
      <c r="S210" s="153">
        <f t="shared" si="46"/>
        <v>0</v>
      </c>
      <c r="T210" s="164">
        <f t="shared" si="47"/>
        <v>0</v>
      </c>
      <c r="U210" s="164">
        <f t="shared" si="48"/>
        <v>0</v>
      </c>
      <c r="V210" s="137" t="str">
        <f t="shared" si="49"/>
        <v/>
      </c>
      <c r="W210" s="137" t="str">
        <f t="shared" si="50"/>
        <v/>
      </c>
      <c r="X210" s="137" t="str">
        <f t="shared" si="51"/>
        <v/>
      </c>
    </row>
    <row r="211" spans="2:24" ht="15" thickBot="1" x14ac:dyDescent="0.4">
      <c r="B211" s="1152"/>
      <c r="C211" s="40">
        <f>'Combustão Móvel'!B259</f>
        <v>0</v>
      </c>
      <c r="D211" s="158" t="str">
        <f>'Combustão Móvel'!Q259</f>
        <v/>
      </c>
      <c r="E211" s="153">
        <f>'Combustão Móvel'!H259</f>
        <v>0</v>
      </c>
      <c r="F211" s="153">
        <f t="shared" si="52"/>
        <v>0</v>
      </c>
      <c r="G211" s="153">
        <f t="shared" si="53"/>
        <v>0</v>
      </c>
      <c r="H211" s="153">
        <f t="shared" si="54"/>
        <v>0</v>
      </c>
      <c r="I211" s="153">
        <f t="shared" si="55"/>
        <v>0</v>
      </c>
      <c r="J211" s="153">
        <f t="shared" si="56"/>
        <v>0</v>
      </c>
      <c r="K211" s="160">
        <f t="shared" si="57"/>
        <v>0</v>
      </c>
      <c r="L211" s="66">
        <f>'Combustão Móvel'!H259</f>
        <v>0</v>
      </c>
      <c r="M211" s="67">
        <f>'Combustão Móvel'!I259</f>
        <v>0</v>
      </c>
      <c r="N211" s="153"/>
      <c r="O211" s="153">
        <f t="shared" si="44"/>
        <v>0</v>
      </c>
      <c r="P211" s="153"/>
      <c r="Q211" s="153"/>
      <c r="R211" s="153">
        <f t="shared" si="45"/>
        <v>0</v>
      </c>
      <c r="S211" s="153">
        <f t="shared" si="46"/>
        <v>0</v>
      </c>
      <c r="T211" s="164">
        <f t="shared" si="47"/>
        <v>0</v>
      </c>
      <c r="U211" s="164">
        <f t="shared" si="48"/>
        <v>0</v>
      </c>
      <c r="V211" s="137" t="str">
        <f t="shared" si="49"/>
        <v/>
      </c>
      <c r="W211" s="137" t="str">
        <f t="shared" si="50"/>
        <v/>
      </c>
      <c r="X211" s="137" t="str">
        <f t="shared" si="51"/>
        <v/>
      </c>
    </row>
    <row r="212" spans="2:24" ht="15" thickBot="1" x14ac:dyDescent="0.4">
      <c r="B212" s="1152"/>
      <c r="C212" s="40">
        <f>'Combustão Móvel'!B260</f>
        <v>0</v>
      </c>
      <c r="D212" s="158" t="str">
        <f>'Combustão Móvel'!Q260</f>
        <v/>
      </c>
      <c r="E212" s="153">
        <f>'Combustão Móvel'!H260</f>
        <v>0</v>
      </c>
      <c r="F212" s="153">
        <f t="shared" si="52"/>
        <v>0</v>
      </c>
      <c r="G212" s="153">
        <f t="shared" si="53"/>
        <v>0</v>
      </c>
      <c r="H212" s="153">
        <f t="shared" si="54"/>
        <v>0</v>
      </c>
      <c r="I212" s="153">
        <f t="shared" si="55"/>
        <v>0</v>
      </c>
      <c r="J212" s="153">
        <f t="shared" si="56"/>
        <v>0</v>
      </c>
      <c r="K212" s="160">
        <f t="shared" si="57"/>
        <v>0</v>
      </c>
      <c r="L212" s="66">
        <f>'Combustão Móvel'!H260</f>
        <v>0</v>
      </c>
      <c r="M212" s="67">
        <f>'Combustão Móvel'!I260</f>
        <v>0</v>
      </c>
      <c r="N212" s="153"/>
      <c r="O212" s="153">
        <f t="shared" si="44"/>
        <v>0</v>
      </c>
      <c r="P212" s="153"/>
      <c r="Q212" s="153"/>
      <c r="R212" s="153">
        <f t="shared" si="45"/>
        <v>0</v>
      </c>
      <c r="S212" s="153">
        <f t="shared" si="46"/>
        <v>0</v>
      </c>
      <c r="T212" s="164">
        <f t="shared" si="47"/>
        <v>0</v>
      </c>
      <c r="U212" s="164">
        <f t="shared" si="48"/>
        <v>0</v>
      </c>
      <c r="V212" s="137" t="str">
        <f t="shared" si="49"/>
        <v/>
      </c>
      <c r="W212" s="137" t="str">
        <f t="shared" si="50"/>
        <v/>
      </c>
      <c r="X212" s="137" t="str">
        <f t="shared" si="51"/>
        <v/>
      </c>
    </row>
    <row r="213" spans="2:24" ht="15" thickBot="1" x14ac:dyDescent="0.4">
      <c r="B213" s="1152"/>
      <c r="C213" s="40">
        <f>'Combustão Móvel'!B261</f>
        <v>0</v>
      </c>
      <c r="D213" s="158" t="str">
        <f>'Combustão Móvel'!Q261</f>
        <v/>
      </c>
      <c r="E213" s="153">
        <f>'Combustão Móvel'!H261</f>
        <v>0</v>
      </c>
      <c r="F213" s="153">
        <f t="shared" si="52"/>
        <v>0</v>
      </c>
      <c r="G213" s="153">
        <f t="shared" si="53"/>
        <v>0</v>
      </c>
      <c r="H213" s="153">
        <f t="shared" si="54"/>
        <v>0</v>
      </c>
      <c r="I213" s="153">
        <f t="shared" si="55"/>
        <v>0</v>
      </c>
      <c r="J213" s="153">
        <f t="shared" si="56"/>
        <v>0</v>
      </c>
      <c r="K213" s="160">
        <f t="shared" si="57"/>
        <v>0</v>
      </c>
      <c r="L213" s="66">
        <f>'Combustão Móvel'!H261</f>
        <v>0</v>
      </c>
      <c r="M213" s="67">
        <f>'Combustão Móvel'!I261</f>
        <v>0</v>
      </c>
      <c r="N213" s="153"/>
      <c r="O213" s="153">
        <f t="shared" si="44"/>
        <v>0</v>
      </c>
      <c r="P213" s="153"/>
      <c r="Q213" s="153"/>
      <c r="R213" s="153">
        <f t="shared" si="45"/>
        <v>0</v>
      </c>
      <c r="S213" s="153">
        <f t="shared" si="46"/>
        <v>0</v>
      </c>
      <c r="T213" s="164">
        <f t="shared" si="47"/>
        <v>0</v>
      </c>
      <c r="U213" s="164">
        <f t="shared" si="48"/>
        <v>0</v>
      </c>
      <c r="V213" s="137" t="str">
        <f t="shared" si="49"/>
        <v/>
      </c>
      <c r="W213" s="137" t="str">
        <f t="shared" si="50"/>
        <v/>
      </c>
      <c r="X213" s="137" t="str">
        <f t="shared" si="51"/>
        <v/>
      </c>
    </row>
    <row r="214" spans="2:24" ht="15" thickBot="1" x14ac:dyDescent="0.4">
      <c r="B214" s="1152"/>
      <c r="C214" s="40">
        <f>'Combustão Móvel'!B262</f>
        <v>0</v>
      </c>
      <c r="D214" s="158" t="str">
        <f>'Combustão Móvel'!Q262</f>
        <v/>
      </c>
      <c r="E214" s="153">
        <f>'Combustão Móvel'!H262</f>
        <v>0</v>
      </c>
      <c r="F214" s="153">
        <f t="shared" si="52"/>
        <v>0</v>
      </c>
      <c r="G214" s="153">
        <f t="shared" si="53"/>
        <v>0</v>
      </c>
      <c r="H214" s="153">
        <f t="shared" si="54"/>
        <v>0</v>
      </c>
      <c r="I214" s="153">
        <f t="shared" si="55"/>
        <v>0</v>
      </c>
      <c r="J214" s="153">
        <f t="shared" si="56"/>
        <v>0</v>
      </c>
      <c r="K214" s="160">
        <f t="shared" si="57"/>
        <v>0</v>
      </c>
      <c r="L214" s="66">
        <f>'Combustão Móvel'!H262</f>
        <v>0</v>
      </c>
      <c r="M214" s="67">
        <f>'Combustão Móvel'!I262</f>
        <v>0</v>
      </c>
      <c r="N214" s="153"/>
      <c r="O214" s="153">
        <f t="shared" ref="O214:O277" si="58">IF($M214=$O$19,IF($L214=$B$14,$D214,0),0)</f>
        <v>0</v>
      </c>
      <c r="P214" s="153"/>
      <c r="Q214" s="153"/>
      <c r="R214" s="153">
        <f t="shared" ref="R214:R277" si="59">IF($M214=$R$19,IF($L214=$B$14,$D214,0),0)</f>
        <v>0</v>
      </c>
      <c r="S214" s="153">
        <f t="shared" ref="S214:S277" si="60">IF($M214=$S$19,IF($L214=$B$14,$D214,0),0)</f>
        <v>0</v>
      </c>
      <c r="T214" s="164">
        <f t="shared" ref="T214:T277" si="61">IF($L214=$T$20,$D214,0)</f>
        <v>0</v>
      </c>
      <c r="U214" s="164">
        <f t="shared" ref="U214:U277" si="62">IF($L214=$U$20,$D214,0)</f>
        <v>0</v>
      </c>
      <c r="V214" s="137" t="str">
        <f t="shared" si="49"/>
        <v/>
      </c>
      <c r="W214" s="137" t="str">
        <f t="shared" si="50"/>
        <v/>
      </c>
      <c r="X214" s="137" t="str">
        <f t="shared" si="51"/>
        <v/>
      </c>
    </row>
    <row r="215" spans="2:24" ht="15" thickBot="1" x14ac:dyDescent="0.4">
      <c r="B215" s="1152"/>
      <c r="C215" s="40">
        <f>'Combustão Móvel'!B263</f>
        <v>0</v>
      </c>
      <c r="D215" s="158" t="str">
        <f>'Combustão Móvel'!Q263</f>
        <v/>
      </c>
      <c r="E215" s="153">
        <f>'Combustão Móvel'!H263</f>
        <v>0</v>
      </c>
      <c r="F215" s="153">
        <f t="shared" si="52"/>
        <v>0</v>
      </c>
      <c r="G215" s="153">
        <f t="shared" si="53"/>
        <v>0</v>
      </c>
      <c r="H215" s="153">
        <f t="shared" si="54"/>
        <v>0</v>
      </c>
      <c r="I215" s="153">
        <f t="shared" si="55"/>
        <v>0</v>
      </c>
      <c r="J215" s="153">
        <f t="shared" si="56"/>
        <v>0</v>
      </c>
      <c r="K215" s="160">
        <f t="shared" si="57"/>
        <v>0</v>
      </c>
      <c r="L215" s="66">
        <f>'Combustão Móvel'!H263</f>
        <v>0</v>
      </c>
      <c r="M215" s="67">
        <f>'Combustão Móvel'!I263</f>
        <v>0</v>
      </c>
      <c r="N215" s="153"/>
      <c r="O215" s="153">
        <f t="shared" si="58"/>
        <v>0</v>
      </c>
      <c r="P215" s="153"/>
      <c r="Q215" s="153"/>
      <c r="R215" s="153">
        <f t="shared" si="59"/>
        <v>0</v>
      </c>
      <c r="S215" s="153">
        <f t="shared" si="60"/>
        <v>0</v>
      </c>
      <c r="T215" s="164">
        <f t="shared" si="61"/>
        <v>0</v>
      </c>
      <c r="U215" s="164">
        <f t="shared" si="62"/>
        <v>0</v>
      </c>
      <c r="V215" s="137" t="str">
        <f t="shared" si="49"/>
        <v/>
      </c>
      <c r="W215" s="137" t="str">
        <f t="shared" si="50"/>
        <v/>
      </c>
      <c r="X215" s="137" t="str">
        <f t="shared" si="51"/>
        <v/>
      </c>
    </row>
    <row r="216" spans="2:24" ht="15" thickBot="1" x14ac:dyDescent="0.4">
      <c r="B216" s="1152"/>
      <c r="C216" s="40">
        <f>'Combustão Móvel'!B264</f>
        <v>0</v>
      </c>
      <c r="D216" s="158" t="str">
        <f>'Combustão Móvel'!Q264</f>
        <v/>
      </c>
      <c r="E216" s="153">
        <f>'Combustão Móvel'!H264</f>
        <v>0</v>
      </c>
      <c r="F216" s="153">
        <f t="shared" si="52"/>
        <v>0</v>
      </c>
      <c r="G216" s="153">
        <f t="shared" si="53"/>
        <v>0</v>
      </c>
      <c r="H216" s="153">
        <f t="shared" si="54"/>
        <v>0</v>
      </c>
      <c r="I216" s="153">
        <f t="shared" si="55"/>
        <v>0</v>
      </c>
      <c r="J216" s="153">
        <f t="shared" si="56"/>
        <v>0</v>
      </c>
      <c r="K216" s="160">
        <f t="shared" si="57"/>
        <v>0</v>
      </c>
      <c r="L216" s="66">
        <f>'Combustão Móvel'!H264</f>
        <v>0</v>
      </c>
      <c r="M216" s="67">
        <f>'Combustão Móvel'!I264</f>
        <v>0</v>
      </c>
      <c r="N216" s="153"/>
      <c r="O216" s="153">
        <f t="shared" si="58"/>
        <v>0</v>
      </c>
      <c r="P216" s="153"/>
      <c r="Q216" s="153"/>
      <c r="R216" s="153">
        <f t="shared" si="59"/>
        <v>0</v>
      </c>
      <c r="S216" s="153">
        <f t="shared" si="60"/>
        <v>0</v>
      </c>
      <c r="T216" s="164">
        <f t="shared" si="61"/>
        <v>0</v>
      </c>
      <c r="U216" s="164">
        <f t="shared" si="62"/>
        <v>0</v>
      </c>
      <c r="V216" s="137" t="str">
        <f t="shared" si="49"/>
        <v/>
      </c>
      <c r="W216" s="137" t="str">
        <f t="shared" si="50"/>
        <v/>
      </c>
      <c r="X216" s="137" t="str">
        <f t="shared" si="51"/>
        <v/>
      </c>
    </row>
    <row r="217" spans="2:24" ht="15" thickBot="1" x14ac:dyDescent="0.4">
      <c r="B217" s="1152"/>
      <c r="C217" s="40">
        <f>'Combustão Móvel'!B265</f>
        <v>0</v>
      </c>
      <c r="D217" s="158" t="str">
        <f>'Combustão Móvel'!Q265</f>
        <v/>
      </c>
      <c r="E217" s="153">
        <f>'Combustão Móvel'!H265</f>
        <v>0</v>
      </c>
      <c r="F217" s="153">
        <f t="shared" si="52"/>
        <v>0</v>
      </c>
      <c r="G217" s="153">
        <f t="shared" si="53"/>
        <v>0</v>
      </c>
      <c r="H217" s="153">
        <f t="shared" si="54"/>
        <v>0</v>
      </c>
      <c r="I217" s="153">
        <f t="shared" si="55"/>
        <v>0</v>
      </c>
      <c r="J217" s="153">
        <f t="shared" si="56"/>
        <v>0</v>
      </c>
      <c r="K217" s="160">
        <f t="shared" si="57"/>
        <v>0</v>
      </c>
      <c r="L217" s="66">
        <f>'Combustão Móvel'!H265</f>
        <v>0</v>
      </c>
      <c r="M217" s="67">
        <f>'Combustão Móvel'!I265</f>
        <v>0</v>
      </c>
      <c r="N217" s="153"/>
      <c r="O217" s="153">
        <f t="shared" si="58"/>
        <v>0</v>
      </c>
      <c r="P217" s="153"/>
      <c r="Q217" s="153"/>
      <c r="R217" s="153">
        <f t="shared" si="59"/>
        <v>0</v>
      </c>
      <c r="S217" s="153">
        <f t="shared" si="60"/>
        <v>0</v>
      </c>
      <c r="T217" s="164">
        <f t="shared" si="61"/>
        <v>0</v>
      </c>
      <c r="U217" s="164">
        <f t="shared" si="62"/>
        <v>0</v>
      </c>
      <c r="V217" s="137" t="str">
        <f t="shared" ref="V217:V280" si="63">IF($L217="Não",F217,"")</f>
        <v/>
      </c>
      <c r="W217" s="137" t="str">
        <f t="shared" ref="W217:W280" si="64">IF($L217="Não",G217,"")</f>
        <v/>
      </c>
      <c r="X217" s="137" t="str">
        <f t="shared" ref="X217:X280" si="65">IF($L217="Não",H217,"")</f>
        <v/>
      </c>
    </row>
    <row r="218" spans="2:24" ht="15" thickBot="1" x14ac:dyDescent="0.4">
      <c r="B218" s="1152"/>
      <c r="C218" s="40">
        <f>'Combustão Móvel'!B266</f>
        <v>0</v>
      </c>
      <c r="D218" s="158" t="str">
        <f>'Combustão Móvel'!Q266</f>
        <v/>
      </c>
      <c r="E218" s="153">
        <f>'Combustão Móvel'!H266</f>
        <v>0</v>
      </c>
      <c r="F218" s="153">
        <f t="shared" si="52"/>
        <v>0</v>
      </c>
      <c r="G218" s="153">
        <f t="shared" si="53"/>
        <v>0</v>
      </c>
      <c r="H218" s="153">
        <f t="shared" si="54"/>
        <v>0</v>
      </c>
      <c r="I218" s="153">
        <f t="shared" si="55"/>
        <v>0</v>
      </c>
      <c r="J218" s="153">
        <f t="shared" si="56"/>
        <v>0</v>
      </c>
      <c r="K218" s="160">
        <f t="shared" si="57"/>
        <v>0</v>
      </c>
      <c r="L218" s="66">
        <f>'Combustão Móvel'!H266</f>
        <v>0</v>
      </c>
      <c r="M218" s="67">
        <f>'Combustão Móvel'!I266</f>
        <v>0</v>
      </c>
      <c r="N218" s="153"/>
      <c r="O218" s="153">
        <f t="shared" si="58"/>
        <v>0</v>
      </c>
      <c r="P218" s="153"/>
      <c r="Q218" s="153"/>
      <c r="R218" s="153">
        <f t="shared" si="59"/>
        <v>0</v>
      </c>
      <c r="S218" s="153">
        <f t="shared" si="60"/>
        <v>0</v>
      </c>
      <c r="T218" s="164">
        <f t="shared" si="61"/>
        <v>0</v>
      </c>
      <c r="U218" s="164">
        <f t="shared" si="62"/>
        <v>0</v>
      </c>
      <c r="V218" s="137" t="str">
        <f t="shared" si="63"/>
        <v/>
      </c>
      <c r="W218" s="137" t="str">
        <f t="shared" si="64"/>
        <v/>
      </c>
      <c r="X218" s="137" t="str">
        <f t="shared" si="65"/>
        <v/>
      </c>
    </row>
    <row r="219" spans="2:24" ht="15" thickBot="1" x14ac:dyDescent="0.4">
      <c r="B219" s="1152"/>
      <c r="C219" s="40">
        <f>'Combustão Móvel'!B267</f>
        <v>0</v>
      </c>
      <c r="D219" s="158" t="str">
        <f>'Combustão Móvel'!Q267</f>
        <v/>
      </c>
      <c r="E219" s="153">
        <f>'Combustão Móvel'!H267</f>
        <v>0</v>
      </c>
      <c r="F219" s="153">
        <f t="shared" si="52"/>
        <v>0</v>
      </c>
      <c r="G219" s="153">
        <f t="shared" si="53"/>
        <v>0</v>
      </c>
      <c r="H219" s="153">
        <f t="shared" si="54"/>
        <v>0</v>
      </c>
      <c r="I219" s="153">
        <f t="shared" si="55"/>
        <v>0</v>
      </c>
      <c r="J219" s="153">
        <f t="shared" si="56"/>
        <v>0</v>
      </c>
      <c r="K219" s="160">
        <f t="shared" si="57"/>
        <v>0</v>
      </c>
      <c r="L219" s="66">
        <f>'Combustão Móvel'!H267</f>
        <v>0</v>
      </c>
      <c r="M219" s="67">
        <f>'Combustão Móvel'!I267</f>
        <v>0</v>
      </c>
      <c r="N219" s="153"/>
      <c r="O219" s="153">
        <f t="shared" si="58"/>
        <v>0</v>
      </c>
      <c r="P219" s="153"/>
      <c r="Q219" s="153"/>
      <c r="R219" s="153">
        <f t="shared" si="59"/>
        <v>0</v>
      </c>
      <c r="S219" s="153">
        <f t="shared" si="60"/>
        <v>0</v>
      </c>
      <c r="T219" s="164">
        <f t="shared" si="61"/>
        <v>0</v>
      </c>
      <c r="U219" s="164">
        <f t="shared" si="62"/>
        <v>0</v>
      </c>
      <c r="V219" s="137" t="str">
        <f t="shared" si="63"/>
        <v/>
      </c>
      <c r="W219" s="137" t="str">
        <f t="shared" si="64"/>
        <v/>
      </c>
      <c r="X219" s="137" t="str">
        <f t="shared" si="65"/>
        <v/>
      </c>
    </row>
    <row r="220" spans="2:24" ht="15" thickBot="1" x14ac:dyDescent="0.4">
      <c r="B220" s="1153"/>
      <c r="C220" s="40">
        <f>'Combustão Móvel'!B268</f>
        <v>0</v>
      </c>
      <c r="D220" s="158" t="str">
        <f>'Combustão Móvel'!Q268</f>
        <v/>
      </c>
      <c r="E220" s="156">
        <f>'Combustão Móvel'!H268</f>
        <v>0</v>
      </c>
      <c r="F220" s="156">
        <f t="shared" si="52"/>
        <v>0</v>
      </c>
      <c r="G220" s="156">
        <f t="shared" si="53"/>
        <v>0</v>
      </c>
      <c r="H220" s="156">
        <f t="shared" si="54"/>
        <v>0</v>
      </c>
      <c r="I220" s="156">
        <f t="shared" si="55"/>
        <v>0</v>
      </c>
      <c r="J220" s="156">
        <f t="shared" si="56"/>
        <v>0</v>
      </c>
      <c r="K220" s="161">
        <f t="shared" si="57"/>
        <v>0</v>
      </c>
      <c r="L220" s="66">
        <f>'Combustão Móvel'!H268</f>
        <v>0</v>
      </c>
      <c r="M220" s="67">
        <f>'Combustão Móvel'!I268</f>
        <v>0</v>
      </c>
      <c r="N220" s="153"/>
      <c r="O220" s="153">
        <f t="shared" si="58"/>
        <v>0</v>
      </c>
      <c r="P220" s="153"/>
      <c r="Q220" s="153"/>
      <c r="R220" s="153">
        <f t="shared" si="59"/>
        <v>0</v>
      </c>
      <c r="S220" s="153">
        <f t="shared" si="60"/>
        <v>0</v>
      </c>
      <c r="T220" s="164">
        <f t="shared" si="61"/>
        <v>0</v>
      </c>
      <c r="U220" s="164">
        <f t="shared" si="62"/>
        <v>0</v>
      </c>
      <c r="V220" s="137" t="str">
        <f t="shared" si="63"/>
        <v/>
      </c>
      <c r="W220" s="137" t="str">
        <f t="shared" si="64"/>
        <v/>
      </c>
      <c r="X220" s="137" t="str">
        <f t="shared" si="65"/>
        <v/>
      </c>
    </row>
    <row r="221" spans="2:24" ht="58.15" customHeight="1" thickBot="1" x14ac:dyDescent="0.4">
      <c r="B221" s="1154" t="s">
        <v>237</v>
      </c>
      <c r="C221" s="37">
        <f>'Combustão Móvel'!B286</f>
        <v>0</v>
      </c>
      <c r="D221" s="159" t="str">
        <f>'Combustão Móvel'!Q286</f>
        <v/>
      </c>
      <c r="E221" s="159">
        <f>'Combustão Móvel'!H286</f>
        <v>0</v>
      </c>
      <c r="F221" s="159">
        <f t="shared" ref="F221" si="66">IF(C221=$F$20,D221,0)</f>
        <v>0</v>
      </c>
      <c r="G221" s="159">
        <f t="shared" ref="G221" si="67">IF(C221=$G$20,D221,0)</f>
        <v>0</v>
      </c>
      <c r="H221" s="159">
        <f t="shared" ref="H221" si="68">IF(C221=$H$20,D221,0)</f>
        <v>0</v>
      </c>
      <c r="I221" s="159">
        <f t="shared" ref="I221" si="69">IF(C221=$I$20,E221,0)</f>
        <v>0</v>
      </c>
      <c r="J221" s="159">
        <f t="shared" ref="J221" si="70">IF(C221=$J$20,E221,0)</f>
        <v>0</v>
      </c>
      <c r="K221" s="158">
        <f t="shared" ref="K221" si="71">IF(C221=$K$20,E221,0)</f>
        <v>0</v>
      </c>
      <c r="L221" s="66">
        <f>'Combustão Móvel'!H286</f>
        <v>0</v>
      </c>
      <c r="M221" s="67">
        <f>'Combustão Móvel'!I286</f>
        <v>0</v>
      </c>
      <c r="N221" s="153"/>
      <c r="O221" s="153">
        <f t="shared" si="58"/>
        <v>0</v>
      </c>
      <c r="P221" s="153"/>
      <c r="Q221" s="153"/>
      <c r="R221" s="153">
        <f t="shared" si="59"/>
        <v>0</v>
      </c>
      <c r="S221" s="153">
        <f t="shared" si="60"/>
        <v>0</v>
      </c>
      <c r="T221" s="164">
        <f t="shared" si="61"/>
        <v>0</v>
      </c>
      <c r="U221" s="164">
        <f t="shared" si="62"/>
        <v>0</v>
      </c>
      <c r="V221" s="137" t="str">
        <f t="shared" si="63"/>
        <v/>
      </c>
      <c r="W221" s="137" t="str">
        <f t="shared" si="64"/>
        <v/>
      </c>
      <c r="X221" s="137" t="str">
        <f t="shared" si="65"/>
        <v/>
      </c>
    </row>
    <row r="222" spans="2:24" ht="15" thickBot="1" x14ac:dyDescent="0.4">
      <c r="B222" s="1155"/>
      <c r="C222" s="37">
        <f>'Combustão Móvel'!B287</f>
        <v>0</v>
      </c>
      <c r="D222" s="159" t="str">
        <f>'Combustão Móvel'!Q287</f>
        <v/>
      </c>
      <c r="E222" s="153">
        <f>'Combustão Móvel'!H287</f>
        <v>0</v>
      </c>
      <c r="F222" s="153">
        <f t="shared" ref="F222:F285" si="72">IF(C222=$F$20,D222,0)</f>
        <v>0</v>
      </c>
      <c r="G222" s="153">
        <f t="shared" ref="G222:G285" si="73">IF(C222=$G$20,D222,0)</f>
        <v>0</v>
      </c>
      <c r="H222" s="153">
        <f t="shared" ref="H222:H285" si="74">IF(C222=$H$20,D222,0)</f>
        <v>0</v>
      </c>
      <c r="I222" s="153">
        <f t="shared" ref="I222:I285" si="75">IF(C222=$I$20,E222,0)</f>
        <v>0</v>
      </c>
      <c r="J222" s="153">
        <f t="shared" ref="J222:J285" si="76">IF(C222=$J$20,E222,0)</f>
        <v>0</v>
      </c>
      <c r="K222" s="160">
        <f t="shared" ref="K222:K285" si="77">IF(C222=$K$20,E222,0)</f>
        <v>0</v>
      </c>
      <c r="L222" s="66">
        <f>'Combustão Móvel'!H287</f>
        <v>0</v>
      </c>
      <c r="M222" s="67">
        <f>'Combustão Móvel'!I287</f>
        <v>0</v>
      </c>
      <c r="N222" s="153"/>
      <c r="O222" s="153">
        <f t="shared" si="58"/>
        <v>0</v>
      </c>
      <c r="P222" s="153"/>
      <c r="Q222" s="153"/>
      <c r="R222" s="153">
        <f t="shared" si="59"/>
        <v>0</v>
      </c>
      <c r="S222" s="153">
        <f t="shared" si="60"/>
        <v>0</v>
      </c>
      <c r="T222" s="164">
        <f t="shared" si="61"/>
        <v>0</v>
      </c>
      <c r="U222" s="164">
        <f t="shared" si="62"/>
        <v>0</v>
      </c>
      <c r="V222" s="137" t="str">
        <f t="shared" si="63"/>
        <v/>
      </c>
      <c r="W222" s="137" t="str">
        <f t="shared" si="64"/>
        <v/>
      </c>
      <c r="X222" s="137" t="str">
        <f t="shared" si="65"/>
        <v/>
      </c>
    </row>
    <row r="223" spans="2:24" ht="15" thickBot="1" x14ac:dyDescent="0.4">
      <c r="B223" s="1155"/>
      <c r="C223" s="37">
        <f>'Combustão Móvel'!B288</f>
        <v>0</v>
      </c>
      <c r="D223" s="159" t="str">
        <f>'Combustão Móvel'!Q288</f>
        <v/>
      </c>
      <c r="E223" s="153">
        <f>'Combustão Móvel'!H288</f>
        <v>0</v>
      </c>
      <c r="F223" s="153">
        <f t="shared" si="72"/>
        <v>0</v>
      </c>
      <c r="G223" s="153">
        <f t="shared" si="73"/>
        <v>0</v>
      </c>
      <c r="H223" s="153">
        <f t="shared" si="74"/>
        <v>0</v>
      </c>
      <c r="I223" s="153">
        <f t="shared" si="75"/>
        <v>0</v>
      </c>
      <c r="J223" s="153">
        <f t="shared" si="76"/>
        <v>0</v>
      </c>
      <c r="K223" s="160">
        <f t="shared" si="77"/>
        <v>0</v>
      </c>
      <c r="L223" s="66">
        <f>'Combustão Móvel'!H288</f>
        <v>0</v>
      </c>
      <c r="M223" s="67">
        <f>'Combustão Móvel'!I288</f>
        <v>0</v>
      </c>
      <c r="N223" s="153"/>
      <c r="O223" s="153">
        <f t="shared" si="58"/>
        <v>0</v>
      </c>
      <c r="P223" s="153"/>
      <c r="Q223" s="153"/>
      <c r="R223" s="153">
        <f t="shared" si="59"/>
        <v>0</v>
      </c>
      <c r="S223" s="153">
        <f t="shared" si="60"/>
        <v>0</v>
      </c>
      <c r="T223" s="164">
        <f t="shared" si="61"/>
        <v>0</v>
      </c>
      <c r="U223" s="164">
        <f t="shared" si="62"/>
        <v>0</v>
      </c>
      <c r="V223" s="137" t="str">
        <f t="shared" si="63"/>
        <v/>
      </c>
      <c r="W223" s="137" t="str">
        <f t="shared" si="64"/>
        <v/>
      </c>
      <c r="X223" s="137" t="str">
        <f t="shared" si="65"/>
        <v/>
      </c>
    </row>
    <row r="224" spans="2:24" ht="15" thickBot="1" x14ac:dyDescent="0.4">
      <c r="B224" s="1155"/>
      <c r="C224" s="37">
        <f>'Combustão Móvel'!B289</f>
        <v>0</v>
      </c>
      <c r="D224" s="159" t="str">
        <f>'Combustão Móvel'!Q289</f>
        <v/>
      </c>
      <c r="E224" s="153">
        <f>'Combustão Móvel'!H289</f>
        <v>0</v>
      </c>
      <c r="F224" s="153">
        <f t="shared" si="72"/>
        <v>0</v>
      </c>
      <c r="G224" s="153">
        <f t="shared" si="73"/>
        <v>0</v>
      </c>
      <c r="H224" s="153">
        <f t="shared" si="74"/>
        <v>0</v>
      </c>
      <c r="I224" s="153">
        <f t="shared" si="75"/>
        <v>0</v>
      </c>
      <c r="J224" s="153">
        <f t="shared" si="76"/>
        <v>0</v>
      </c>
      <c r="K224" s="160">
        <f t="shared" si="77"/>
        <v>0</v>
      </c>
      <c r="L224" s="66">
        <f>'Combustão Móvel'!H289</f>
        <v>0</v>
      </c>
      <c r="M224" s="67">
        <f>'Combustão Móvel'!I289</f>
        <v>0</v>
      </c>
      <c r="N224" s="153"/>
      <c r="O224" s="153">
        <f t="shared" si="58"/>
        <v>0</v>
      </c>
      <c r="P224" s="153"/>
      <c r="Q224" s="153"/>
      <c r="R224" s="153">
        <f t="shared" si="59"/>
        <v>0</v>
      </c>
      <c r="S224" s="153">
        <f t="shared" si="60"/>
        <v>0</v>
      </c>
      <c r="T224" s="164">
        <f t="shared" si="61"/>
        <v>0</v>
      </c>
      <c r="U224" s="164">
        <f t="shared" si="62"/>
        <v>0</v>
      </c>
      <c r="V224" s="137" t="str">
        <f t="shared" si="63"/>
        <v/>
      </c>
      <c r="W224" s="137" t="str">
        <f t="shared" si="64"/>
        <v/>
      </c>
      <c r="X224" s="137" t="str">
        <f t="shared" si="65"/>
        <v/>
      </c>
    </row>
    <row r="225" spans="2:24" ht="15" thickBot="1" x14ac:dyDescent="0.4">
      <c r="B225" s="1155"/>
      <c r="C225" s="37">
        <f>'Combustão Móvel'!B290</f>
        <v>0</v>
      </c>
      <c r="D225" s="159" t="str">
        <f>'Combustão Móvel'!Q290</f>
        <v/>
      </c>
      <c r="E225" s="153">
        <f>'Combustão Móvel'!H290</f>
        <v>0</v>
      </c>
      <c r="F225" s="153">
        <f t="shared" si="72"/>
        <v>0</v>
      </c>
      <c r="G225" s="153">
        <f t="shared" si="73"/>
        <v>0</v>
      </c>
      <c r="H225" s="153">
        <f t="shared" si="74"/>
        <v>0</v>
      </c>
      <c r="I225" s="153">
        <f t="shared" si="75"/>
        <v>0</v>
      </c>
      <c r="J225" s="153">
        <f t="shared" si="76"/>
        <v>0</v>
      </c>
      <c r="K225" s="160">
        <f t="shared" si="77"/>
        <v>0</v>
      </c>
      <c r="L225" s="66">
        <f>'Combustão Móvel'!H290</f>
        <v>0</v>
      </c>
      <c r="M225" s="67">
        <f>'Combustão Móvel'!I290</f>
        <v>0</v>
      </c>
      <c r="N225" s="153"/>
      <c r="O225" s="153">
        <f t="shared" si="58"/>
        <v>0</v>
      </c>
      <c r="P225" s="153"/>
      <c r="Q225" s="153"/>
      <c r="R225" s="153">
        <f t="shared" si="59"/>
        <v>0</v>
      </c>
      <c r="S225" s="153">
        <f t="shared" si="60"/>
        <v>0</v>
      </c>
      <c r="T225" s="164">
        <f t="shared" si="61"/>
        <v>0</v>
      </c>
      <c r="U225" s="164">
        <f t="shared" si="62"/>
        <v>0</v>
      </c>
      <c r="V225" s="137" t="str">
        <f t="shared" si="63"/>
        <v/>
      </c>
      <c r="W225" s="137" t="str">
        <f t="shared" si="64"/>
        <v/>
      </c>
      <c r="X225" s="137" t="str">
        <f t="shared" si="65"/>
        <v/>
      </c>
    </row>
    <row r="226" spans="2:24" ht="15" thickBot="1" x14ac:dyDescent="0.4">
      <c r="B226" s="1155"/>
      <c r="C226" s="37">
        <f>'Combustão Móvel'!B291</f>
        <v>0</v>
      </c>
      <c r="D226" s="159" t="str">
        <f>'Combustão Móvel'!Q291</f>
        <v/>
      </c>
      <c r="E226" s="153">
        <f>'Combustão Móvel'!H291</f>
        <v>0</v>
      </c>
      <c r="F226" s="153">
        <f t="shared" si="72"/>
        <v>0</v>
      </c>
      <c r="G226" s="153">
        <f t="shared" si="73"/>
        <v>0</v>
      </c>
      <c r="H226" s="153">
        <f t="shared" si="74"/>
        <v>0</v>
      </c>
      <c r="I226" s="153">
        <f t="shared" si="75"/>
        <v>0</v>
      </c>
      <c r="J226" s="153">
        <f t="shared" si="76"/>
        <v>0</v>
      </c>
      <c r="K226" s="160">
        <f t="shared" si="77"/>
        <v>0</v>
      </c>
      <c r="L226" s="66">
        <f>'Combustão Móvel'!H291</f>
        <v>0</v>
      </c>
      <c r="M226" s="67">
        <f>'Combustão Móvel'!I291</f>
        <v>0</v>
      </c>
      <c r="N226" s="153"/>
      <c r="O226" s="153">
        <f t="shared" si="58"/>
        <v>0</v>
      </c>
      <c r="P226" s="153"/>
      <c r="Q226" s="153"/>
      <c r="R226" s="153">
        <f t="shared" si="59"/>
        <v>0</v>
      </c>
      <c r="S226" s="153">
        <f t="shared" si="60"/>
        <v>0</v>
      </c>
      <c r="T226" s="164">
        <f t="shared" si="61"/>
        <v>0</v>
      </c>
      <c r="U226" s="164">
        <f t="shared" si="62"/>
        <v>0</v>
      </c>
      <c r="V226" s="137" t="str">
        <f t="shared" si="63"/>
        <v/>
      </c>
      <c r="W226" s="137" t="str">
        <f t="shared" si="64"/>
        <v/>
      </c>
      <c r="X226" s="137" t="str">
        <f t="shared" si="65"/>
        <v/>
      </c>
    </row>
    <row r="227" spans="2:24" ht="15" thickBot="1" x14ac:dyDescent="0.4">
      <c r="B227" s="1155"/>
      <c r="C227" s="37">
        <f>'Combustão Móvel'!B292</f>
        <v>0</v>
      </c>
      <c r="D227" s="159" t="str">
        <f>'Combustão Móvel'!Q292</f>
        <v/>
      </c>
      <c r="E227" s="153">
        <f>'Combustão Móvel'!H292</f>
        <v>0</v>
      </c>
      <c r="F227" s="153">
        <f t="shared" si="72"/>
        <v>0</v>
      </c>
      <c r="G227" s="153">
        <f t="shared" si="73"/>
        <v>0</v>
      </c>
      <c r="H227" s="153">
        <f t="shared" si="74"/>
        <v>0</v>
      </c>
      <c r="I227" s="153">
        <f t="shared" si="75"/>
        <v>0</v>
      </c>
      <c r="J227" s="153">
        <f t="shared" si="76"/>
        <v>0</v>
      </c>
      <c r="K227" s="160">
        <f t="shared" si="77"/>
        <v>0</v>
      </c>
      <c r="L227" s="66">
        <f>'Combustão Móvel'!H292</f>
        <v>0</v>
      </c>
      <c r="M227" s="67">
        <f>'Combustão Móvel'!I292</f>
        <v>0</v>
      </c>
      <c r="N227" s="153"/>
      <c r="O227" s="153">
        <f t="shared" si="58"/>
        <v>0</v>
      </c>
      <c r="P227" s="153"/>
      <c r="Q227" s="153"/>
      <c r="R227" s="153">
        <f t="shared" si="59"/>
        <v>0</v>
      </c>
      <c r="S227" s="153">
        <f t="shared" si="60"/>
        <v>0</v>
      </c>
      <c r="T227" s="164">
        <f t="shared" si="61"/>
        <v>0</v>
      </c>
      <c r="U227" s="164">
        <f t="shared" si="62"/>
        <v>0</v>
      </c>
      <c r="V227" s="137" t="str">
        <f t="shared" si="63"/>
        <v/>
      </c>
      <c r="W227" s="137" t="str">
        <f t="shared" si="64"/>
        <v/>
      </c>
      <c r="X227" s="137" t="str">
        <f t="shared" si="65"/>
        <v/>
      </c>
    </row>
    <row r="228" spans="2:24" ht="15" thickBot="1" x14ac:dyDescent="0.4">
      <c r="B228" s="1155"/>
      <c r="C228" s="37">
        <f>'Combustão Móvel'!B293</f>
        <v>0</v>
      </c>
      <c r="D228" s="159" t="str">
        <f>'Combustão Móvel'!Q293</f>
        <v/>
      </c>
      <c r="E228" s="153">
        <f>'Combustão Móvel'!H293</f>
        <v>0</v>
      </c>
      <c r="F228" s="153">
        <f t="shared" si="72"/>
        <v>0</v>
      </c>
      <c r="G228" s="153">
        <f t="shared" si="73"/>
        <v>0</v>
      </c>
      <c r="H228" s="153">
        <f t="shared" si="74"/>
        <v>0</v>
      </c>
      <c r="I228" s="153">
        <f t="shared" si="75"/>
        <v>0</v>
      </c>
      <c r="J228" s="153">
        <f t="shared" si="76"/>
        <v>0</v>
      </c>
      <c r="K228" s="160">
        <f t="shared" si="77"/>
        <v>0</v>
      </c>
      <c r="L228" s="66">
        <f>'Combustão Móvel'!H293</f>
        <v>0</v>
      </c>
      <c r="M228" s="67">
        <f>'Combustão Móvel'!I293</f>
        <v>0</v>
      </c>
      <c r="N228" s="153"/>
      <c r="O228" s="153">
        <f t="shared" si="58"/>
        <v>0</v>
      </c>
      <c r="P228" s="153"/>
      <c r="Q228" s="153"/>
      <c r="R228" s="153">
        <f t="shared" si="59"/>
        <v>0</v>
      </c>
      <c r="S228" s="153">
        <f t="shared" si="60"/>
        <v>0</v>
      </c>
      <c r="T228" s="164">
        <f t="shared" si="61"/>
        <v>0</v>
      </c>
      <c r="U228" s="164">
        <f t="shared" si="62"/>
        <v>0</v>
      </c>
      <c r="V228" s="137" t="str">
        <f t="shared" si="63"/>
        <v/>
      </c>
      <c r="W228" s="137" t="str">
        <f t="shared" si="64"/>
        <v/>
      </c>
      <c r="X228" s="137" t="str">
        <f t="shared" si="65"/>
        <v/>
      </c>
    </row>
    <row r="229" spans="2:24" ht="15" thickBot="1" x14ac:dyDescent="0.4">
      <c r="B229" s="1155"/>
      <c r="C229" s="37">
        <f>'Combustão Móvel'!B294</f>
        <v>0</v>
      </c>
      <c r="D229" s="159" t="str">
        <f>'Combustão Móvel'!Q294</f>
        <v/>
      </c>
      <c r="E229" s="153">
        <f>'Combustão Móvel'!H294</f>
        <v>0</v>
      </c>
      <c r="F229" s="153">
        <f t="shared" si="72"/>
        <v>0</v>
      </c>
      <c r="G229" s="153">
        <f t="shared" si="73"/>
        <v>0</v>
      </c>
      <c r="H229" s="153">
        <f t="shared" si="74"/>
        <v>0</v>
      </c>
      <c r="I229" s="153">
        <f t="shared" si="75"/>
        <v>0</v>
      </c>
      <c r="J229" s="153">
        <f t="shared" si="76"/>
        <v>0</v>
      </c>
      <c r="K229" s="160">
        <f t="shared" si="77"/>
        <v>0</v>
      </c>
      <c r="L229" s="66">
        <f>'Combustão Móvel'!H294</f>
        <v>0</v>
      </c>
      <c r="M229" s="67">
        <f>'Combustão Móvel'!I294</f>
        <v>0</v>
      </c>
      <c r="N229" s="153"/>
      <c r="O229" s="153">
        <f t="shared" si="58"/>
        <v>0</v>
      </c>
      <c r="P229" s="153"/>
      <c r="Q229" s="153"/>
      <c r="R229" s="153">
        <f t="shared" si="59"/>
        <v>0</v>
      </c>
      <c r="S229" s="153">
        <f t="shared" si="60"/>
        <v>0</v>
      </c>
      <c r="T229" s="164">
        <f t="shared" si="61"/>
        <v>0</v>
      </c>
      <c r="U229" s="164">
        <f t="shared" si="62"/>
        <v>0</v>
      </c>
      <c r="V229" s="137" t="str">
        <f t="shared" si="63"/>
        <v/>
      </c>
      <c r="W229" s="137" t="str">
        <f t="shared" si="64"/>
        <v/>
      </c>
      <c r="X229" s="137" t="str">
        <f t="shared" si="65"/>
        <v/>
      </c>
    </row>
    <row r="230" spans="2:24" ht="15" thickBot="1" x14ac:dyDescent="0.4">
      <c r="B230" s="1155"/>
      <c r="C230" s="37">
        <f>'Combustão Móvel'!B295</f>
        <v>0</v>
      </c>
      <c r="D230" s="159" t="str">
        <f>'Combustão Móvel'!Q295</f>
        <v/>
      </c>
      <c r="E230" s="153">
        <f>'Combustão Móvel'!H295</f>
        <v>0</v>
      </c>
      <c r="F230" s="153">
        <f t="shared" si="72"/>
        <v>0</v>
      </c>
      <c r="G230" s="153">
        <f t="shared" si="73"/>
        <v>0</v>
      </c>
      <c r="H230" s="153">
        <f t="shared" si="74"/>
        <v>0</v>
      </c>
      <c r="I230" s="153">
        <f t="shared" si="75"/>
        <v>0</v>
      </c>
      <c r="J230" s="153">
        <f t="shared" si="76"/>
        <v>0</v>
      </c>
      <c r="K230" s="160">
        <f t="shared" si="77"/>
        <v>0</v>
      </c>
      <c r="L230" s="66">
        <f>'Combustão Móvel'!H295</f>
        <v>0</v>
      </c>
      <c r="M230" s="67">
        <f>'Combustão Móvel'!I295</f>
        <v>0</v>
      </c>
      <c r="N230" s="153"/>
      <c r="O230" s="153">
        <f t="shared" si="58"/>
        <v>0</v>
      </c>
      <c r="P230" s="153"/>
      <c r="Q230" s="153"/>
      <c r="R230" s="153">
        <f t="shared" si="59"/>
        <v>0</v>
      </c>
      <c r="S230" s="153">
        <f t="shared" si="60"/>
        <v>0</v>
      </c>
      <c r="T230" s="164">
        <f t="shared" si="61"/>
        <v>0</v>
      </c>
      <c r="U230" s="164">
        <f t="shared" si="62"/>
        <v>0</v>
      </c>
      <c r="V230" s="137" t="str">
        <f t="shared" si="63"/>
        <v/>
      </c>
      <c r="W230" s="137" t="str">
        <f t="shared" si="64"/>
        <v/>
      </c>
      <c r="X230" s="137" t="str">
        <f t="shared" si="65"/>
        <v/>
      </c>
    </row>
    <row r="231" spans="2:24" ht="15" thickBot="1" x14ac:dyDescent="0.4">
      <c r="B231" s="1155"/>
      <c r="C231" s="37">
        <f>'Combustão Móvel'!B296</f>
        <v>0</v>
      </c>
      <c r="D231" s="159" t="str">
        <f>'Combustão Móvel'!Q296</f>
        <v/>
      </c>
      <c r="E231" s="153">
        <f>'Combustão Móvel'!H296</f>
        <v>0</v>
      </c>
      <c r="F231" s="153">
        <f t="shared" si="72"/>
        <v>0</v>
      </c>
      <c r="G231" s="153">
        <f t="shared" si="73"/>
        <v>0</v>
      </c>
      <c r="H231" s="153">
        <f t="shared" si="74"/>
        <v>0</v>
      </c>
      <c r="I231" s="153">
        <f t="shared" si="75"/>
        <v>0</v>
      </c>
      <c r="J231" s="153">
        <f t="shared" si="76"/>
        <v>0</v>
      </c>
      <c r="K231" s="160">
        <f t="shared" si="77"/>
        <v>0</v>
      </c>
      <c r="L231" s="66">
        <f>'Combustão Móvel'!H296</f>
        <v>0</v>
      </c>
      <c r="M231" s="67">
        <f>'Combustão Móvel'!I296</f>
        <v>0</v>
      </c>
      <c r="N231" s="153"/>
      <c r="O231" s="153">
        <f t="shared" si="58"/>
        <v>0</v>
      </c>
      <c r="P231" s="153"/>
      <c r="Q231" s="153"/>
      <c r="R231" s="153">
        <f t="shared" si="59"/>
        <v>0</v>
      </c>
      <c r="S231" s="153">
        <f t="shared" si="60"/>
        <v>0</v>
      </c>
      <c r="T231" s="164">
        <f t="shared" si="61"/>
        <v>0</v>
      </c>
      <c r="U231" s="164">
        <f t="shared" si="62"/>
        <v>0</v>
      </c>
      <c r="V231" s="137" t="str">
        <f t="shared" si="63"/>
        <v/>
      </c>
      <c r="W231" s="137" t="str">
        <f t="shared" si="64"/>
        <v/>
      </c>
      <c r="X231" s="137" t="str">
        <f t="shared" si="65"/>
        <v/>
      </c>
    </row>
    <row r="232" spans="2:24" ht="15" thickBot="1" x14ac:dyDescent="0.4">
      <c r="B232" s="1155"/>
      <c r="C232" s="37">
        <f>'Combustão Móvel'!B297</f>
        <v>0</v>
      </c>
      <c r="D232" s="159" t="str">
        <f>'Combustão Móvel'!Q297</f>
        <v/>
      </c>
      <c r="E232" s="153">
        <f>'Combustão Móvel'!H297</f>
        <v>0</v>
      </c>
      <c r="F232" s="153">
        <f t="shared" si="72"/>
        <v>0</v>
      </c>
      <c r="G232" s="153">
        <f t="shared" si="73"/>
        <v>0</v>
      </c>
      <c r="H232" s="153">
        <f t="shared" si="74"/>
        <v>0</v>
      </c>
      <c r="I232" s="153">
        <f t="shared" si="75"/>
        <v>0</v>
      </c>
      <c r="J232" s="153">
        <f t="shared" si="76"/>
        <v>0</v>
      </c>
      <c r="K232" s="160">
        <f t="shared" si="77"/>
        <v>0</v>
      </c>
      <c r="L232" s="66">
        <f>'Combustão Móvel'!H297</f>
        <v>0</v>
      </c>
      <c r="M232" s="67">
        <f>'Combustão Móvel'!I297</f>
        <v>0</v>
      </c>
      <c r="N232" s="153"/>
      <c r="O232" s="153">
        <f t="shared" si="58"/>
        <v>0</v>
      </c>
      <c r="P232" s="153"/>
      <c r="Q232" s="153"/>
      <c r="R232" s="153">
        <f t="shared" si="59"/>
        <v>0</v>
      </c>
      <c r="S232" s="153">
        <f t="shared" si="60"/>
        <v>0</v>
      </c>
      <c r="T232" s="164">
        <f t="shared" si="61"/>
        <v>0</v>
      </c>
      <c r="U232" s="164">
        <f t="shared" si="62"/>
        <v>0</v>
      </c>
      <c r="V232" s="137" t="str">
        <f t="shared" si="63"/>
        <v/>
      </c>
      <c r="W232" s="137" t="str">
        <f t="shared" si="64"/>
        <v/>
      </c>
      <c r="X232" s="137" t="str">
        <f t="shared" si="65"/>
        <v/>
      </c>
    </row>
    <row r="233" spans="2:24" ht="15" thickBot="1" x14ac:dyDescent="0.4">
      <c r="B233" s="1155"/>
      <c r="C233" s="37">
        <f>'Combustão Móvel'!B298</f>
        <v>0</v>
      </c>
      <c r="D233" s="159" t="str">
        <f>'Combustão Móvel'!Q298</f>
        <v/>
      </c>
      <c r="E233" s="153">
        <f>'Combustão Móvel'!H298</f>
        <v>0</v>
      </c>
      <c r="F233" s="153">
        <f t="shared" si="72"/>
        <v>0</v>
      </c>
      <c r="G233" s="153">
        <f t="shared" si="73"/>
        <v>0</v>
      </c>
      <c r="H233" s="153">
        <f t="shared" si="74"/>
        <v>0</v>
      </c>
      <c r="I233" s="153">
        <f t="shared" si="75"/>
        <v>0</v>
      </c>
      <c r="J233" s="153">
        <f t="shared" si="76"/>
        <v>0</v>
      </c>
      <c r="K233" s="160">
        <f t="shared" si="77"/>
        <v>0</v>
      </c>
      <c r="L233" s="66">
        <f>'Combustão Móvel'!H298</f>
        <v>0</v>
      </c>
      <c r="M233" s="67">
        <f>'Combustão Móvel'!I298</f>
        <v>0</v>
      </c>
      <c r="N233" s="153"/>
      <c r="O233" s="153">
        <f t="shared" si="58"/>
        <v>0</v>
      </c>
      <c r="P233" s="153"/>
      <c r="Q233" s="153"/>
      <c r="R233" s="153">
        <f t="shared" si="59"/>
        <v>0</v>
      </c>
      <c r="S233" s="153">
        <f t="shared" si="60"/>
        <v>0</v>
      </c>
      <c r="T233" s="164">
        <f t="shared" si="61"/>
        <v>0</v>
      </c>
      <c r="U233" s="164">
        <f t="shared" si="62"/>
        <v>0</v>
      </c>
      <c r="V233" s="137" t="str">
        <f t="shared" si="63"/>
        <v/>
      </c>
      <c r="W233" s="137" t="str">
        <f t="shared" si="64"/>
        <v/>
      </c>
      <c r="X233" s="137" t="str">
        <f t="shared" si="65"/>
        <v/>
      </c>
    </row>
    <row r="234" spans="2:24" ht="15" thickBot="1" x14ac:dyDescent="0.4">
      <c r="B234" s="1155"/>
      <c r="C234" s="37">
        <f>'Combustão Móvel'!B299</f>
        <v>0</v>
      </c>
      <c r="D234" s="159" t="str">
        <f>'Combustão Móvel'!Q299</f>
        <v/>
      </c>
      <c r="E234" s="153">
        <f>'Combustão Móvel'!H299</f>
        <v>0</v>
      </c>
      <c r="F234" s="153">
        <f t="shared" si="72"/>
        <v>0</v>
      </c>
      <c r="G234" s="153">
        <f t="shared" si="73"/>
        <v>0</v>
      </c>
      <c r="H234" s="153">
        <f t="shared" si="74"/>
        <v>0</v>
      </c>
      <c r="I234" s="153">
        <f t="shared" si="75"/>
        <v>0</v>
      </c>
      <c r="J234" s="153">
        <f t="shared" si="76"/>
        <v>0</v>
      </c>
      <c r="K234" s="160">
        <f t="shared" si="77"/>
        <v>0</v>
      </c>
      <c r="L234" s="66">
        <f>'Combustão Móvel'!H299</f>
        <v>0</v>
      </c>
      <c r="M234" s="67">
        <f>'Combustão Móvel'!I299</f>
        <v>0</v>
      </c>
      <c r="N234" s="153"/>
      <c r="O234" s="153">
        <f t="shared" si="58"/>
        <v>0</v>
      </c>
      <c r="P234" s="153"/>
      <c r="Q234" s="153"/>
      <c r="R234" s="153">
        <f t="shared" si="59"/>
        <v>0</v>
      </c>
      <c r="S234" s="153">
        <f t="shared" si="60"/>
        <v>0</v>
      </c>
      <c r="T234" s="164">
        <f t="shared" si="61"/>
        <v>0</v>
      </c>
      <c r="U234" s="164">
        <f t="shared" si="62"/>
        <v>0</v>
      </c>
      <c r="V234" s="137" t="str">
        <f t="shared" si="63"/>
        <v/>
      </c>
      <c r="W234" s="137" t="str">
        <f t="shared" si="64"/>
        <v/>
      </c>
      <c r="X234" s="137" t="str">
        <f t="shared" si="65"/>
        <v/>
      </c>
    </row>
    <row r="235" spans="2:24" ht="15" thickBot="1" x14ac:dyDescent="0.4">
      <c r="B235" s="1155"/>
      <c r="C235" s="37">
        <f>'Combustão Móvel'!B300</f>
        <v>0</v>
      </c>
      <c r="D235" s="159" t="str">
        <f>'Combustão Móvel'!Q300</f>
        <v/>
      </c>
      <c r="E235" s="153">
        <f>'Combustão Móvel'!H300</f>
        <v>0</v>
      </c>
      <c r="F235" s="153">
        <f t="shared" si="72"/>
        <v>0</v>
      </c>
      <c r="G235" s="153">
        <f t="shared" si="73"/>
        <v>0</v>
      </c>
      <c r="H235" s="153">
        <f t="shared" si="74"/>
        <v>0</v>
      </c>
      <c r="I235" s="153">
        <f t="shared" si="75"/>
        <v>0</v>
      </c>
      <c r="J235" s="153">
        <f t="shared" si="76"/>
        <v>0</v>
      </c>
      <c r="K235" s="160">
        <f t="shared" si="77"/>
        <v>0</v>
      </c>
      <c r="L235" s="66">
        <f>'Combustão Móvel'!H300</f>
        <v>0</v>
      </c>
      <c r="M235" s="67">
        <f>'Combustão Móvel'!I300</f>
        <v>0</v>
      </c>
      <c r="N235" s="153"/>
      <c r="O235" s="153">
        <f t="shared" si="58"/>
        <v>0</v>
      </c>
      <c r="P235" s="153"/>
      <c r="Q235" s="153"/>
      <c r="R235" s="153">
        <f t="shared" si="59"/>
        <v>0</v>
      </c>
      <c r="S235" s="153">
        <f t="shared" si="60"/>
        <v>0</v>
      </c>
      <c r="T235" s="164">
        <f t="shared" si="61"/>
        <v>0</v>
      </c>
      <c r="U235" s="164">
        <f t="shared" si="62"/>
        <v>0</v>
      </c>
      <c r="V235" s="137" t="str">
        <f t="shared" si="63"/>
        <v/>
      </c>
      <c r="W235" s="137" t="str">
        <f t="shared" si="64"/>
        <v/>
      </c>
      <c r="X235" s="137" t="str">
        <f t="shared" si="65"/>
        <v/>
      </c>
    </row>
    <row r="236" spans="2:24" ht="15" thickBot="1" x14ac:dyDescent="0.4">
      <c r="B236" s="1155"/>
      <c r="C236" s="37">
        <f>'Combustão Móvel'!B301</f>
        <v>0</v>
      </c>
      <c r="D236" s="159" t="str">
        <f>'Combustão Móvel'!Q301</f>
        <v/>
      </c>
      <c r="E236" s="153">
        <f>'Combustão Móvel'!H301</f>
        <v>0</v>
      </c>
      <c r="F236" s="153">
        <f t="shared" si="72"/>
        <v>0</v>
      </c>
      <c r="G236" s="153">
        <f t="shared" si="73"/>
        <v>0</v>
      </c>
      <c r="H236" s="153">
        <f t="shared" si="74"/>
        <v>0</v>
      </c>
      <c r="I236" s="153">
        <f t="shared" si="75"/>
        <v>0</v>
      </c>
      <c r="J236" s="153">
        <f t="shared" si="76"/>
        <v>0</v>
      </c>
      <c r="K236" s="160">
        <f t="shared" si="77"/>
        <v>0</v>
      </c>
      <c r="L236" s="66">
        <f>'Combustão Móvel'!H301</f>
        <v>0</v>
      </c>
      <c r="M236" s="67">
        <f>'Combustão Móvel'!I301</f>
        <v>0</v>
      </c>
      <c r="N236" s="153"/>
      <c r="O236" s="153">
        <f t="shared" si="58"/>
        <v>0</v>
      </c>
      <c r="P236" s="153"/>
      <c r="Q236" s="153"/>
      <c r="R236" s="153">
        <f t="shared" si="59"/>
        <v>0</v>
      </c>
      <c r="S236" s="153">
        <f t="shared" si="60"/>
        <v>0</v>
      </c>
      <c r="T236" s="164">
        <f t="shared" si="61"/>
        <v>0</v>
      </c>
      <c r="U236" s="164">
        <f t="shared" si="62"/>
        <v>0</v>
      </c>
      <c r="V236" s="137" t="str">
        <f t="shared" si="63"/>
        <v/>
      </c>
      <c r="W236" s="137" t="str">
        <f t="shared" si="64"/>
        <v/>
      </c>
      <c r="X236" s="137" t="str">
        <f t="shared" si="65"/>
        <v/>
      </c>
    </row>
    <row r="237" spans="2:24" ht="15" thickBot="1" x14ac:dyDescent="0.4">
      <c r="B237" s="1155"/>
      <c r="C237" s="37">
        <f>'Combustão Móvel'!B302</f>
        <v>0</v>
      </c>
      <c r="D237" s="159" t="str">
        <f>'Combustão Móvel'!Q302</f>
        <v/>
      </c>
      <c r="E237" s="153">
        <f>'Combustão Móvel'!H302</f>
        <v>0</v>
      </c>
      <c r="F237" s="153">
        <f t="shared" si="72"/>
        <v>0</v>
      </c>
      <c r="G237" s="153">
        <f t="shared" si="73"/>
        <v>0</v>
      </c>
      <c r="H237" s="153">
        <f t="shared" si="74"/>
        <v>0</v>
      </c>
      <c r="I237" s="153">
        <f t="shared" si="75"/>
        <v>0</v>
      </c>
      <c r="J237" s="153">
        <f t="shared" si="76"/>
        <v>0</v>
      </c>
      <c r="K237" s="160">
        <f t="shared" si="77"/>
        <v>0</v>
      </c>
      <c r="L237" s="66">
        <f>'Combustão Móvel'!H302</f>
        <v>0</v>
      </c>
      <c r="M237" s="67">
        <f>'Combustão Móvel'!I302</f>
        <v>0</v>
      </c>
      <c r="N237" s="153"/>
      <c r="O237" s="153">
        <f t="shared" si="58"/>
        <v>0</v>
      </c>
      <c r="P237" s="153"/>
      <c r="Q237" s="153"/>
      <c r="R237" s="153">
        <f t="shared" si="59"/>
        <v>0</v>
      </c>
      <c r="S237" s="153">
        <f t="shared" si="60"/>
        <v>0</v>
      </c>
      <c r="T237" s="164">
        <f t="shared" si="61"/>
        <v>0</v>
      </c>
      <c r="U237" s="164">
        <f t="shared" si="62"/>
        <v>0</v>
      </c>
      <c r="V237" s="137" t="str">
        <f t="shared" si="63"/>
        <v/>
      </c>
      <c r="W237" s="137" t="str">
        <f t="shared" si="64"/>
        <v/>
      </c>
      <c r="X237" s="137" t="str">
        <f t="shared" si="65"/>
        <v/>
      </c>
    </row>
    <row r="238" spans="2:24" ht="15" thickBot="1" x14ac:dyDescent="0.4">
      <c r="B238" s="1155"/>
      <c r="C238" s="37">
        <f>'Combustão Móvel'!B303</f>
        <v>0</v>
      </c>
      <c r="D238" s="159" t="str">
        <f>'Combustão Móvel'!Q303</f>
        <v/>
      </c>
      <c r="E238" s="153">
        <f>'Combustão Móvel'!H303</f>
        <v>0</v>
      </c>
      <c r="F238" s="153">
        <f t="shared" si="72"/>
        <v>0</v>
      </c>
      <c r="G238" s="153">
        <f t="shared" si="73"/>
        <v>0</v>
      </c>
      <c r="H238" s="153">
        <f t="shared" si="74"/>
        <v>0</v>
      </c>
      <c r="I238" s="153">
        <f t="shared" si="75"/>
        <v>0</v>
      </c>
      <c r="J238" s="153">
        <f t="shared" si="76"/>
        <v>0</v>
      </c>
      <c r="K238" s="160">
        <f t="shared" si="77"/>
        <v>0</v>
      </c>
      <c r="L238" s="66">
        <f>'Combustão Móvel'!H303</f>
        <v>0</v>
      </c>
      <c r="M238" s="67">
        <f>'Combustão Móvel'!I303</f>
        <v>0</v>
      </c>
      <c r="N238" s="153"/>
      <c r="O238" s="153">
        <f t="shared" si="58"/>
        <v>0</v>
      </c>
      <c r="P238" s="153"/>
      <c r="Q238" s="153"/>
      <c r="R238" s="153">
        <f t="shared" si="59"/>
        <v>0</v>
      </c>
      <c r="S238" s="153">
        <f t="shared" si="60"/>
        <v>0</v>
      </c>
      <c r="T238" s="164">
        <f t="shared" si="61"/>
        <v>0</v>
      </c>
      <c r="U238" s="164">
        <f t="shared" si="62"/>
        <v>0</v>
      </c>
      <c r="V238" s="137" t="str">
        <f t="shared" si="63"/>
        <v/>
      </c>
      <c r="W238" s="137" t="str">
        <f t="shared" si="64"/>
        <v/>
      </c>
      <c r="X238" s="137" t="str">
        <f t="shared" si="65"/>
        <v/>
      </c>
    </row>
    <row r="239" spans="2:24" ht="15" thickBot="1" x14ac:dyDescent="0.4">
      <c r="B239" s="1155"/>
      <c r="C239" s="37">
        <f>'Combustão Móvel'!B304</f>
        <v>0</v>
      </c>
      <c r="D239" s="159" t="str">
        <f>'Combustão Móvel'!Q304</f>
        <v/>
      </c>
      <c r="E239" s="153">
        <f>'Combustão Móvel'!H304</f>
        <v>0</v>
      </c>
      <c r="F239" s="153">
        <f t="shared" si="72"/>
        <v>0</v>
      </c>
      <c r="G239" s="153">
        <f t="shared" si="73"/>
        <v>0</v>
      </c>
      <c r="H239" s="153">
        <f t="shared" si="74"/>
        <v>0</v>
      </c>
      <c r="I239" s="153">
        <f t="shared" si="75"/>
        <v>0</v>
      </c>
      <c r="J239" s="153">
        <f t="shared" si="76"/>
        <v>0</v>
      </c>
      <c r="K239" s="160">
        <f t="shared" si="77"/>
        <v>0</v>
      </c>
      <c r="L239" s="66">
        <f>'Combustão Móvel'!H304</f>
        <v>0</v>
      </c>
      <c r="M239" s="67">
        <f>'Combustão Móvel'!I304</f>
        <v>0</v>
      </c>
      <c r="N239" s="153"/>
      <c r="O239" s="153">
        <f t="shared" si="58"/>
        <v>0</v>
      </c>
      <c r="P239" s="153"/>
      <c r="Q239" s="153"/>
      <c r="R239" s="153">
        <f t="shared" si="59"/>
        <v>0</v>
      </c>
      <c r="S239" s="153">
        <f t="shared" si="60"/>
        <v>0</v>
      </c>
      <c r="T239" s="164">
        <f t="shared" si="61"/>
        <v>0</v>
      </c>
      <c r="U239" s="164">
        <f t="shared" si="62"/>
        <v>0</v>
      </c>
      <c r="V239" s="137" t="str">
        <f t="shared" si="63"/>
        <v/>
      </c>
      <c r="W239" s="137" t="str">
        <f t="shared" si="64"/>
        <v/>
      </c>
      <c r="X239" s="137" t="str">
        <f t="shared" si="65"/>
        <v/>
      </c>
    </row>
    <row r="240" spans="2:24" ht="15" thickBot="1" x14ac:dyDescent="0.4">
      <c r="B240" s="1155"/>
      <c r="C240" s="37">
        <f>'Combustão Móvel'!B305</f>
        <v>0</v>
      </c>
      <c r="D240" s="159" t="str">
        <f>'Combustão Móvel'!Q305</f>
        <v/>
      </c>
      <c r="E240" s="153">
        <f>'Combustão Móvel'!H305</f>
        <v>0</v>
      </c>
      <c r="F240" s="153">
        <f t="shared" si="72"/>
        <v>0</v>
      </c>
      <c r="G240" s="153">
        <f t="shared" si="73"/>
        <v>0</v>
      </c>
      <c r="H240" s="153">
        <f t="shared" si="74"/>
        <v>0</v>
      </c>
      <c r="I240" s="153">
        <f t="shared" si="75"/>
        <v>0</v>
      </c>
      <c r="J240" s="153">
        <f t="shared" si="76"/>
        <v>0</v>
      </c>
      <c r="K240" s="160">
        <f t="shared" si="77"/>
        <v>0</v>
      </c>
      <c r="L240" s="66">
        <f>'Combustão Móvel'!H305</f>
        <v>0</v>
      </c>
      <c r="M240" s="67">
        <f>'Combustão Móvel'!I305</f>
        <v>0</v>
      </c>
      <c r="N240" s="153"/>
      <c r="O240" s="153">
        <f t="shared" si="58"/>
        <v>0</v>
      </c>
      <c r="P240" s="153"/>
      <c r="Q240" s="153"/>
      <c r="R240" s="153">
        <f t="shared" si="59"/>
        <v>0</v>
      </c>
      <c r="S240" s="153">
        <f t="shared" si="60"/>
        <v>0</v>
      </c>
      <c r="T240" s="164">
        <f t="shared" si="61"/>
        <v>0</v>
      </c>
      <c r="U240" s="164">
        <f t="shared" si="62"/>
        <v>0</v>
      </c>
      <c r="V240" s="137" t="str">
        <f t="shared" si="63"/>
        <v/>
      </c>
      <c r="W240" s="137" t="str">
        <f t="shared" si="64"/>
        <v/>
      </c>
      <c r="X240" s="137" t="str">
        <f t="shared" si="65"/>
        <v/>
      </c>
    </row>
    <row r="241" spans="2:24" ht="15" thickBot="1" x14ac:dyDescent="0.4">
      <c r="B241" s="1155"/>
      <c r="C241" s="37">
        <f>'Combustão Móvel'!B306</f>
        <v>0</v>
      </c>
      <c r="D241" s="159" t="str">
        <f>'Combustão Móvel'!Q306</f>
        <v/>
      </c>
      <c r="E241" s="153">
        <f>'Combustão Móvel'!H306</f>
        <v>0</v>
      </c>
      <c r="F241" s="153">
        <f t="shared" si="72"/>
        <v>0</v>
      </c>
      <c r="G241" s="153">
        <f t="shared" si="73"/>
        <v>0</v>
      </c>
      <c r="H241" s="153">
        <f t="shared" si="74"/>
        <v>0</v>
      </c>
      <c r="I241" s="153">
        <f t="shared" si="75"/>
        <v>0</v>
      </c>
      <c r="J241" s="153">
        <f t="shared" si="76"/>
        <v>0</v>
      </c>
      <c r="K241" s="160">
        <f t="shared" si="77"/>
        <v>0</v>
      </c>
      <c r="L241" s="66">
        <f>'Combustão Móvel'!H306</f>
        <v>0</v>
      </c>
      <c r="M241" s="67">
        <f>'Combustão Móvel'!I306</f>
        <v>0</v>
      </c>
      <c r="N241" s="153"/>
      <c r="O241" s="153">
        <f t="shared" si="58"/>
        <v>0</v>
      </c>
      <c r="P241" s="153"/>
      <c r="Q241" s="153"/>
      <c r="R241" s="153">
        <f t="shared" si="59"/>
        <v>0</v>
      </c>
      <c r="S241" s="153">
        <f t="shared" si="60"/>
        <v>0</v>
      </c>
      <c r="T241" s="164">
        <f t="shared" si="61"/>
        <v>0</v>
      </c>
      <c r="U241" s="164">
        <f t="shared" si="62"/>
        <v>0</v>
      </c>
      <c r="V241" s="137" t="str">
        <f t="shared" si="63"/>
        <v/>
      </c>
      <c r="W241" s="137" t="str">
        <f t="shared" si="64"/>
        <v/>
      </c>
      <c r="X241" s="137" t="str">
        <f t="shared" si="65"/>
        <v/>
      </c>
    </row>
    <row r="242" spans="2:24" ht="15" thickBot="1" x14ac:dyDescent="0.4">
      <c r="B242" s="1155"/>
      <c r="C242" s="37">
        <f>'Combustão Móvel'!B307</f>
        <v>0</v>
      </c>
      <c r="D242" s="159" t="str">
        <f>'Combustão Móvel'!Q307</f>
        <v/>
      </c>
      <c r="E242" s="153">
        <f>'Combustão Móvel'!H307</f>
        <v>0</v>
      </c>
      <c r="F242" s="153">
        <f t="shared" si="72"/>
        <v>0</v>
      </c>
      <c r="G242" s="153">
        <f t="shared" si="73"/>
        <v>0</v>
      </c>
      <c r="H242" s="153">
        <f t="shared" si="74"/>
        <v>0</v>
      </c>
      <c r="I242" s="153">
        <f t="shared" si="75"/>
        <v>0</v>
      </c>
      <c r="J242" s="153">
        <f t="shared" si="76"/>
        <v>0</v>
      </c>
      <c r="K242" s="160">
        <f t="shared" si="77"/>
        <v>0</v>
      </c>
      <c r="L242" s="66">
        <f>'Combustão Móvel'!H307</f>
        <v>0</v>
      </c>
      <c r="M242" s="67">
        <f>'Combustão Móvel'!I307</f>
        <v>0</v>
      </c>
      <c r="N242" s="153"/>
      <c r="O242" s="153">
        <f t="shared" si="58"/>
        <v>0</v>
      </c>
      <c r="P242" s="153"/>
      <c r="Q242" s="153"/>
      <c r="R242" s="153">
        <f t="shared" si="59"/>
        <v>0</v>
      </c>
      <c r="S242" s="153">
        <f t="shared" si="60"/>
        <v>0</v>
      </c>
      <c r="T242" s="164">
        <f t="shared" si="61"/>
        <v>0</v>
      </c>
      <c r="U242" s="164">
        <f t="shared" si="62"/>
        <v>0</v>
      </c>
      <c r="V242" s="137" t="str">
        <f t="shared" si="63"/>
        <v/>
      </c>
      <c r="W242" s="137" t="str">
        <f t="shared" si="64"/>
        <v/>
      </c>
      <c r="X242" s="137" t="str">
        <f t="shared" si="65"/>
        <v/>
      </c>
    </row>
    <row r="243" spans="2:24" ht="15" thickBot="1" x14ac:dyDescent="0.4">
      <c r="B243" s="1155"/>
      <c r="C243" s="37">
        <f>'Combustão Móvel'!B308</f>
        <v>0</v>
      </c>
      <c r="D243" s="159" t="str">
        <f>'Combustão Móvel'!Q308</f>
        <v/>
      </c>
      <c r="E243" s="153">
        <f>'Combustão Móvel'!H308</f>
        <v>0</v>
      </c>
      <c r="F243" s="153">
        <f t="shared" si="72"/>
        <v>0</v>
      </c>
      <c r="G243" s="153">
        <f t="shared" si="73"/>
        <v>0</v>
      </c>
      <c r="H243" s="153">
        <f t="shared" si="74"/>
        <v>0</v>
      </c>
      <c r="I243" s="153">
        <f t="shared" si="75"/>
        <v>0</v>
      </c>
      <c r="J243" s="153">
        <f t="shared" si="76"/>
        <v>0</v>
      </c>
      <c r="K243" s="160">
        <f t="shared" si="77"/>
        <v>0</v>
      </c>
      <c r="L243" s="66">
        <f>'Combustão Móvel'!H308</f>
        <v>0</v>
      </c>
      <c r="M243" s="67">
        <f>'Combustão Móvel'!I308</f>
        <v>0</v>
      </c>
      <c r="N243" s="153"/>
      <c r="O243" s="153">
        <f t="shared" si="58"/>
        <v>0</v>
      </c>
      <c r="P243" s="153"/>
      <c r="Q243" s="153"/>
      <c r="R243" s="153">
        <f t="shared" si="59"/>
        <v>0</v>
      </c>
      <c r="S243" s="153">
        <f t="shared" si="60"/>
        <v>0</v>
      </c>
      <c r="T243" s="164">
        <f t="shared" si="61"/>
        <v>0</v>
      </c>
      <c r="U243" s="164">
        <f t="shared" si="62"/>
        <v>0</v>
      </c>
      <c r="V243" s="137" t="str">
        <f t="shared" si="63"/>
        <v/>
      </c>
      <c r="W243" s="137" t="str">
        <f t="shared" si="64"/>
        <v/>
      </c>
      <c r="X243" s="137" t="str">
        <f t="shared" si="65"/>
        <v/>
      </c>
    </row>
    <row r="244" spans="2:24" ht="15" thickBot="1" x14ac:dyDescent="0.4">
      <c r="B244" s="1155"/>
      <c r="C244" s="37">
        <f>'Combustão Móvel'!B309</f>
        <v>0</v>
      </c>
      <c r="D244" s="159" t="str">
        <f>'Combustão Móvel'!Q309</f>
        <v/>
      </c>
      <c r="E244" s="153">
        <f>'Combustão Móvel'!H309</f>
        <v>0</v>
      </c>
      <c r="F244" s="153">
        <f t="shared" si="72"/>
        <v>0</v>
      </c>
      <c r="G244" s="153">
        <f t="shared" si="73"/>
        <v>0</v>
      </c>
      <c r="H244" s="153">
        <f t="shared" si="74"/>
        <v>0</v>
      </c>
      <c r="I244" s="153">
        <f t="shared" si="75"/>
        <v>0</v>
      </c>
      <c r="J244" s="153">
        <f t="shared" si="76"/>
        <v>0</v>
      </c>
      <c r="K244" s="160">
        <f t="shared" si="77"/>
        <v>0</v>
      </c>
      <c r="L244" s="66">
        <f>'Combustão Móvel'!H309</f>
        <v>0</v>
      </c>
      <c r="M244" s="67">
        <f>'Combustão Móvel'!I309</f>
        <v>0</v>
      </c>
      <c r="N244" s="153"/>
      <c r="O244" s="153">
        <f t="shared" si="58"/>
        <v>0</v>
      </c>
      <c r="P244" s="153"/>
      <c r="Q244" s="153"/>
      <c r="R244" s="153">
        <f t="shared" si="59"/>
        <v>0</v>
      </c>
      <c r="S244" s="153">
        <f t="shared" si="60"/>
        <v>0</v>
      </c>
      <c r="T244" s="164">
        <f t="shared" si="61"/>
        <v>0</v>
      </c>
      <c r="U244" s="164">
        <f t="shared" si="62"/>
        <v>0</v>
      </c>
      <c r="V244" s="137" t="str">
        <f t="shared" si="63"/>
        <v/>
      </c>
      <c r="W244" s="137" t="str">
        <f t="shared" si="64"/>
        <v/>
      </c>
      <c r="X244" s="137" t="str">
        <f t="shared" si="65"/>
        <v/>
      </c>
    </row>
    <row r="245" spans="2:24" ht="15" thickBot="1" x14ac:dyDescent="0.4">
      <c r="B245" s="1155"/>
      <c r="C245" s="37">
        <f>'Combustão Móvel'!B310</f>
        <v>0</v>
      </c>
      <c r="D245" s="159" t="str">
        <f>'Combustão Móvel'!Q310</f>
        <v/>
      </c>
      <c r="E245" s="153">
        <f>'Combustão Móvel'!H310</f>
        <v>0</v>
      </c>
      <c r="F245" s="153">
        <f t="shared" si="72"/>
        <v>0</v>
      </c>
      <c r="G245" s="153">
        <f t="shared" si="73"/>
        <v>0</v>
      </c>
      <c r="H245" s="153">
        <f t="shared" si="74"/>
        <v>0</v>
      </c>
      <c r="I245" s="153">
        <f t="shared" si="75"/>
        <v>0</v>
      </c>
      <c r="J245" s="153">
        <f t="shared" si="76"/>
        <v>0</v>
      </c>
      <c r="K245" s="160">
        <f t="shared" si="77"/>
        <v>0</v>
      </c>
      <c r="L245" s="66">
        <f>'Combustão Móvel'!H310</f>
        <v>0</v>
      </c>
      <c r="M245" s="67">
        <f>'Combustão Móvel'!I310</f>
        <v>0</v>
      </c>
      <c r="N245" s="153"/>
      <c r="O245" s="153">
        <f t="shared" si="58"/>
        <v>0</v>
      </c>
      <c r="P245" s="153"/>
      <c r="Q245" s="153"/>
      <c r="R245" s="153">
        <f t="shared" si="59"/>
        <v>0</v>
      </c>
      <c r="S245" s="153">
        <f t="shared" si="60"/>
        <v>0</v>
      </c>
      <c r="T245" s="164">
        <f t="shared" si="61"/>
        <v>0</v>
      </c>
      <c r="U245" s="164">
        <f t="shared" si="62"/>
        <v>0</v>
      </c>
      <c r="V245" s="137" t="str">
        <f t="shared" si="63"/>
        <v/>
      </c>
      <c r="W245" s="137" t="str">
        <f t="shared" si="64"/>
        <v/>
      </c>
      <c r="X245" s="137" t="str">
        <f t="shared" si="65"/>
        <v/>
      </c>
    </row>
    <row r="246" spans="2:24" ht="15" thickBot="1" x14ac:dyDescent="0.4">
      <c r="B246" s="1155"/>
      <c r="C246" s="37">
        <f>'Combustão Móvel'!B311</f>
        <v>0</v>
      </c>
      <c r="D246" s="159" t="str">
        <f>'Combustão Móvel'!Q311</f>
        <v/>
      </c>
      <c r="E246" s="153">
        <f>'Combustão Móvel'!H311</f>
        <v>0</v>
      </c>
      <c r="F246" s="153">
        <f t="shared" si="72"/>
        <v>0</v>
      </c>
      <c r="G246" s="153">
        <f t="shared" si="73"/>
        <v>0</v>
      </c>
      <c r="H246" s="153">
        <f t="shared" si="74"/>
        <v>0</v>
      </c>
      <c r="I246" s="153">
        <f t="shared" si="75"/>
        <v>0</v>
      </c>
      <c r="J246" s="153">
        <f t="shared" si="76"/>
        <v>0</v>
      </c>
      <c r="K246" s="160">
        <f t="shared" si="77"/>
        <v>0</v>
      </c>
      <c r="L246" s="66">
        <f>'Combustão Móvel'!H311</f>
        <v>0</v>
      </c>
      <c r="M246" s="67">
        <f>'Combustão Móvel'!I311</f>
        <v>0</v>
      </c>
      <c r="N246" s="153"/>
      <c r="O246" s="153">
        <f t="shared" si="58"/>
        <v>0</v>
      </c>
      <c r="P246" s="153"/>
      <c r="Q246" s="153"/>
      <c r="R246" s="153">
        <f t="shared" si="59"/>
        <v>0</v>
      </c>
      <c r="S246" s="153">
        <f t="shared" si="60"/>
        <v>0</v>
      </c>
      <c r="T246" s="164">
        <f t="shared" si="61"/>
        <v>0</v>
      </c>
      <c r="U246" s="164">
        <f t="shared" si="62"/>
        <v>0</v>
      </c>
      <c r="V246" s="137" t="str">
        <f t="shared" si="63"/>
        <v/>
      </c>
      <c r="W246" s="137" t="str">
        <f t="shared" si="64"/>
        <v/>
      </c>
      <c r="X246" s="137" t="str">
        <f t="shared" si="65"/>
        <v/>
      </c>
    </row>
    <row r="247" spans="2:24" ht="15" thickBot="1" x14ac:dyDescent="0.4">
      <c r="B247" s="1155"/>
      <c r="C247" s="37">
        <f>'Combustão Móvel'!B312</f>
        <v>0</v>
      </c>
      <c r="D247" s="159" t="str">
        <f>'Combustão Móvel'!Q312</f>
        <v/>
      </c>
      <c r="E247" s="153">
        <f>'Combustão Móvel'!H312</f>
        <v>0</v>
      </c>
      <c r="F247" s="153">
        <f t="shared" si="72"/>
        <v>0</v>
      </c>
      <c r="G247" s="153">
        <f t="shared" si="73"/>
        <v>0</v>
      </c>
      <c r="H247" s="153">
        <f t="shared" si="74"/>
        <v>0</v>
      </c>
      <c r="I247" s="153">
        <f t="shared" si="75"/>
        <v>0</v>
      </c>
      <c r="J247" s="153">
        <f t="shared" si="76"/>
        <v>0</v>
      </c>
      <c r="K247" s="160">
        <f t="shared" si="77"/>
        <v>0</v>
      </c>
      <c r="L247" s="66">
        <f>'Combustão Móvel'!H312</f>
        <v>0</v>
      </c>
      <c r="M247" s="67">
        <f>'Combustão Móvel'!I312</f>
        <v>0</v>
      </c>
      <c r="N247" s="153"/>
      <c r="O247" s="153">
        <f t="shared" si="58"/>
        <v>0</v>
      </c>
      <c r="P247" s="153"/>
      <c r="Q247" s="153"/>
      <c r="R247" s="153">
        <f t="shared" si="59"/>
        <v>0</v>
      </c>
      <c r="S247" s="153">
        <f t="shared" si="60"/>
        <v>0</v>
      </c>
      <c r="T247" s="164">
        <f t="shared" si="61"/>
        <v>0</v>
      </c>
      <c r="U247" s="164">
        <f t="shared" si="62"/>
        <v>0</v>
      </c>
      <c r="V247" s="137" t="str">
        <f t="shared" si="63"/>
        <v/>
      </c>
      <c r="W247" s="137" t="str">
        <f t="shared" si="64"/>
        <v/>
      </c>
      <c r="X247" s="137" t="str">
        <f t="shared" si="65"/>
        <v/>
      </c>
    </row>
    <row r="248" spans="2:24" ht="15" thickBot="1" x14ac:dyDescent="0.4">
      <c r="B248" s="1155"/>
      <c r="C248" s="37">
        <f>'Combustão Móvel'!B313</f>
        <v>0</v>
      </c>
      <c r="D248" s="159" t="str">
        <f>'Combustão Móvel'!Q313</f>
        <v/>
      </c>
      <c r="E248" s="153">
        <f>'Combustão Móvel'!H313</f>
        <v>0</v>
      </c>
      <c r="F248" s="153">
        <f t="shared" si="72"/>
        <v>0</v>
      </c>
      <c r="G248" s="153">
        <f t="shared" si="73"/>
        <v>0</v>
      </c>
      <c r="H248" s="153">
        <f t="shared" si="74"/>
        <v>0</v>
      </c>
      <c r="I248" s="153">
        <f t="shared" si="75"/>
        <v>0</v>
      </c>
      <c r="J248" s="153">
        <f t="shared" si="76"/>
        <v>0</v>
      </c>
      <c r="K248" s="160">
        <f t="shared" si="77"/>
        <v>0</v>
      </c>
      <c r="L248" s="66">
        <f>'Combustão Móvel'!H313</f>
        <v>0</v>
      </c>
      <c r="M248" s="67">
        <f>'Combustão Móvel'!I313</f>
        <v>0</v>
      </c>
      <c r="N248" s="153"/>
      <c r="O248" s="153">
        <f t="shared" si="58"/>
        <v>0</v>
      </c>
      <c r="P248" s="153"/>
      <c r="Q248" s="153"/>
      <c r="R248" s="153">
        <f t="shared" si="59"/>
        <v>0</v>
      </c>
      <c r="S248" s="153">
        <f t="shared" si="60"/>
        <v>0</v>
      </c>
      <c r="T248" s="164">
        <f t="shared" si="61"/>
        <v>0</v>
      </c>
      <c r="U248" s="164">
        <f t="shared" si="62"/>
        <v>0</v>
      </c>
      <c r="V248" s="137" t="str">
        <f t="shared" si="63"/>
        <v/>
      </c>
      <c r="W248" s="137" t="str">
        <f t="shared" si="64"/>
        <v/>
      </c>
      <c r="X248" s="137" t="str">
        <f t="shared" si="65"/>
        <v/>
      </c>
    </row>
    <row r="249" spans="2:24" ht="15" thickBot="1" x14ac:dyDescent="0.4">
      <c r="B249" s="1155"/>
      <c r="C249" s="37">
        <f>'Combustão Móvel'!B314</f>
        <v>0</v>
      </c>
      <c r="D249" s="159" t="str">
        <f>'Combustão Móvel'!Q314</f>
        <v/>
      </c>
      <c r="E249" s="153">
        <f>'Combustão Móvel'!H314</f>
        <v>0</v>
      </c>
      <c r="F249" s="153">
        <f t="shared" si="72"/>
        <v>0</v>
      </c>
      <c r="G249" s="153">
        <f t="shared" si="73"/>
        <v>0</v>
      </c>
      <c r="H249" s="153">
        <f t="shared" si="74"/>
        <v>0</v>
      </c>
      <c r="I249" s="153">
        <f t="shared" si="75"/>
        <v>0</v>
      </c>
      <c r="J249" s="153">
        <f t="shared" si="76"/>
        <v>0</v>
      </c>
      <c r="K249" s="160">
        <f t="shared" si="77"/>
        <v>0</v>
      </c>
      <c r="L249" s="66">
        <f>'Combustão Móvel'!H314</f>
        <v>0</v>
      </c>
      <c r="M249" s="67">
        <f>'Combustão Móvel'!I314</f>
        <v>0</v>
      </c>
      <c r="N249" s="153"/>
      <c r="O249" s="153">
        <f t="shared" si="58"/>
        <v>0</v>
      </c>
      <c r="P249" s="153"/>
      <c r="Q249" s="153"/>
      <c r="R249" s="153">
        <f t="shared" si="59"/>
        <v>0</v>
      </c>
      <c r="S249" s="153">
        <f t="shared" si="60"/>
        <v>0</v>
      </c>
      <c r="T249" s="164">
        <f t="shared" si="61"/>
        <v>0</v>
      </c>
      <c r="U249" s="164">
        <f t="shared" si="62"/>
        <v>0</v>
      </c>
      <c r="V249" s="137" t="str">
        <f t="shared" si="63"/>
        <v/>
      </c>
      <c r="W249" s="137" t="str">
        <f t="shared" si="64"/>
        <v/>
      </c>
      <c r="X249" s="137" t="str">
        <f t="shared" si="65"/>
        <v/>
      </c>
    </row>
    <row r="250" spans="2:24" ht="15" thickBot="1" x14ac:dyDescent="0.4">
      <c r="B250" s="1155"/>
      <c r="C250" s="37">
        <f>'Combustão Móvel'!B315</f>
        <v>0</v>
      </c>
      <c r="D250" s="159" t="str">
        <f>'Combustão Móvel'!Q315</f>
        <v/>
      </c>
      <c r="E250" s="153">
        <f>'Combustão Móvel'!H315</f>
        <v>0</v>
      </c>
      <c r="F250" s="153">
        <f t="shared" si="72"/>
        <v>0</v>
      </c>
      <c r="G250" s="153">
        <f t="shared" si="73"/>
        <v>0</v>
      </c>
      <c r="H250" s="153">
        <f t="shared" si="74"/>
        <v>0</v>
      </c>
      <c r="I250" s="153">
        <f t="shared" si="75"/>
        <v>0</v>
      </c>
      <c r="J250" s="153">
        <f t="shared" si="76"/>
        <v>0</v>
      </c>
      <c r="K250" s="160">
        <f t="shared" si="77"/>
        <v>0</v>
      </c>
      <c r="L250" s="66">
        <f>'Combustão Móvel'!H315</f>
        <v>0</v>
      </c>
      <c r="M250" s="67">
        <f>'Combustão Móvel'!I315</f>
        <v>0</v>
      </c>
      <c r="N250" s="153"/>
      <c r="O250" s="153">
        <f t="shared" si="58"/>
        <v>0</v>
      </c>
      <c r="P250" s="153"/>
      <c r="Q250" s="153"/>
      <c r="R250" s="153">
        <f t="shared" si="59"/>
        <v>0</v>
      </c>
      <c r="S250" s="153">
        <f t="shared" si="60"/>
        <v>0</v>
      </c>
      <c r="T250" s="164">
        <f t="shared" si="61"/>
        <v>0</v>
      </c>
      <c r="U250" s="164">
        <f t="shared" si="62"/>
        <v>0</v>
      </c>
      <c r="V250" s="137" t="str">
        <f t="shared" si="63"/>
        <v/>
      </c>
      <c r="W250" s="137" t="str">
        <f t="shared" si="64"/>
        <v/>
      </c>
      <c r="X250" s="137" t="str">
        <f t="shared" si="65"/>
        <v/>
      </c>
    </row>
    <row r="251" spans="2:24" ht="15" thickBot="1" x14ac:dyDescent="0.4">
      <c r="B251" s="1155"/>
      <c r="C251" s="37">
        <f>'Combustão Móvel'!B316</f>
        <v>0</v>
      </c>
      <c r="D251" s="159" t="str">
        <f>'Combustão Móvel'!Q316</f>
        <v/>
      </c>
      <c r="E251" s="153">
        <f>'Combustão Móvel'!H316</f>
        <v>0</v>
      </c>
      <c r="F251" s="153">
        <f t="shared" si="72"/>
        <v>0</v>
      </c>
      <c r="G251" s="153">
        <f t="shared" si="73"/>
        <v>0</v>
      </c>
      <c r="H251" s="153">
        <f t="shared" si="74"/>
        <v>0</v>
      </c>
      <c r="I251" s="153">
        <f t="shared" si="75"/>
        <v>0</v>
      </c>
      <c r="J251" s="153">
        <f t="shared" si="76"/>
        <v>0</v>
      </c>
      <c r="K251" s="160">
        <f t="shared" si="77"/>
        <v>0</v>
      </c>
      <c r="L251" s="66">
        <f>'Combustão Móvel'!H316</f>
        <v>0</v>
      </c>
      <c r="M251" s="67">
        <f>'Combustão Móvel'!I316</f>
        <v>0</v>
      </c>
      <c r="N251" s="153"/>
      <c r="O251" s="153">
        <f t="shared" si="58"/>
        <v>0</v>
      </c>
      <c r="P251" s="153"/>
      <c r="Q251" s="153"/>
      <c r="R251" s="153">
        <f t="shared" si="59"/>
        <v>0</v>
      </c>
      <c r="S251" s="153">
        <f t="shared" si="60"/>
        <v>0</v>
      </c>
      <c r="T251" s="164">
        <f t="shared" si="61"/>
        <v>0</v>
      </c>
      <c r="U251" s="164">
        <f t="shared" si="62"/>
        <v>0</v>
      </c>
      <c r="V251" s="137" t="str">
        <f t="shared" si="63"/>
        <v/>
      </c>
      <c r="W251" s="137" t="str">
        <f t="shared" si="64"/>
        <v/>
      </c>
      <c r="X251" s="137" t="str">
        <f t="shared" si="65"/>
        <v/>
      </c>
    </row>
    <row r="252" spans="2:24" ht="15" thickBot="1" x14ac:dyDescent="0.4">
      <c r="B252" s="1155"/>
      <c r="C252" s="37">
        <f>'Combustão Móvel'!B317</f>
        <v>0</v>
      </c>
      <c r="D252" s="159" t="str">
        <f>'Combustão Móvel'!Q317</f>
        <v/>
      </c>
      <c r="E252" s="153">
        <f>'Combustão Móvel'!H317</f>
        <v>0</v>
      </c>
      <c r="F252" s="153">
        <f t="shared" si="72"/>
        <v>0</v>
      </c>
      <c r="G252" s="153">
        <f t="shared" si="73"/>
        <v>0</v>
      </c>
      <c r="H252" s="153">
        <f t="shared" si="74"/>
        <v>0</v>
      </c>
      <c r="I252" s="153">
        <f t="shared" si="75"/>
        <v>0</v>
      </c>
      <c r="J252" s="153">
        <f t="shared" si="76"/>
        <v>0</v>
      </c>
      <c r="K252" s="160">
        <f t="shared" si="77"/>
        <v>0</v>
      </c>
      <c r="L252" s="66">
        <f>'Combustão Móvel'!H317</f>
        <v>0</v>
      </c>
      <c r="M252" s="67">
        <f>'Combustão Móvel'!I317</f>
        <v>0</v>
      </c>
      <c r="N252" s="153"/>
      <c r="O252" s="153">
        <f t="shared" si="58"/>
        <v>0</v>
      </c>
      <c r="P252" s="153"/>
      <c r="Q252" s="153"/>
      <c r="R252" s="153">
        <f t="shared" si="59"/>
        <v>0</v>
      </c>
      <c r="S252" s="153">
        <f t="shared" si="60"/>
        <v>0</v>
      </c>
      <c r="T252" s="164">
        <f t="shared" si="61"/>
        <v>0</v>
      </c>
      <c r="U252" s="164">
        <f t="shared" si="62"/>
        <v>0</v>
      </c>
      <c r="V252" s="137" t="str">
        <f t="shared" si="63"/>
        <v/>
      </c>
      <c r="W252" s="137" t="str">
        <f t="shared" si="64"/>
        <v/>
      </c>
      <c r="X252" s="137" t="str">
        <f t="shared" si="65"/>
        <v/>
      </c>
    </row>
    <row r="253" spans="2:24" ht="15" thickBot="1" x14ac:dyDescent="0.4">
      <c r="B253" s="1155"/>
      <c r="C253" s="37">
        <f>'Combustão Móvel'!B318</f>
        <v>0</v>
      </c>
      <c r="D253" s="159" t="str">
        <f>'Combustão Móvel'!Q318</f>
        <v/>
      </c>
      <c r="E253" s="153">
        <f>'Combustão Móvel'!H318</f>
        <v>0</v>
      </c>
      <c r="F253" s="153">
        <f t="shared" si="72"/>
        <v>0</v>
      </c>
      <c r="G253" s="153">
        <f t="shared" si="73"/>
        <v>0</v>
      </c>
      <c r="H253" s="153">
        <f t="shared" si="74"/>
        <v>0</v>
      </c>
      <c r="I253" s="153">
        <f t="shared" si="75"/>
        <v>0</v>
      </c>
      <c r="J253" s="153">
        <f t="shared" si="76"/>
        <v>0</v>
      </c>
      <c r="K253" s="160">
        <f t="shared" si="77"/>
        <v>0</v>
      </c>
      <c r="L253" s="66">
        <f>'Combustão Móvel'!H318</f>
        <v>0</v>
      </c>
      <c r="M253" s="67">
        <f>'Combustão Móvel'!I318</f>
        <v>0</v>
      </c>
      <c r="N253" s="153"/>
      <c r="O253" s="153">
        <f t="shared" si="58"/>
        <v>0</v>
      </c>
      <c r="P253" s="153"/>
      <c r="Q253" s="153"/>
      <c r="R253" s="153">
        <f t="shared" si="59"/>
        <v>0</v>
      </c>
      <c r="S253" s="153">
        <f t="shared" si="60"/>
        <v>0</v>
      </c>
      <c r="T253" s="164">
        <f t="shared" si="61"/>
        <v>0</v>
      </c>
      <c r="U253" s="164">
        <f t="shared" si="62"/>
        <v>0</v>
      </c>
      <c r="V253" s="137" t="str">
        <f t="shared" si="63"/>
        <v/>
      </c>
      <c r="W253" s="137" t="str">
        <f t="shared" si="64"/>
        <v/>
      </c>
      <c r="X253" s="137" t="str">
        <f t="shared" si="65"/>
        <v/>
      </c>
    </row>
    <row r="254" spans="2:24" ht="15" thickBot="1" x14ac:dyDescent="0.4">
      <c r="B254" s="1155"/>
      <c r="C254" s="37">
        <f>'Combustão Móvel'!B319</f>
        <v>0</v>
      </c>
      <c r="D254" s="159" t="str">
        <f>'Combustão Móvel'!Q319</f>
        <v/>
      </c>
      <c r="E254" s="153">
        <f>'Combustão Móvel'!H319</f>
        <v>0</v>
      </c>
      <c r="F254" s="153">
        <f t="shared" si="72"/>
        <v>0</v>
      </c>
      <c r="G254" s="153">
        <f t="shared" si="73"/>
        <v>0</v>
      </c>
      <c r="H254" s="153">
        <f t="shared" si="74"/>
        <v>0</v>
      </c>
      <c r="I254" s="153">
        <f t="shared" si="75"/>
        <v>0</v>
      </c>
      <c r="J254" s="153">
        <f t="shared" si="76"/>
        <v>0</v>
      </c>
      <c r="K254" s="160">
        <f t="shared" si="77"/>
        <v>0</v>
      </c>
      <c r="L254" s="66">
        <f>'Combustão Móvel'!H319</f>
        <v>0</v>
      </c>
      <c r="M254" s="67">
        <f>'Combustão Móvel'!I319</f>
        <v>0</v>
      </c>
      <c r="N254" s="153"/>
      <c r="O254" s="153">
        <f t="shared" si="58"/>
        <v>0</v>
      </c>
      <c r="P254" s="153"/>
      <c r="Q254" s="153"/>
      <c r="R254" s="153">
        <f t="shared" si="59"/>
        <v>0</v>
      </c>
      <c r="S254" s="153">
        <f t="shared" si="60"/>
        <v>0</v>
      </c>
      <c r="T254" s="164">
        <f t="shared" si="61"/>
        <v>0</v>
      </c>
      <c r="U254" s="164">
        <f t="shared" si="62"/>
        <v>0</v>
      </c>
      <c r="V254" s="137" t="str">
        <f t="shared" si="63"/>
        <v/>
      </c>
      <c r="W254" s="137" t="str">
        <f t="shared" si="64"/>
        <v/>
      </c>
      <c r="X254" s="137" t="str">
        <f t="shared" si="65"/>
        <v/>
      </c>
    </row>
    <row r="255" spans="2:24" ht="15" thickBot="1" x14ac:dyDescent="0.4">
      <c r="B255" s="1155"/>
      <c r="C255" s="37">
        <f>'Combustão Móvel'!B320</f>
        <v>0</v>
      </c>
      <c r="D255" s="159" t="str">
        <f>'Combustão Móvel'!Q320</f>
        <v/>
      </c>
      <c r="E255" s="153">
        <f>'Combustão Móvel'!H320</f>
        <v>0</v>
      </c>
      <c r="F255" s="153">
        <f t="shared" si="72"/>
        <v>0</v>
      </c>
      <c r="G255" s="153">
        <f t="shared" si="73"/>
        <v>0</v>
      </c>
      <c r="H255" s="153">
        <f t="shared" si="74"/>
        <v>0</v>
      </c>
      <c r="I255" s="153">
        <f t="shared" si="75"/>
        <v>0</v>
      </c>
      <c r="J255" s="153">
        <f t="shared" si="76"/>
        <v>0</v>
      </c>
      <c r="K255" s="160">
        <f t="shared" si="77"/>
        <v>0</v>
      </c>
      <c r="L255" s="66">
        <f>'Combustão Móvel'!H320</f>
        <v>0</v>
      </c>
      <c r="M255" s="67">
        <f>'Combustão Móvel'!I320</f>
        <v>0</v>
      </c>
      <c r="N255" s="153"/>
      <c r="O255" s="153">
        <f t="shared" si="58"/>
        <v>0</v>
      </c>
      <c r="P255" s="153"/>
      <c r="Q255" s="153"/>
      <c r="R255" s="153">
        <f t="shared" si="59"/>
        <v>0</v>
      </c>
      <c r="S255" s="153">
        <f t="shared" si="60"/>
        <v>0</v>
      </c>
      <c r="T255" s="164">
        <f t="shared" si="61"/>
        <v>0</v>
      </c>
      <c r="U255" s="164">
        <f t="shared" si="62"/>
        <v>0</v>
      </c>
      <c r="V255" s="137" t="str">
        <f t="shared" si="63"/>
        <v/>
      </c>
      <c r="W255" s="137" t="str">
        <f t="shared" si="64"/>
        <v/>
      </c>
      <c r="X255" s="137" t="str">
        <f t="shared" si="65"/>
        <v/>
      </c>
    </row>
    <row r="256" spans="2:24" ht="15" thickBot="1" x14ac:dyDescent="0.4">
      <c r="B256" s="1155"/>
      <c r="C256" s="37">
        <f>'Combustão Móvel'!B321</f>
        <v>0</v>
      </c>
      <c r="D256" s="159" t="str">
        <f>'Combustão Móvel'!Q321</f>
        <v/>
      </c>
      <c r="E256" s="153">
        <f>'Combustão Móvel'!H321</f>
        <v>0</v>
      </c>
      <c r="F256" s="153">
        <f t="shared" si="72"/>
        <v>0</v>
      </c>
      <c r="G256" s="153">
        <f t="shared" si="73"/>
        <v>0</v>
      </c>
      <c r="H256" s="153">
        <f t="shared" si="74"/>
        <v>0</v>
      </c>
      <c r="I256" s="153">
        <f t="shared" si="75"/>
        <v>0</v>
      </c>
      <c r="J256" s="153">
        <f t="shared" si="76"/>
        <v>0</v>
      </c>
      <c r="K256" s="160">
        <f t="shared" si="77"/>
        <v>0</v>
      </c>
      <c r="L256" s="66">
        <f>'Combustão Móvel'!H321</f>
        <v>0</v>
      </c>
      <c r="M256" s="67">
        <f>'Combustão Móvel'!I321</f>
        <v>0</v>
      </c>
      <c r="N256" s="153"/>
      <c r="O256" s="153">
        <f t="shared" si="58"/>
        <v>0</v>
      </c>
      <c r="P256" s="153"/>
      <c r="Q256" s="153"/>
      <c r="R256" s="153">
        <f t="shared" si="59"/>
        <v>0</v>
      </c>
      <c r="S256" s="153">
        <f t="shared" si="60"/>
        <v>0</v>
      </c>
      <c r="T256" s="164">
        <f t="shared" si="61"/>
        <v>0</v>
      </c>
      <c r="U256" s="164">
        <f t="shared" si="62"/>
        <v>0</v>
      </c>
      <c r="V256" s="137" t="str">
        <f t="shared" si="63"/>
        <v/>
      </c>
      <c r="W256" s="137" t="str">
        <f t="shared" si="64"/>
        <v/>
      </c>
      <c r="X256" s="137" t="str">
        <f t="shared" si="65"/>
        <v/>
      </c>
    </row>
    <row r="257" spans="2:24" ht="15" thickBot="1" x14ac:dyDescent="0.4">
      <c r="B257" s="1155"/>
      <c r="C257" s="37">
        <f>'Combustão Móvel'!B322</f>
        <v>0</v>
      </c>
      <c r="D257" s="159" t="str">
        <f>'Combustão Móvel'!Q322</f>
        <v/>
      </c>
      <c r="E257" s="153">
        <f>'Combustão Móvel'!H322</f>
        <v>0</v>
      </c>
      <c r="F257" s="153">
        <f t="shared" si="72"/>
        <v>0</v>
      </c>
      <c r="G257" s="153">
        <f t="shared" si="73"/>
        <v>0</v>
      </c>
      <c r="H257" s="153">
        <f t="shared" si="74"/>
        <v>0</v>
      </c>
      <c r="I257" s="153">
        <f t="shared" si="75"/>
        <v>0</v>
      </c>
      <c r="J257" s="153">
        <f t="shared" si="76"/>
        <v>0</v>
      </c>
      <c r="K257" s="160">
        <f t="shared" si="77"/>
        <v>0</v>
      </c>
      <c r="L257" s="66">
        <f>'Combustão Móvel'!H322</f>
        <v>0</v>
      </c>
      <c r="M257" s="67">
        <f>'Combustão Móvel'!I322</f>
        <v>0</v>
      </c>
      <c r="N257" s="153"/>
      <c r="O257" s="153">
        <f t="shared" si="58"/>
        <v>0</v>
      </c>
      <c r="P257" s="153"/>
      <c r="Q257" s="153"/>
      <c r="R257" s="153">
        <f t="shared" si="59"/>
        <v>0</v>
      </c>
      <c r="S257" s="153">
        <f t="shared" si="60"/>
        <v>0</v>
      </c>
      <c r="T257" s="164">
        <f t="shared" si="61"/>
        <v>0</v>
      </c>
      <c r="U257" s="164">
        <f t="shared" si="62"/>
        <v>0</v>
      </c>
      <c r="V257" s="137" t="str">
        <f t="shared" si="63"/>
        <v/>
      </c>
      <c r="W257" s="137" t="str">
        <f t="shared" si="64"/>
        <v/>
      </c>
      <c r="X257" s="137" t="str">
        <f t="shared" si="65"/>
        <v/>
      </c>
    </row>
    <row r="258" spans="2:24" ht="15" thickBot="1" x14ac:dyDescent="0.4">
      <c r="B258" s="1155"/>
      <c r="C258" s="37">
        <f>'Combustão Móvel'!B323</f>
        <v>0</v>
      </c>
      <c r="D258" s="159" t="str">
        <f>'Combustão Móvel'!Q323</f>
        <v/>
      </c>
      <c r="E258" s="153">
        <f>'Combustão Móvel'!H323</f>
        <v>0</v>
      </c>
      <c r="F258" s="153">
        <f t="shared" si="72"/>
        <v>0</v>
      </c>
      <c r="G258" s="153">
        <f t="shared" si="73"/>
        <v>0</v>
      </c>
      <c r="H258" s="153">
        <f t="shared" si="74"/>
        <v>0</v>
      </c>
      <c r="I258" s="153">
        <f t="shared" si="75"/>
        <v>0</v>
      </c>
      <c r="J258" s="153">
        <f t="shared" si="76"/>
        <v>0</v>
      </c>
      <c r="K258" s="160">
        <f t="shared" si="77"/>
        <v>0</v>
      </c>
      <c r="L258" s="66">
        <f>'Combustão Móvel'!H323</f>
        <v>0</v>
      </c>
      <c r="M258" s="67">
        <f>'Combustão Móvel'!I323</f>
        <v>0</v>
      </c>
      <c r="N258" s="153"/>
      <c r="O258" s="153">
        <f t="shared" si="58"/>
        <v>0</v>
      </c>
      <c r="P258" s="153"/>
      <c r="Q258" s="153"/>
      <c r="R258" s="153">
        <f t="shared" si="59"/>
        <v>0</v>
      </c>
      <c r="S258" s="153">
        <f t="shared" si="60"/>
        <v>0</v>
      </c>
      <c r="T258" s="164">
        <f t="shared" si="61"/>
        <v>0</v>
      </c>
      <c r="U258" s="164">
        <f t="shared" si="62"/>
        <v>0</v>
      </c>
      <c r="V258" s="137" t="str">
        <f t="shared" si="63"/>
        <v/>
      </c>
      <c r="W258" s="137" t="str">
        <f t="shared" si="64"/>
        <v/>
      </c>
      <c r="X258" s="137" t="str">
        <f t="shared" si="65"/>
        <v/>
      </c>
    </row>
    <row r="259" spans="2:24" ht="15" thickBot="1" x14ac:dyDescent="0.4">
      <c r="B259" s="1155"/>
      <c r="C259" s="37">
        <f>'Combustão Móvel'!B324</f>
        <v>0</v>
      </c>
      <c r="D259" s="159" t="str">
        <f>'Combustão Móvel'!Q324</f>
        <v/>
      </c>
      <c r="E259" s="153">
        <f>'Combustão Móvel'!H324</f>
        <v>0</v>
      </c>
      <c r="F259" s="153">
        <f t="shared" si="72"/>
        <v>0</v>
      </c>
      <c r="G259" s="153">
        <f t="shared" si="73"/>
        <v>0</v>
      </c>
      <c r="H259" s="153">
        <f t="shared" si="74"/>
        <v>0</v>
      </c>
      <c r="I259" s="153">
        <f t="shared" si="75"/>
        <v>0</v>
      </c>
      <c r="J259" s="153">
        <f t="shared" si="76"/>
        <v>0</v>
      </c>
      <c r="K259" s="160">
        <f t="shared" si="77"/>
        <v>0</v>
      </c>
      <c r="L259" s="66">
        <f>'Combustão Móvel'!H324</f>
        <v>0</v>
      </c>
      <c r="M259" s="67">
        <f>'Combustão Móvel'!I324</f>
        <v>0</v>
      </c>
      <c r="N259" s="153"/>
      <c r="O259" s="153">
        <f t="shared" si="58"/>
        <v>0</v>
      </c>
      <c r="P259" s="153"/>
      <c r="Q259" s="153"/>
      <c r="R259" s="153">
        <f t="shared" si="59"/>
        <v>0</v>
      </c>
      <c r="S259" s="153">
        <f t="shared" si="60"/>
        <v>0</v>
      </c>
      <c r="T259" s="164">
        <f t="shared" si="61"/>
        <v>0</v>
      </c>
      <c r="U259" s="164">
        <f t="shared" si="62"/>
        <v>0</v>
      </c>
      <c r="V259" s="137" t="str">
        <f t="shared" si="63"/>
        <v/>
      </c>
      <c r="W259" s="137" t="str">
        <f t="shared" si="64"/>
        <v/>
      </c>
      <c r="X259" s="137" t="str">
        <f t="shared" si="65"/>
        <v/>
      </c>
    </row>
    <row r="260" spans="2:24" ht="15" thickBot="1" x14ac:dyDescent="0.4">
      <c r="B260" s="1155"/>
      <c r="C260" s="37">
        <f>'Combustão Móvel'!B325</f>
        <v>0</v>
      </c>
      <c r="D260" s="159" t="str">
        <f>'Combustão Móvel'!Q325</f>
        <v/>
      </c>
      <c r="E260" s="153">
        <f>'Combustão Móvel'!H325</f>
        <v>0</v>
      </c>
      <c r="F260" s="153">
        <f t="shared" si="72"/>
        <v>0</v>
      </c>
      <c r="G260" s="153">
        <f t="shared" si="73"/>
        <v>0</v>
      </c>
      <c r="H260" s="153">
        <f t="shared" si="74"/>
        <v>0</v>
      </c>
      <c r="I260" s="153">
        <f t="shared" si="75"/>
        <v>0</v>
      </c>
      <c r="J260" s="153">
        <f t="shared" si="76"/>
        <v>0</v>
      </c>
      <c r="K260" s="160">
        <f t="shared" si="77"/>
        <v>0</v>
      </c>
      <c r="L260" s="66">
        <f>'Combustão Móvel'!H325</f>
        <v>0</v>
      </c>
      <c r="M260" s="67">
        <f>'Combustão Móvel'!I325</f>
        <v>0</v>
      </c>
      <c r="N260" s="153"/>
      <c r="O260" s="153">
        <f t="shared" si="58"/>
        <v>0</v>
      </c>
      <c r="P260" s="153"/>
      <c r="Q260" s="153"/>
      <c r="R260" s="153">
        <f t="shared" si="59"/>
        <v>0</v>
      </c>
      <c r="S260" s="153">
        <f t="shared" si="60"/>
        <v>0</v>
      </c>
      <c r="T260" s="164">
        <f t="shared" si="61"/>
        <v>0</v>
      </c>
      <c r="U260" s="164">
        <f t="shared" si="62"/>
        <v>0</v>
      </c>
      <c r="V260" s="137" t="str">
        <f t="shared" si="63"/>
        <v/>
      </c>
      <c r="W260" s="137" t="str">
        <f t="shared" si="64"/>
        <v/>
      </c>
      <c r="X260" s="137" t="str">
        <f t="shared" si="65"/>
        <v/>
      </c>
    </row>
    <row r="261" spans="2:24" ht="15" thickBot="1" x14ac:dyDescent="0.4">
      <c r="B261" s="1155"/>
      <c r="C261" s="37">
        <f>'Combustão Móvel'!B326</f>
        <v>0</v>
      </c>
      <c r="D261" s="159" t="str">
        <f>'Combustão Móvel'!Q326</f>
        <v/>
      </c>
      <c r="E261" s="153">
        <f>'Combustão Móvel'!H326</f>
        <v>0</v>
      </c>
      <c r="F261" s="153">
        <f t="shared" si="72"/>
        <v>0</v>
      </c>
      <c r="G261" s="153">
        <f t="shared" si="73"/>
        <v>0</v>
      </c>
      <c r="H261" s="153">
        <f t="shared" si="74"/>
        <v>0</v>
      </c>
      <c r="I261" s="153">
        <f t="shared" si="75"/>
        <v>0</v>
      </c>
      <c r="J261" s="153">
        <f t="shared" si="76"/>
        <v>0</v>
      </c>
      <c r="K261" s="160">
        <f t="shared" si="77"/>
        <v>0</v>
      </c>
      <c r="L261" s="66">
        <f>'Combustão Móvel'!H326</f>
        <v>0</v>
      </c>
      <c r="M261" s="67">
        <f>'Combustão Móvel'!I326</f>
        <v>0</v>
      </c>
      <c r="N261" s="153"/>
      <c r="O261" s="153">
        <f t="shared" si="58"/>
        <v>0</v>
      </c>
      <c r="P261" s="153"/>
      <c r="Q261" s="153"/>
      <c r="R261" s="153">
        <f t="shared" si="59"/>
        <v>0</v>
      </c>
      <c r="S261" s="153">
        <f t="shared" si="60"/>
        <v>0</v>
      </c>
      <c r="T261" s="164">
        <f t="shared" si="61"/>
        <v>0</v>
      </c>
      <c r="U261" s="164">
        <f t="shared" si="62"/>
        <v>0</v>
      </c>
      <c r="V261" s="137" t="str">
        <f t="shared" si="63"/>
        <v/>
      </c>
      <c r="W261" s="137" t="str">
        <f t="shared" si="64"/>
        <v/>
      </c>
      <c r="X261" s="137" t="str">
        <f t="shared" si="65"/>
        <v/>
      </c>
    </row>
    <row r="262" spans="2:24" ht="15" thickBot="1" x14ac:dyDescent="0.4">
      <c r="B262" s="1155"/>
      <c r="C262" s="37">
        <f>'Combustão Móvel'!B327</f>
        <v>0</v>
      </c>
      <c r="D262" s="159" t="str">
        <f>'Combustão Móvel'!Q327</f>
        <v/>
      </c>
      <c r="E262" s="153">
        <f>'Combustão Móvel'!H327</f>
        <v>0</v>
      </c>
      <c r="F262" s="153">
        <f t="shared" si="72"/>
        <v>0</v>
      </c>
      <c r="G262" s="153">
        <f t="shared" si="73"/>
        <v>0</v>
      </c>
      <c r="H262" s="153">
        <f t="shared" si="74"/>
        <v>0</v>
      </c>
      <c r="I262" s="153">
        <f t="shared" si="75"/>
        <v>0</v>
      </c>
      <c r="J262" s="153">
        <f t="shared" si="76"/>
        <v>0</v>
      </c>
      <c r="K262" s="160">
        <f t="shared" si="77"/>
        <v>0</v>
      </c>
      <c r="L262" s="66">
        <f>'Combustão Móvel'!H327</f>
        <v>0</v>
      </c>
      <c r="M262" s="67">
        <f>'Combustão Móvel'!I327</f>
        <v>0</v>
      </c>
      <c r="N262" s="153"/>
      <c r="O262" s="153">
        <f t="shared" si="58"/>
        <v>0</v>
      </c>
      <c r="P262" s="153"/>
      <c r="Q262" s="153"/>
      <c r="R262" s="153">
        <f t="shared" si="59"/>
        <v>0</v>
      </c>
      <c r="S262" s="153">
        <f t="shared" si="60"/>
        <v>0</v>
      </c>
      <c r="T262" s="164">
        <f t="shared" si="61"/>
        <v>0</v>
      </c>
      <c r="U262" s="164">
        <f t="shared" si="62"/>
        <v>0</v>
      </c>
      <c r="V262" s="137" t="str">
        <f t="shared" si="63"/>
        <v/>
      </c>
      <c r="W262" s="137" t="str">
        <f t="shared" si="64"/>
        <v/>
      </c>
      <c r="X262" s="137" t="str">
        <f t="shared" si="65"/>
        <v/>
      </c>
    </row>
    <row r="263" spans="2:24" ht="15" thickBot="1" x14ac:dyDescent="0.4">
      <c r="B263" s="1155"/>
      <c r="C263" s="37">
        <f>'Combustão Móvel'!B328</f>
        <v>0</v>
      </c>
      <c r="D263" s="159" t="str">
        <f>'Combustão Móvel'!Q328</f>
        <v/>
      </c>
      <c r="E263" s="153">
        <f>'Combustão Móvel'!H328</f>
        <v>0</v>
      </c>
      <c r="F263" s="153">
        <f t="shared" si="72"/>
        <v>0</v>
      </c>
      <c r="G263" s="153">
        <f t="shared" si="73"/>
        <v>0</v>
      </c>
      <c r="H263" s="153">
        <f t="shared" si="74"/>
        <v>0</v>
      </c>
      <c r="I263" s="153">
        <f t="shared" si="75"/>
        <v>0</v>
      </c>
      <c r="J263" s="153">
        <f t="shared" si="76"/>
        <v>0</v>
      </c>
      <c r="K263" s="160">
        <f t="shared" si="77"/>
        <v>0</v>
      </c>
      <c r="L263" s="66">
        <f>'Combustão Móvel'!H328</f>
        <v>0</v>
      </c>
      <c r="M263" s="67">
        <f>'Combustão Móvel'!I328</f>
        <v>0</v>
      </c>
      <c r="N263" s="153"/>
      <c r="O263" s="153">
        <f t="shared" si="58"/>
        <v>0</v>
      </c>
      <c r="P263" s="153"/>
      <c r="Q263" s="153"/>
      <c r="R263" s="153">
        <f t="shared" si="59"/>
        <v>0</v>
      </c>
      <c r="S263" s="153">
        <f t="shared" si="60"/>
        <v>0</v>
      </c>
      <c r="T263" s="164">
        <f t="shared" si="61"/>
        <v>0</v>
      </c>
      <c r="U263" s="164">
        <f t="shared" si="62"/>
        <v>0</v>
      </c>
      <c r="V263" s="137" t="str">
        <f t="shared" si="63"/>
        <v/>
      </c>
      <c r="W263" s="137" t="str">
        <f t="shared" si="64"/>
        <v/>
      </c>
      <c r="X263" s="137" t="str">
        <f t="shared" si="65"/>
        <v/>
      </c>
    </row>
    <row r="264" spans="2:24" ht="15" thickBot="1" x14ac:dyDescent="0.4">
      <c r="B264" s="1155"/>
      <c r="C264" s="37">
        <f>'Combustão Móvel'!B329</f>
        <v>0</v>
      </c>
      <c r="D264" s="159" t="str">
        <f>'Combustão Móvel'!Q329</f>
        <v/>
      </c>
      <c r="E264" s="153">
        <f>'Combustão Móvel'!H329</f>
        <v>0</v>
      </c>
      <c r="F264" s="153">
        <f t="shared" si="72"/>
        <v>0</v>
      </c>
      <c r="G264" s="153">
        <f t="shared" si="73"/>
        <v>0</v>
      </c>
      <c r="H264" s="153">
        <f t="shared" si="74"/>
        <v>0</v>
      </c>
      <c r="I264" s="153">
        <f t="shared" si="75"/>
        <v>0</v>
      </c>
      <c r="J264" s="153">
        <f t="shared" si="76"/>
        <v>0</v>
      </c>
      <c r="K264" s="160">
        <f t="shared" si="77"/>
        <v>0</v>
      </c>
      <c r="L264" s="66">
        <f>'Combustão Móvel'!H329</f>
        <v>0</v>
      </c>
      <c r="M264" s="67">
        <f>'Combustão Móvel'!I329</f>
        <v>0</v>
      </c>
      <c r="N264" s="153"/>
      <c r="O264" s="153">
        <f t="shared" si="58"/>
        <v>0</v>
      </c>
      <c r="P264" s="153"/>
      <c r="Q264" s="153"/>
      <c r="R264" s="153">
        <f t="shared" si="59"/>
        <v>0</v>
      </c>
      <c r="S264" s="153">
        <f t="shared" si="60"/>
        <v>0</v>
      </c>
      <c r="T264" s="164">
        <f t="shared" si="61"/>
        <v>0</v>
      </c>
      <c r="U264" s="164">
        <f t="shared" si="62"/>
        <v>0</v>
      </c>
      <c r="V264" s="137" t="str">
        <f t="shared" si="63"/>
        <v/>
      </c>
      <c r="W264" s="137" t="str">
        <f t="shared" si="64"/>
        <v/>
      </c>
      <c r="X264" s="137" t="str">
        <f t="shared" si="65"/>
        <v/>
      </c>
    </row>
    <row r="265" spans="2:24" ht="15" thickBot="1" x14ac:dyDescent="0.4">
      <c r="B265" s="1155"/>
      <c r="C265" s="37">
        <f>'Combustão Móvel'!B330</f>
        <v>0</v>
      </c>
      <c r="D265" s="159" t="str">
        <f>'Combustão Móvel'!Q330</f>
        <v/>
      </c>
      <c r="E265" s="153">
        <f>'Combustão Móvel'!H330</f>
        <v>0</v>
      </c>
      <c r="F265" s="153">
        <f t="shared" si="72"/>
        <v>0</v>
      </c>
      <c r="G265" s="153">
        <f t="shared" si="73"/>
        <v>0</v>
      </c>
      <c r="H265" s="153">
        <f t="shared" si="74"/>
        <v>0</v>
      </c>
      <c r="I265" s="153">
        <f t="shared" si="75"/>
        <v>0</v>
      </c>
      <c r="J265" s="153">
        <f t="shared" si="76"/>
        <v>0</v>
      </c>
      <c r="K265" s="160">
        <f t="shared" si="77"/>
        <v>0</v>
      </c>
      <c r="L265" s="66">
        <f>'Combustão Móvel'!H330</f>
        <v>0</v>
      </c>
      <c r="M265" s="67">
        <f>'Combustão Móvel'!I330</f>
        <v>0</v>
      </c>
      <c r="N265" s="153"/>
      <c r="O265" s="153">
        <f t="shared" si="58"/>
        <v>0</v>
      </c>
      <c r="P265" s="153"/>
      <c r="Q265" s="153"/>
      <c r="R265" s="153">
        <f t="shared" si="59"/>
        <v>0</v>
      </c>
      <c r="S265" s="153">
        <f t="shared" si="60"/>
        <v>0</v>
      </c>
      <c r="T265" s="164">
        <f t="shared" si="61"/>
        <v>0</v>
      </c>
      <c r="U265" s="164">
        <f t="shared" si="62"/>
        <v>0</v>
      </c>
      <c r="V265" s="137" t="str">
        <f t="shared" si="63"/>
        <v/>
      </c>
      <c r="W265" s="137" t="str">
        <f t="shared" si="64"/>
        <v/>
      </c>
      <c r="X265" s="137" t="str">
        <f t="shared" si="65"/>
        <v/>
      </c>
    </row>
    <row r="266" spans="2:24" ht="15" thickBot="1" x14ac:dyDescent="0.4">
      <c r="B266" s="1155"/>
      <c r="C266" s="37">
        <f>'Combustão Móvel'!B331</f>
        <v>0</v>
      </c>
      <c r="D266" s="159" t="str">
        <f>'Combustão Móvel'!Q331</f>
        <v/>
      </c>
      <c r="E266" s="153">
        <f>'Combustão Móvel'!H331</f>
        <v>0</v>
      </c>
      <c r="F266" s="153">
        <f t="shared" si="72"/>
        <v>0</v>
      </c>
      <c r="G266" s="153">
        <f t="shared" si="73"/>
        <v>0</v>
      </c>
      <c r="H266" s="153">
        <f t="shared" si="74"/>
        <v>0</v>
      </c>
      <c r="I266" s="153">
        <f t="shared" si="75"/>
        <v>0</v>
      </c>
      <c r="J266" s="153">
        <f t="shared" si="76"/>
        <v>0</v>
      </c>
      <c r="K266" s="160">
        <f t="shared" si="77"/>
        <v>0</v>
      </c>
      <c r="L266" s="66">
        <f>'Combustão Móvel'!H331</f>
        <v>0</v>
      </c>
      <c r="M266" s="67">
        <f>'Combustão Móvel'!I331</f>
        <v>0</v>
      </c>
      <c r="N266" s="153"/>
      <c r="O266" s="153">
        <f t="shared" si="58"/>
        <v>0</v>
      </c>
      <c r="P266" s="153"/>
      <c r="Q266" s="153"/>
      <c r="R266" s="153">
        <f t="shared" si="59"/>
        <v>0</v>
      </c>
      <c r="S266" s="153">
        <f t="shared" si="60"/>
        <v>0</v>
      </c>
      <c r="T266" s="164">
        <f t="shared" si="61"/>
        <v>0</v>
      </c>
      <c r="U266" s="164">
        <f t="shared" si="62"/>
        <v>0</v>
      </c>
      <c r="V266" s="137" t="str">
        <f t="shared" si="63"/>
        <v/>
      </c>
      <c r="W266" s="137" t="str">
        <f t="shared" si="64"/>
        <v/>
      </c>
      <c r="X266" s="137" t="str">
        <f t="shared" si="65"/>
        <v/>
      </c>
    </row>
    <row r="267" spans="2:24" ht="15" thickBot="1" x14ac:dyDescent="0.4">
      <c r="B267" s="1155"/>
      <c r="C267" s="37">
        <f>'Combustão Móvel'!B332</f>
        <v>0</v>
      </c>
      <c r="D267" s="159" t="str">
        <f>'Combustão Móvel'!Q332</f>
        <v/>
      </c>
      <c r="E267" s="153">
        <f>'Combustão Móvel'!H332</f>
        <v>0</v>
      </c>
      <c r="F267" s="153">
        <f t="shared" si="72"/>
        <v>0</v>
      </c>
      <c r="G267" s="153">
        <f t="shared" si="73"/>
        <v>0</v>
      </c>
      <c r="H267" s="153">
        <f t="shared" si="74"/>
        <v>0</v>
      </c>
      <c r="I267" s="153">
        <f t="shared" si="75"/>
        <v>0</v>
      </c>
      <c r="J267" s="153">
        <f t="shared" si="76"/>
        <v>0</v>
      </c>
      <c r="K267" s="160">
        <f t="shared" si="77"/>
        <v>0</v>
      </c>
      <c r="L267" s="66">
        <f>'Combustão Móvel'!H332</f>
        <v>0</v>
      </c>
      <c r="M267" s="67">
        <f>'Combustão Móvel'!I332</f>
        <v>0</v>
      </c>
      <c r="N267" s="153"/>
      <c r="O267" s="153">
        <f t="shared" si="58"/>
        <v>0</v>
      </c>
      <c r="P267" s="153"/>
      <c r="Q267" s="153"/>
      <c r="R267" s="153">
        <f t="shared" si="59"/>
        <v>0</v>
      </c>
      <c r="S267" s="153">
        <f t="shared" si="60"/>
        <v>0</v>
      </c>
      <c r="T267" s="164">
        <f t="shared" si="61"/>
        <v>0</v>
      </c>
      <c r="U267" s="164">
        <f t="shared" si="62"/>
        <v>0</v>
      </c>
      <c r="V267" s="137" t="str">
        <f t="shared" si="63"/>
        <v/>
      </c>
      <c r="W267" s="137" t="str">
        <f t="shared" si="64"/>
        <v/>
      </c>
      <c r="X267" s="137" t="str">
        <f t="shared" si="65"/>
        <v/>
      </c>
    </row>
    <row r="268" spans="2:24" ht="15" thickBot="1" x14ac:dyDescent="0.4">
      <c r="B268" s="1155"/>
      <c r="C268" s="37">
        <f>'Combustão Móvel'!B333</f>
        <v>0</v>
      </c>
      <c r="D268" s="159" t="str">
        <f>'Combustão Móvel'!Q333</f>
        <v/>
      </c>
      <c r="E268" s="153">
        <f>'Combustão Móvel'!H333</f>
        <v>0</v>
      </c>
      <c r="F268" s="153">
        <f t="shared" si="72"/>
        <v>0</v>
      </c>
      <c r="G268" s="153">
        <f t="shared" si="73"/>
        <v>0</v>
      </c>
      <c r="H268" s="153">
        <f t="shared" si="74"/>
        <v>0</v>
      </c>
      <c r="I268" s="153">
        <f t="shared" si="75"/>
        <v>0</v>
      </c>
      <c r="J268" s="153">
        <f t="shared" si="76"/>
        <v>0</v>
      </c>
      <c r="K268" s="160">
        <f t="shared" si="77"/>
        <v>0</v>
      </c>
      <c r="L268" s="66">
        <f>'Combustão Móvel'!H333</f>
        <v>0</v>
      </c>
      <c r="M268" s="67">
        <f>'Combustão Móvel'!I333</f>
        <v>0</v>
      </c>
      <c r="N268" s="153"/>
      <c r="O268" s="153">
        <f t="shared" si="58"/>
        <v>0</v>
      </c>
      <c r="P268" s="153"/>
      <c r="Q268" s="153"/>
      <c r="R268" s="153">
        <f t="shared" si="59"/>
        <v>0</v>
      </c>
      <c r="S268" s="153">
        <f t="shared" si="60"/>
        <v>0</v>
      </c>
      <c r="T268" s="164">
        <f t="shared" si="61"/>
        <v>0</v>
      </c>
      <c r="U268" s="164">
        <f t="shared" si="62"/>
        <v>0</v>
      </c>
      <c r="V268" s="137" t="str">
        <f t="shared" si="63"/>
        <v/>
      </c>
      <c r="W268" s="137" t="str">
        <f t="shared" si="64"/>
        <v/>
      </c>
      <c r="X268" s="137" t="str">
        <f t="shared" si="65"/>
        <v/>
      </c>
    </row>
    <row r="269" spans="2:24" ht="15" thickBot="1" x14ac:dyDescent="0.4">
      <c r="B269" s="1155"/>
      <c r="C269" s="37">
        <f>'Combustão Móvel'!B334</f>
        <v>0</v>
      </c>
      <c r="D269" s="159" t="str">
        <f>'Combustão Móvel'!Q334</f>
        <v/>
      </c>
      <c r="E269" s="153">
        <f>'Combustão Móvel'!H334</f>
        <v>0</v>
      </c>
      <c r="F269" s="153">
        <f t="shared" si="72"/>
        <v>0</v>
      </c>
      <c r="G269" s="153">
        <f t="shared" si="73"/>
        <v>0</v>
      </c>
      <c r="H269" s="153">
        <f t="shared" si="74"/>
        <v>0</v>
      </c>
      <c r="I269" s="153">
        <f t="shared" si="75"/>
        <v>0</v>
      </c>
      <c r="J269" s="153">
        <f t="shared" si="76"/>
        <v>0</v>
      </c>
      <c r="K269" s="160">
        <f t="shared" si="77"/>
        <v>0</v>
      </c>
      <c r="L269" s="66">
        <f>'Combustão Móvel'!H334</f>
        <v>0</v>
      </c>
      <c r="M269" s="67">
        <f>'Combustão Móvel'!I334</f>
        <v>0</v>
      </c>
      <c r="N269" s="153"/>
      <c r="O269" s="153">
        <f t="shared" si="58"/>
        <v>0</v>
      </c>
      <c r="P269" s="153"/>
      <c r="Q269" s="153"/>
      <c r="R269" s="153">
        <f t="shared" si="59"/>
        <v>0</v>
      </c>
      <c r="S269" s="153">
        <f t="shared" si="60"/>
        <v>0</v>
      </c>
      <c r="T269" s="164">
        <f t="shared" si="61"/>
        <v>0</v>
      </c>
      <c r="U269" s="164">
        <f t="shared" si="62"/>
        <v>0</v>
      </c>
      <c r="V269" s="137" t="str">
        <f t="shared" si="63"/>
        <v/>
      </c>
      <c r="W269" s="137" t="str">
        <f t="shared" si="64"/>
        <v/>
      </c>
      <c r="X269" s="137" t="str">
        <f t="shared" si="65"/>
        <v/>
      </c>
    </row>
    <row r="270" spans="2:24" ht="15" thickBot="1" x14ac:dyDescent="0.4">
      <c r="B270" s="1155"/>
      <c r="C270" s="37">
        <f>'Combustão Móvel'!B335</f>
        <v>0</v>
      </c>
      <c r="D270" s="159" t="str">
        <f>'Combustão Móvel'!Q335</f>
        <v/>
      </c>
      <c r="E270" s="153">
        <f>'Combustão Móvel'!H335</f>
        <v>0</v>
      </c>
      <c r="F270" s="153">
        <f t="shared" si="72"/>
        <v>0</v>
      </c>
      <c r="G270" s="153">
        <f t="shared" si="73"/>
        <v>0</v>
      </c>
      <c r="H270" s="153">
        <f t="shared" si="74"/>
        <v>0</v>
      </c>
      <c r="I270" s="153">
        <f t="shared" si="75"/>
        <v>0</v>
      </c>
      <c r="J270" s="153">
        <f t="shared" si="76"/>
        <v>0</v>
      </c>
      <c r="K270" s="160">
        <f t="shared" si="77"/>
        <v>0</v>
      </c>
      <c r="L270" s="66">
        <f>'Combustão Móvel'!H335</f>
        <v>0</v>
      </c>
      <c r="M270" s="67">
        <f>'Combustão Móvel'!I335</f>
        <v>0</v>
      </c>
      <c r="N270" s="153"/>
      <c r="O270" s="153">
        <f t="shared" si="58"/>
        <v>0</v>
      </c>
      <c r="P270" s="153"/>
      <c r="Q270" s="153"/>
      <c r="R270" s="153">
        <f t="shared" si="59"/>
        <v>0</v>
      </c>
      <c r="S270" s="153">
        <f t="shared" si="60"/>
        <v>0</v>
      </c>
      <c r="T270" s="164">
        <f t="shared" si="61"/>
        <v>0</v>
      </c>
      <c r="U270" s="164">
        <f t="shared" si="62"/>
        <v>0</v>
      </c>
      <c r="V270" s="137" t="str">
        <f t="shared" si="63"/>
        <v/>
      </c>
      <c r="W270" s="137" t="str">
        <f t="shared" si="64"/>
        <v/>
      </c>
      <c r="X270" s="137" t="str">
        <f t="shared" si="65"/>
        <v/>
      </c>
    </row>
    <row r="271" spans="2:24" ht="15" thickBot="1" x14ac:dyDescent="0.4">
      <c r="B271" s="1155"/>
      <c r="C271" s="37">
        <f>'Combustão Móvel'!B336</f>
        <v>0</v>
      </c>
      <c r="D271" s="159" t="str">
        <f>'Combustão Móvel'!Q336</f>
        <v/>
      </c>
      <c r="E271" s="153">
        <f>'Combustão Móvel'!H336</f>
        <v>0</v>
      </c>
      <c r="F271" s="153">
        <f t="shared" si="72"/>
        <v>0</v>
      </c>
      <c r="G271" s="153">
        <f t="shared" si="73"/>
        <v>0</v>
      </c>
      <c r="H271" s="153">
        <f t="shared" si="74"/>
        <v>0</v>
      </c>
      <c r="I271" s="153">
        <f t="shared" si="75"/>
        <v>0</v>
      </c>
      <c r="J271" s="153">
        <f t="shared" si="76"/>
        <v>0</v>
      </c>
      <c r="K271" s="160">
        <f t="shared" si="77"/>
        <v>0</v>
      </c>
      <c r="L271" s="66">
        <f>'Combustão Móvel'!H336</f>
        <v>0</v>
      </c>
      <c r="M271" s="67">
        <f>'Combustão Móvel'!I336</f>
        <v>0</v>
      </c>
      <c r="N271" s="153"/>
      <c r="O271" s="153">
        <f t="shared" si="58"/>
        <v>0</v>
      </c>
      <c r="P271" s="153"/>
      <c r="Q271" s="153"/>
      <c r="R271" s="153">
        <f t="shared" si="59"/>
        <v>0</v>
      </c>
      <c r="S271" s="153">
        <f t="shared" si="60"/>
        <v>0</v>
      </c>
      <c r="T271" s="164">
        <f t="shared" si="61"/>
        <v>0</v>
      </c>
      <c r="U271" s="164">
        <f t="shared" si="62"/>
        <v>0</v>
      </c>
      <c r="V271" s="137" t="str">
        <f t="shared" si="63"/>
        <v/>
      </c>
      <c r="W271" s="137" t="str">
        <f t="shared" si="64"/>
        <v/>
      </c>
      <c r="X271" s="137" t="str">
        <f t="shared" si="65"/>
        <v/>
      </c>
    </row>
    <row r="272" spans="2:24" ht="15" thickBot="1" x14ac:dyDescent="0.4">
      <c r="B272" s="1155"/>
      <c r="C272" s="37">
        <f>'Combustão Móvel'!B337</f>
        <v>0</v>
      </c>
      <c r="D272" s="159" t="str">
        <f>'Combustão Móvel'!Q337</f>
        <v/>
      </c>
      <c r="E272" s="153">
        <f>'Combustão Móvel'!H337</f>
        <v>0</v>
      </c>
      <c r="F272" s="153">
        <f t="shared" si="72"/>
        <v>0</v>
      </c>
      <c r="G272" s="153">
        <f t="shared" si="73"/>
        <v>0</v>
      </c>
      <c r="H272" s="153">
        <f t="shared" si="74"/>
        <v>0</v>
      </c>
      <c r="I272" s="153">
        <f t="shared" si="75"/>
        <v>0</v>
      </c>
      <c r="J272" s="153">
        <f t="shared" si="76"/>
        <v>0</v>
      </c>
      <c r="K272" s="160">
        <f t="shared" si="77"/>
        <v>0</v>
      </c>
      <c r="L272" s="66">
        <f>'Combustão Móvel'!H337</f>
        <v>0</v>
      </c>
      <c r="M272" s="67">
        <f>'Combustão Móvel'!I337</f>
        <v>0</v>
      </c>
      <c r="N272" s="153"/>
      <c r="O272" s="153">
        <f t="shared" si="58"/>
        <v>0</v>
      </c>
      <c r="P272" s="153"/>
      <c r="Q272" s="153"/>
      <c r="R272" s="153">
        <f t="shared" si="59"/>
        <v>0</v>
      </c>
      <c r="S272" s="153">
        <f t="shared" si="60"/>
        <v>0</v>
      </c>
      <c r="T272" s="164">
        <f t="shared" si="61"/>
        <v>0</v>
      </c>
      <c r="U272" s="164">
        <f t="shared" si="62"/>
        <v>0</v>
      </c>
      <c r="V272" s="137" t="str">
        <f t="shared" si="63"/>
        <v/>
      </c>
      <c r="W272" s="137" t="str">
        <f t="shared" si="64"/>
        <v/>
      </c>
      <c r="X272" s="137" t="str">
        <f t="shared" si="65"/>
        <v/>
      </c>
    </row>
    <row r="273" spans="2:24" ht="15" thickBot="1" x14ac:dyDescent="0.4">
      <c r="B273" s="1155"/>
      <c r="C273" s="37">
        <f>'Combustão Móvel'!B338</f>
        <v>0</v>
      </c>
      <c r="D273" s="159" t="str">
        <f>'Combustão Móvel'!Q338</f>
        <v/>
      </c>
      <c r="E273" s="153">
        <f>'Combustão Móvel'!H338</f>
        <v>0</v>
      </c>
      <c r="F273" s="153">
        <f t="shared" si="72"/>
        <v>0</v>
      </c>
      <c r="G273" s="153">
        <f t="shared" si="73"/>
        <v>0</v>
      </c>
      <c r="H273" s="153">
        <f t="shared" si="74"/>
        <v>0</v>
      </c>
      <c r="I273" s="153">
        <f t="shared" si="75"/>
        <v>0</v>
      </c>
      <c r="J273" s="153">
        <f t="shared" si="76"/>
        <v>0</v>
      </c>
      <c r="K273" s="160">
        <f t="shared" si="77"/>
        <v>0</v>
      </c>
      <c r="L273" s="66">
        <f>'Combustão Móvel'!H338</f>
        <v>0</v>
      </c>
      <c r="M273" s="67">
        <f>'Combustão Móvel'!I338</f>
        <v>0</v>
      </c>
      <c r="N273" s="153"/>
      <c r="O273" s="153">
        <f t="shared" si="58"/>
        <v>0</v>
      </c>
      <c r="P273" s="153"/>
      <c r="Q273" s="153"/>
      <c r="R273" s="153">
        <f t="shared" si="59"/>
        <v>0</v>
      </c>
      <c r="S273" s="153">
        <f t="shared" si="60"/>
        <v>0</v>
      </c>
      <c r="T273" s="164">
        <f t="shared" si="61"/>
        <v>0</v>
      </c>
      <c r="U273" s="164">
        <f t="shared" si="62"/>
        <v>0</v>
      </c>
      <c r="V273" s="137" t="str">
        <f t="shared" si="63"/>
        <v/>
      </c>
      <c r="W273" s="137" t="str">
        <f t="shared" si="64"/>
        <v/>
      </c>
      <c r="X273" s="137" t="str">
        <f t="shared" si="65"/>
        <v/>
      </c>
    </row>
    <row r="274" spans="2:24" ht="15" thickBot="1" x14ac:dyDescent="0.4">
      <c r="B274" s="1155"/>
      <c r="C274" s="37">
        <f>'Combustão Móvel'!B339</f>
        <v>0</v>
      </c>
      <c r="D274" s="159" t="str">
        <f>'Combustão Móvel'!Q339</f>
        <v/>
      </c>
      <c r="E274" s="153">
        <f>'Combustão Móvel'!H339</f>
        <v>0</v>
      </c>
      <c r="F274" s="153">
        <f t="shared" si="72"/>
        <v>0</v>
      </c>
      <c r="G274" s="153">
        <f t="shared" si="73"/>
        <v>0</v>
      </c>
      <c r="H274" s="153">
        <f t="shared" si="74"/>
        <v>0</v>
      </c>
      <c r="I274" s="153">
        <f t="shared" si="75"/>
        <v>0</v>
      </c>
      <c r="J274" s="153">
        <f t="shared" si="76"/>
        <v>0</v>
      </c>
      <c r="K274" s="160">
        <f t="shared" si="77"/>
        <v>0</v>
      </c>
      <c r="L274" s="66">
        <f>'Combustão Móvel'!H339</f>
        <v>0</v>
      </c>
      <c r="M274" s="67">
        <f>'Combustão Móvel'!I339</f>
        <v>0</v>
      </c>
      <c r="N274" s="153"/>
      <c r="O274" s="153">
        <f t="shared" si="58"/>
        <v>0</v>
      </c>
      <c r="P274" s="153"/>
      <c r="Q274" s="153"/>
      <c r="R274" s="153">
        <f t="shared" si="59"/>
        <v>0</v>
      </c>
      <c r="S274" s="153">
        <f t="shared" si="60"/>
        <v>0</v>
      </c>
      <c r="T274" s="164">
        <f t="shared" si="61"/>
        <v>0</v>
      </c>
      <c r="U274" s="164">
        <f t="shared" si="62"/>
        <v>0</v>
      </c>
      <c r="V274" s="137" t="str">
        <f t="shared" si="63"/>
        <v/>
      </c>
      <c r="W274" s="137" t="str">
        <f t="shared" si="64"/>
        <v/>
      </c>
      <c r="X274" s="137" t="str">
        <f t="shared" si="65"/>
        <v/>
      </c>
    </row>
    <row r="275" spans="2:24" ht="15" thickBot="1" x14ac:dyDescent="0.4">
      <c r="B275" s="1155"/>
      <c r="C275" s="37">
        <f>'Combustão Móvel'!B340</f>
        <v>0</v>
      </c>
      <c r="D275" s="159" t="str">
        <f>'Combustão Móvel'!Q340</f>
        <v/>
      </c>
      <c r="E275" s="153">
        <f>'Combustão Móvel'!H340</f>
        <v>0</v>
      </c>
      <c r="F275" s="153">
        <f t="shared" si="72"/>
        <v>0</v>
      </c>
      <c r="G275" s="153">
        <f t="shared" si="73"/>
        <v>0</v>
      </c>
      <c r="H275" s="153">
        <f t="shared" si="74"/>
        <v>0</v>
      </c>
      <c r="I275" s="153">
        <f t="shared" si="75"/>
        <v>0</v>
      </c>
      <c r="J275" s="153">
        <f t="shared" si="76"/>
        <v>0</v>
      </c>
      <c r="K275" s="160">
        <f t="shared" si="77"/>
        <v>0</v>
      </c>
      <c r="L275" s="66">
        <f>'Combustão Móvel'!H340</f>
        <v>0</v>
      </c>
      <c r="M275" s="67">
        <f>'Combustão Móvel'!I340</f>
        <v>0</v>
      </c>
      <c r="N275" s="153"/>
      <c r="O275" s="153">
        <f t="shared" si="58"/>
        <v>0</v>
      </c>
      <c r="P275" s="153"/>
      <c r="Q275" s="153"/>
      <c r="R275" s="153">
        <f t="shared" si="59"/>
        <v>0</v>
      </c>
      <c r="S275" s="153">
        <f t="shared" si="60"/>
        <v>0</v>
      </c>
      <c r="T275" s="164">
        <f t="shared" si="61"/>
        <v>0</v>
      </c>
      <c r="U275" s="164">
        <f t="shared" si="62"/>
        <v>0</v>
      </c>
      <c r="V275" s="137" t="str">
        <f t="shared" si="63"/>
        <v/>
      </c>
      <c r="W275" s="137" t="str">
        <f t="shared" si="64"/>
        <v/>
      </c>
      <c r="X275" s="137" t="str">
        <f t="shared" si="65"/>
        <v/>
      </c>
    </row>
    <row r="276" spans="2:24" ht="15" thickBot="1" x14ac:dyDescent="0.4">
      <c r="B276" s="1155"/>
      <c r="C276" s="37">
        <f>'Combustão Móvel'!B341</f>
        <v>0</v>
      </c>
      <c r="D276" s="159" t="str">
        <f>'Combustão Móvel'!Q341</f>
        <v/>
      </c>
      <c r="E276" s="153">
        <f>'Combustão Móvel'!H341</f>
        <v>0</v>
      </c>
      <c r="F276" s="153">
        <f t="shared" si="72"/>
        <v>0</v>
      </c>
      <c r="G276" s="153">
        <f t="shared" si="73"/>
        <v>0</v>
      </c>
      <c r="H276" s="153">
        <f t="shared" si="74"/>
        <v>0</v>
      </c>
      <c r="I276" s="153">
        <f t="shared" si="75"/>
        <v>0</v>
      </c>
      <c r="J276" s="153">
        <f t="shared" si="76"/>
        <v>0</v>
      </c>
      <c r="K276" s="160">
        <f t="shared" si="77"/>
        <v>0</v>
      </c>
      <c r="L276" s="66">
        <f>'Combustão Móvel'!H341</f>
        <v>0</v>
      </c>
      <c r="M276" s="67">
        <f>'Combustão Móvel'!I341</f>
        <v>0</v>
      </c>
      <c r="N276" s="153"/>
      <c r="O276" s="153">
        <f t="shared" si="58"/>
        <v>0</v>
      </c>
      <c r="P276" s="153"/>
      <c r="Q276" s="153"/>
      <c r="R276" s="153">
        <f t="shared" si="59"/>
        <v>0</v>
      </c>
      <c r="S276" s="153">
        <f t="shared" si="60"/>
        <v>0</v>
      </c>
      <c r="T276" s="164">
        <f t="shared" si="61"/>
        <v>0</v>
      </c>
      <c r="U276" s="164">
        <f t="shared" si="62"/>
        <v>0</v>
      </c>
      <c r="V276" s="137" t="str">
        <f t="shared" si="63"/>
        <v/>
      </c>
      <c r="W276" s="137" t="str">
        <f t="shared" si="64"/>
        <v/>
      </c>
      <c r="X276" s="137" t="str">
        <f t="shared" si="65"/>
        <v/>
      </c>
    </row>
    <row r="277" spans="2:24" ht="15" thickBot="1" x14ac:dyDescent="0.4">
      <c r="B277" s="1155"/>
      <c r="C277" s="37">
        <f>'Combustão Móvel'!B342</f>
        <v>0</v>
      </c>
      <c r="D277" s="159" t="str">
        <f>'Combustão Móvel'!Q342</f>
        <v/>
      </c>
      <c r="E277" s="153">
        <f>'Combustão Móvel'!H342</f>
        <v>0</v>
      </c>
      <c r="F277" s="153">
        <f t="shared" si="72"/>
        <v>0</v>
      </c>
      <c r="G277" s="153">
        <f t="shared" si="73"/>
        <v>0</v>
      </c>
      <c r="H277" s="153">
        <f t="shared" si="74"/>
        <v>0</v>
      </c>
      <c r="I277" s="153">
        <f t="shared" si="75"/>
        <v>0</v>
      </c>
      <c r="J277" s="153">
        <f t="shared" si="76"/>
        <v>0</v>
      </c>
      <c r="K277" s="160">
        <f t="shared" si="77"/>
        <v>0</v>
      </c>
      <c r="L277" s="66">
        <f>'Combustão Móvel'!H342</f>
        <v>0</v>
      </c>
      <c r="M277" s="67">
        <f>'Combustão Móvel'!I342</f>
        <v>0</v>
      </c>
      <c r="N277" s="153"/>
      <c r="O277" s="153">
        <f t="shared" si="58"/>
        <v>0</v>
      </c>
      <c r="P277" s="153"/>
      <c r="Q277" s="153"/>
      <c r="R277" s="153">
        <f t="shared" si="59"/>
        <v>0</v>
      </c>
      <c r="S277" s="153">
        <f t="shared" si="60"/>
        <v>0</v>
      </c>
      <c r="T277" s="164">
        <f t="shared" si="61"/>
        <v>0</v>
      </c>
      <c r="U277" s="164">
        <f t="shared" si="62"/>
        <v>0</v>
      </c>
      <c r="V277" s="137" t="str">
        <f t="shared" si="63"/>
        <v/>
      </c>
      <c r="W277" s="137" t="str">
        <f t="shared" si="64"/>
        <v/>
      </c>
      <c r="X277" s="137" t="str">
        <f t="shared" si="65"/>
        <v/>
      </c>
    </row>
    <row r="278" spans="2:24" ht="15" thickBot="1" x14ac:dyDescent="0.4">
      <c r="B278" s="1155"/>
      <c r="C278" s="37">
        <f>'Combustão Móvel'!B343</f>
        <v>0</v>
      </c>
      <c r="D278" s="159" t="str">
        <f>'Combustão Móvel'!Q343</f>
        <v/>
      </c>
      <c r="E278" s="153">
        <f>'Combustão Móvel'!H343</f>
        <v>0</v>
      </c>
      <c r="F278" s="153">
        <f t="shared" si="72"/>
        <v>0</v>
      </c>
      <c r="G278" s="153">
        <f t="shared" si="73"/>
        <v>0</v>
      </c>
      <c r="H278" s="153">
        <f t="shared" si="74"/>
        <v>0</v>
      </c>
      <c r="I278" s="153">
        <f t="shared" si="75"/>
        <v>0</v>
      </c>
      <c r="J278" s="153">
        <f t="shared" si="76"/>
        <v>0</v>
      </c>
      <c r="K278" s="160">
        <f t="shared" si="77"/>
        <v>0</v>
      </c>
      <c r="L278" s="66">
        <f>'Combustão Móvel'!H343</f>
        <v>0</v>
      </c>
      <c r="M278" s="67">
        <f>'Combustão Móvel'!I343</f>
        <v>0</v>
      </c>
      <c r="N278" s="153"/>
      <c r="O278" s="153">
        <f t="shared" ref="O278:O341" si="78">IF($M278=$O$19,IF($L278=$B$14,$D278,0),0)</f>
        <v>0</v>
      </c>
      <c r="P278" s="153"/>
      <c r="Q278" s="153"/>
      <c r="R278" s="153">
        <f t="shared" ref="R278:R341" si="79">IF($M278=$R$19,IF($L278=$B$14,$D278,0),0)</f>
        <v>0</v>
      </c>
      <c r="S278" s="153">
        <f t="shared" ref="S278:S341" si="80">IF($M278=$S$19,IF($L278=$B$14,$D278,0),0)</f>
        <v>0</v>
      </c>
      <c r="T278" s="164">
        <f t="shared" ref="T278:T341" si="81">IF($L278=$T$20,$D278,0)</f>
        <v>0</v>
      </c>
      <c r="U278" s="164">
        <f t="shared" ref="U278:U341" si="82">IF($L278=$U$20,$D278,0)</f>
        <v>0</v>
      </c>
      <c r="V278" s="137" t="str">
        <f t="shared" si="63"/>
        <v/>
      </c>
      <c r="W278" s="137" t="str">
        <f t="shared" si="64"/>
        <v/>
      </c>
      <c r="X278" s="137" t="str">
        <f t="shared" si="65"/>
        <v/>
      </c>
    </row>
    <row r="279" spans="2:24" ht="15" thickBot="1" x14ac:dyDescent="0.4">
      <c r="B279" s="1155"/>
      <c r="C279" s="37">
        <f>'Combustão Móvel'!B344</f>
        <v>0</v>
      </c>
      <c r="D279" s="159" t="str">
        <f>'Combustão Móvel'!Q344</f>
        <v/>
      </c>
      <c r="E279" s="153">
        <f>'Combustão Móvel'!H344</f>
        <v>0</v>
      </c>
      <c r="F279" s="153">
        <f t="shared" si="72"/>
        <v>0</v>
      </c>
      <c r="G279" s="153">
        <f t="shared" si="73"/>
        <v>0</v>
      </c>
      <c r="H279" s="153">
        <f t="shared" si="74"/>
        <v>0</v>
      </c>
      <c r="I279" s="153">
        <f t="shared" si="75"/>
        <v>0</v>
      </c>
      <c r="J279" s="153">
        <f t="shared" si="76"/>
        <v>0</v>
      </c>
      <c r="K279" s="160">
        <f t="shared" si="77"/>
        <v>0</v>
      </c>
      <c r="L279" s="66">
        <f>'Combustão Móvel'!H344</f>
        <v>0</v>
      </c>
      <c r="M279" s="67">
        <f>'Combustão Móvel'!I344</f>
        <v>0</v>
      </c>
      <c r="N279" s="153"/>
      <c r="O279" s="153">
        <f t="shared" si="78"/>
        <v>0</v>
      </c>
      <c r="P279" s="153"/>
      <c r="Q279" s="153"/>
      <c r="R279" s="153">
        <f t="shared" si="79"/>
        <v>0</v>
      </c>
      <c r="S279" s="153">
        <f t="shared" si="80"/>
        <v>0</v>
      </c>
      <c r="T279" s="164">
        <f t="shared" si="81"/>
        <v>0</v>
      </c>
      <c r="U279" s="164">
        <f t="shared" si="82"/>
        <v>0</v>
      </c>
      <c r="V279" s="137" t="str">
        <f t="shared" si="63"/>
        <v/>
      </c>
      <c r="W279" s="137" t="str">
        <f t="shared" si="64"/>
        <v/>
      </c>
      <c r="X279" s="137" t="str">
        <f t="shared" si="65"/>
        <v/>
      </c>
    </row>
    <row r="280" spans="2:24" ht="15" thickBot="1" x14ac:dyDescent="0.4">
      <c r="B280" s="1155"/>
      <c r="C280" s="37">
        <f>'Combustão Móvel'!B345</f>
        <v>0</v>
      </c>
      <c r="D280" s="159" t="str">
        <f>'Combustão Móvel'!Q345</f>
        <v/>
      </c>
      <c r="E280" s="153">
        <f>'Combustão Móvel'!H345</f>
        <v>0</v>
      </c>
      <c r="F280" s="153">
        <f t="shared" si="72"/>
        <v>0</v>
      </c>
      <c r="G280" s="153">
        <f t="shared" si="73"/>
        <v>0</v>
      </c>
      <c r="H280" s="153">
        <f t="shared" si="74"/>
        <v>0</v>
      </c>
      <c r="I280" s="153">
        <f t="shared" si="75"/>
        <v>0</v>
      </c>
      <c r="J280" s="153">
        <f t="shared" si="76"/>
        <v>0</v>
      </c>
      <c r="K280" s="160">
        <f t="shared" si="77"/>
        <v>0</v>
      </c>
      <c r="L280" s="66">
        <f>'Combustão Móvel'!H345</f>
        <v>0</v>
      </c>
      <c r="M280" s="67">
        <f>'Combustão Móvel'!I345</f>
        <v>0</v>
      </c>
      <c r="N280" s="153"/>
      <c r="O280" s="153">
        <f t="shared" si="78"/>
        <v>0</v>
      </c>
      <c r="P280" s="153"/>
      <c r="Q280" s="153"/>
      <c r="R280" s="153">
        <f t="shared" si="79"/>
        <v>0</v>
      </c>
      <c r="S280" s="153">
        <f t="shared" si="80"/>
        <v>0</v>
      </c>
      <c r="T280" s="164">
        <f t="shared" si="81"/>
        <v>0</v>
      </c>
      <c r="U280" s="164">
        <f t="shared" si="82"/>
        <v>0</v>
      </c>
      <c r="V280" s="137" t="str">
        <f t="shared" si="63"/>
        <v/>
      </c>
      <c r="W280" s="137" t="str">
        <f t="shared" si="64"/>
        <v/>
      </c>
      <c r="X280" s="137" t="str">
        <f t="shared" si="65"/>
        <v/>
      </c>
    </row>
    <row r="281" spans="2:24" ht="15" thickBot="1" x14ac:dyDescent="0.4">
      <c r="B281" s="1155"/>
      <c r="C281" s="37">
        <f>'Combustão Móvel'!B346</f>
        <v>0</v>
      </c>
      <c r="D281" s="159" t="str">
        <f>'Combustão Móvel'!Q346</f>
        <v/>
      </c>
      <c r="E281" s="153">
        <f>'Combustão Móvel'!H346</f>
        <v>0</v>
      </c>
      <c r="F281" s="153">
        <f t="shared" si="72"/>
        <v>0</v>
      </c>
      <c r="G281" s="153">
        <f t="shared" si="73"/>
        <v>0</v>
      </c>
      <c r="H281" s="153">
        <f t="shared" si="74"/>
        <v>0</v>
      </c>
      <c r="I281" s="153">
        <f t="shared" si="75"/>
        <v>0</v>
      </c>
      <c r="J281" s="153">
        <f t="shared" si="76"/>
        <v>0</v>
      </c>
      <c r="K281" s="160">
        <f t="shared" si="77"/>
        <v>0</v>
      </c>
      <c r="L281" s="66">
        <f>'Combustão Móvel'!H346</f>
        <v>0</v>
      </c>
      <c r="M281" s="67">
        <f>'Combustão Móvel'!I346</f>
        <v>0</v>
      </c>
      <c r="N281" s="153"/>
      <c r="O281" s="153">
        <f t="shared" si="78"/>
        <v>0</v>
      </c>
      <c r="P281" s="153"/>
      <c r="Q281" s="153"/>
      <c r="R281" s="153">
        <f t="shared" si="79"/>
        <v>0</v>
      </c>
      <c r="S281" s="153">
        <f t="shared" si="80"/>
        <v>0</v>
      </c>
      <c r="T281" s="164">
        <f t="shared" si="81"/>
        <v>0</v>
      </c>
      <c r="U281" s="164">
        <f t="shared" si="82"/>
        <v>0</v>
      </c>
      <c r="V281" s="137" t="str">
        <f t="shared" ref="V281:V344" si="83">IF($L281="Não",F281,"")</f>
        <v/>
      </c>
      <c r="W281" s="137" t="str">
        <f t="shared" ref="W281:W344" si="84">IF($L281="Não",G281,"")</f>
        <v/>
      </c>
      <c r="X281" s="137" t="str">
        <f t="shared" ref="X281:X344" si="85">IF($L281="Não",H281,"")</f>
        <v/>
      </c>
    </row>
    <row r="282" spans="2:24" ht="15" thickBot="1" x14ac:dyDescent="0.4">
      <c r="B282" s="1155"/>
      <c r="C282" s="37">
        <f>'Combustão Móvel'!B347</f>
        <v>0</v>
      </c>
      <c r="D282" s="159" t="str">
        <f>'Combustão Móvel'!Q347</f>
        <v/>
      </c>
      <c r="E282" s="153">
        <f>'Combustão Móvel'!H347</f>
        <v>0</v>
      </c>
      <c r="F282" s="153">
        <f t="shared" si="72"/>
        <v>0</v>
      </c>
      <c r="G282" s="153">
        <f t="shared" si="73"/>
        <v>0</v>
      </c>
      <c r="H282" s="153">
        <f t="shared" si="74"/>
        <v>0</v>
      </c>
      <c r="I282" s="153">
        <f t="shared" si="75"/>
        <v>0</v>
      </c>
      <c r="J282" s="153">
        <f t="shared" si="76"/>
        <v>0</v>
      </c>
      <c r="K282" s="160">
        <f t="shared" si="77"/>
        <v>0</v>
      </c>
      <c r="L282" s="66">
        <f>'Combustão Móvel'!H347</f>
        <v>0</v>
      </c>
      <c r="M282" s="67">
        <f>'Combustão Móvel'!I347</f>
        <v>0</v>
      </c>
      <c r="N282" s="153"/>
      <c r="O282" s="153">
        <f t="shared" si="78"/>
        <v>0</v>
      </c>
      <c r="P282" s="153"/>
      <c r="Q282" s="153"/>
      <c r="R282" s="153">
        <f t="shared" si="79"/>
        <v>0</v>
      </c>
      <c r="S282" s="153">
        <f t="shared" si="80"/>
        <v>0</v>
      </c>
      <c r="T282" s="164">
        <f t="shared" si="81"/>
        <v>0</v>
      </c>
      <c r="U282" s="164">
        <f t="shared" si="82"/>
        <v>0</v>
      </c>
      <c r="V282" s="137" t="str">
        <f t="shared" si="83"/>
        <v/>
      </c>
      <c r="W282" s="137" t="str">
        <f t="shared" si="84"/>
        <v/>
      </c>
      <c r="X282" s="137" t="str">
        <f t="shared" si="85"/>
        <v/>
      </c>
    </row>
    <row r="283" spans="2:24" ht="15" thickBot="1" x14ac:dyDescent="0.4">
      <c r="B283" s="1155"/>
      <c r="C283" s="37">
        <f>'Combustão Móvel'!B348</f>
        <v>0</v>
      </c>
      <c r="D283" s="159" t="str">
        <f>'Combustão Móvel'!Q348</f>
        <v/>
      </c>
      <c r="E283" s="153">
        <f>'Combustão Móvel'!H348</f>
        <v>0</v>
      </c>
      <c r="F283" s="153">
        <f t="shared" si="72"/>
        <v>0</v>
      </c>
      <c r="G283" s="153">
        <f t="shared" si="73"/>
        <v>0</v>
      </c>
      <c r="H283" s="153">
        <f t="shared" si="74"/>
        <v>0</v>
      </c>
      <c r="I283" s="153">
        <f t="shared" si="75"/>
        <v>0</v>
      </c>
      <c r="J283" s="153">
        <f t="shared" si="76"/>
        <v>0</v>
      </c>
      <c r="K283" s="160">
        <f t="shared" si="77"/>
        <v>0</v>
      </c>
      <c r="L283" s="66">
        <f>'Combustão Móvel'!H348</f>
        <v>0</v>
      </c>
      <c r="M283" s="67">
        <f>'Combustão Móvel'!I348</f>
        <v>0</v>
      </c>
      <c r="N283" s="153"/>
      <c r="O283" s="153">
        <f t="shared" si="78"/>
        <v>0</v>
      </c>
      <c r="P283" s="153"/>
      <c r="Q283" s="153"/>
      <c r="R283" s="153">
        <f t="shared" si="79"/>
        <v>0</v>
      </c>
      <c r="S283" s="153">
        <f t="shared" si="80"/>
        <v>0</v>
      </c>
      <c r="T283" s="164">
        <f t="shared" si="81"/>
        <v>0</v>
      </c>
      <c r="U283" s="164">
        <f t="shared" si="82"/>
        <v>0</v>
      </c>
      <c r="V283" s="137" t="str">
        <f t="shared" si="83"/>
        <v/>
      </c>
      <c r="W283" s="137" t="str">
        <f t="shared" si="84"/>
        <v/>
      </c>
      <c r="X283" s="137" t="str">
        <f t="shared" si="85"/>
        <v/>
      </c>
    </row>
    <row r="284" spans="2:24" ht="15" thickBot="1" x14ac:dyDescent="0.4">
      <c r="B284" s="1155"/>
      <c r="C284" s="37">
        <f>'Combustão Móvel'!B349</f>
        <v>0</v>
      </c>
      <c r="D284" s="159" t="str">
        <f>'Combustão Móvel'!Q349</f>
        <v/>
      </c>
      <c r="E284" s="153">
        <f>'Combustão Móvel'!H349</f>
        <v>0</v>
      </c>
      <c r="F284" s="153">
        <f t="shared" si="72"/>
        <v>0</v>
      </c>
      <c r="G284" s="153">
        <f t="shared" si="73"/>
        <v>0</v>
      </c>
      <c r="H284" s="153">
        <f t="shared" si="74"/>
        <v>0</v>
      </c>
      <c r="I284" s="153">
        <f t="shared" si="75"/>
        <v>0</v>
      </c>
      <c r="J284" s="153">
        <f t="shared" si="76"/>
        <v>0</v>
      </c>
      <c r="K284" s="160">
        <f t="shared" si="77"/>
        <v>0</v>
      </c>
      <c r="L284" s="66">
        <f>'Combustão Móvel'!H349</f>
        <v>0</v>
      </c>
      <c r="M284" s="67">
        <f>'Combustão Móvel'!I349</f>
        <v>0</v>
      </c>
      <c r="N284" s="153"/>
      <c r="O284" s="153">
        <f t="shared" si="78"/>
        <v>0</v>
      </c>
      <c r="P284" s="153"/>
      <c r="Q284" s="153"/>
      <c r="R284" s="153">
        <f t="shared" si="79"/>
        <v>0</v>
      </c>
      <c r="S284" s="153">
        <f t="shared" si="80"/>
        <v>0</v>
      </c>
      <c r="T284" s="164">
        <f t="shared" si="81"/>
        <v>0</v>
      </c>
      <c r="U284" s="164">
        <f t="shared" si="82"/>
        <v>0</v>
      </c>
      <c r="V284" s="137" t="str">
        <f t="shared" si="83"/>
        <v/>
      </c>
      <c r="W284" s="137" t="str">
        <f t="shared" si="84"/>
        <v/>
      </c>
      <c r="X284" s="137" t="str">
        <f t="shared" si="85"/>
        <v/>
      </c>
    </row>
    <row r="285" spans="2:24" ht="15" thickBot="1" x14ac:dyDescent="0.4">
      <c r="B285" s="1155"/>
      <c r="C285" s="37">
        <f>'Combustão Móvel'!B350</f>
        <v>0</v>
      </c>
      <c r="D285" s="159" t="str">
        <f>'Combustão Móvel'!Q350</f>
        <v/>
      </c>
      <c r="E285" s="153">
        <f>'Combustão Móvel'!H350</f>
        <v>0</v>
      </c>
      <c r="F285" s="153">
        <f t="shared" si="72"/>
        <v>0</v>
      </c>
      <c r="G285" s="153">
        <f t="shared" si="73"/>
        <v>0</v>
      </c>
      <c r="H285" s="153">
        <f t="shared" si="74"/>
        <v>0</v>
      </c>
      <c r="I285" s="153">
        <f t="shared" si="75"/>
        <v>0</v>
      </c>
      <c r="J285" s="153">
        <f t="shared" si="76"/>
        <v>0</v>
      </c>
      <c r="K285" s="160">
        <f t="shared" si="77"/>
        <v>0</v>
      </c>
      <c r="L285" s="66">
        <f>'Combustão Móvel'!H350</f>
        <v>0</v>
      </c>
      <c r="M285" s="67">
        <f>'Combustão Móvel'!I350</f>
        <v>0</v>
      </c>
      <c r="N285" s="153"/>
      <c r="O285" s="153">
        <f t="shared" si="78"/>
        <v>0</v>
      </c>
      <c r="P285" s="153"/>
      <c r="Q285" s="153"/>
      <c r="R285" s="153">
        <f t="shared" si="79"/>
        <v>0</v>
      </c>
      <c r="S285" s="153">
        <f t="shared" si="80"/>
        <v>0</v>
      </c>
      <c r="T285" s="164">
        <f t="shared" si="81"/>
        <v>0</v>
      </c>
      <c r="U285" s="164">
        <f t="shared" si="82"/>
        <v>0</v>
      </c>
      <c r="V285" s="137" t="str">
        <f t="shared" si="83"/>
        <v/>
      </c>
      <c r="W285" s="137" t="str">
        <f t="shared" si="84"/>
        <v/>
      </c>
      <c r="X285" s="137" t="str">
        <f t="shared" si="85"/>
        <v/>
      </c>
    </row>
    <row r="286" spans="2:24" ht="15" thickBot="1" x14ac:dyDescent="0.4">
      <c r="B286" s="1155"/>
      <c r="C286" s="37">
        <f>'Combustão Móvel'!B351</f>
        <v>0</v>
      </c>
      <c r="D286" s="159" t="str">
        <f>'Combustão Móvel'!Q351</f>
        <v/>
      </c>
      <c r="E286" s="153">
        <f>'Combustão Móvel'!H351</f>
        <v>0</v>
      </c>
      <c r="F286" s="153">
        <f t="shared" ref="F286:F320" si="86">IF(C286=$F$20,D286,0)</f>
        <v>0</v>
      </c>
      <c r="G286" s="153">
        <f t="shared" ref="G286:G320" si="87">IF(C286=$G$20,D286,0)</f>
        <v>0</v>
      </c>
      <c r="H286" s="153">
        <f t="shared" ref="H286:H320" si="88">IF(C286=$H$20,D286,0)</f>
        <v>0</v>
      </c>
      <c r="I286" s="153">
        <f t="shared" ref="I286:I320" si="89">IF(C286=$I$20,E286,0)</f>
        <v>0</v>
      </c>
      <c r="J286" s="153">
        <f t="shared" ref="J286:J320" si="90">IF(C286=$J$20,E286,0)</f>
        <v>0</v>
      </c>
      <c r="K286" s="160">
        <f t="shared" ref="K286:K320" si="91">IF(C286=$K$20,E286,0)</f>
        <v>0</v>
      </c>
      <c r="L286" s="66">
        <f>'Combustão Móvel'!H351</f>
        <v>0</v>
      </c>
      <c r="M286" s="67">
        <f>'Combustão Móvel'!I351</f>
        <v>0</v>
      </c>
      <c r="N286" s="153"/>
      <c r="O286" s="153">
        <f t="shared" si="78"/>
        <v>0</v>
      </c>
      <c r="P286" s="153"/>
      <c r="Q286" s="153"/>
      <c r="R286" s="153">
        <f t="shared" si="79"/>
        <v>0</v>
      </c>
      <c r="S286" s="153">
        <f t="shared" si="80"/>
        <v>0</v>
      </c>
      <c r="T286" s="164">
        <f t="shared" si="81"/>
        <v>0</v>
      </c>
      <c r="U286" s="164">
        <f t="shared" si="82"/>
        <v>0</v>
      </c>
      <c r="V286" s="137" t="str">
        <f t="shared" si="83"/>
        <v/>
      </c>
      <c r="W286" s="137" t="str">
        <f t="shared" si="84"/>
        <v/>
      </c>
      <c r="X286" s="137" t="str">
        <f t="shared" si="85"/>
        <v/>
      </c>
    </row>
    <row r="287" spans="2:24" ht="15" thickBot="1" x14ac:dyDescent="0.4">
      <c r="B287" s="1155"/>
      <c r="C287" s="37">
        <f>'Combustão Móvel'!B352</f>
        <v>0</v>
      </c>
      <c r="D287" s="159" t="str">
        <f>'Combustão Móvel'!Q352</f>
        <v/>
      </c>
      <c r="E287" s="153">
        <f>'Combustão Móvel'!H352</f>
        <v>0</v>
      </c>
      <c r="F287" s="153">
        <f t="shared" si="86"/>
        <v>0</v>
      </c>
      <c r="G287" s="153">
        <f t="shared" si="87"/>
        <v>0</v>
      </c>
      <c r="H287" s="153">
        <f t="shared" si="88"/>
        <v>0</v>
      </c>
      <c r="I287" s="153">
        <f t="shared" si="89"/>
        <v>0</v>
      </c>
      <c r="J287" s="153">
        <f t="shared" si="90"/>
        <v>0</v>
      </c>
      <c r="K287" s="160">
        <f t="shared" si="91"/>
        <v>0</v>
      </c>
      <c r="L287" s="66">
        <f>'Combustão Móvel'!H352</f>
        <v>0</v>
      </c>
      <c r="M287" s="67">
        <f>'Combustão Móvel'!I352</f>
        <v>0</v>
      </c>
      <c r="N287" s="153"/>
      <c r="O287" s="153">
        <f t="shared" si="78"/>
        <v>0</v>
      </c>
      <c r="P287" s="153"/>
      <c r="Q287" s="153"/>
      <c r="R287" s="153">
        <f t="shared" si="79"/>
        <v>0</v>
      </c>
      <c r="S287" s="153">
        <f t="shared" si="80"/>
        <v>0</v>
      </c>
      <c r="T287" s="164">
        <f t="shared" si="81"/>
        <v>0</v>
      </c>
      <c r="U287" s="164">
        <f t="shared" si="82"/>
        <v>0</v>
      </c>
      <c r="V287" s="137" t="str">
        <f t="shared" si="83"/>
        <v/>
      </c>
      <c r="W287" s="137" t="str">
        <f t="shared" si="84"/>
        <v/>
      </c>
      <c r="X287" s="137" t="str">
        <f t="shared" si="85"/>
        <v/>
      </c>
    </row>
    <row r="288" spans="2:24" ht="15" thickBot="1" x14ac:dyDescent="0.4">
      <c r="B288" s="1155"/>
      <c r="C288" s="37">
        <f>'Combustão Móvel'!B353</f>
        <v>0</v>
      </c>
      <c r="D288" s="159" t="str">
        <f>'Combustão Móvel'!Q353</f>
        <v/>
      </c>
      <c r="E288" s="153">
        <f>'Combustão Móvel'!H353</f>
        <v>0</v>
      </c>
      <c r="F288" s="153">
        <f t="shared" si="86"/>
        <v>0</v>
      </c>
      <c r="G288" s="153">
        <f t="shared" si="87"/>
        <v>0</v>
      </c>
      <c r="H288" s="153">
        <f t="shared" si="88"/>
        <v>0</v>
      </c>
      <c r="I288" s="153">
        <f t="shared" si="89"/>
        <v>0</v>
      </c>
      <c r="J288" s="153">
        <f t="shared" si="90"/>
        <v>0</v>
      </c>
      <c r="K288" s="160">
        <f t="shared" si="91"/>
        <v>0</v>
      </c>
      <c r="L288" s="66">
        <f>'Combustão Móvel'!H353</f>
        <v>0</v>
      </c>
      <c r="M288" s="67">
        <f>'Combustão Móvel'!I353</f>
        <v>0</v>
      </c>
      <c r="N288" s="153"/>
      <c r="O288" s="153">
        <f t="shared" si="78"/>
        <v>0</v>
      </c>
      <c r="P288" s="153"/>
      <c r="Q288" s="153"/>
      <c r="R288" s="153">
        <f t="shared" si="79"/>
        <v>0</v>
      </c>
      <c r="S288" s="153">
        <f t="shared" si="80"/>
        <v>0</v>
      </c>
      <c r="T288" s="164">
        <f t="shared" si="81"/>
        <v>0</v>
      </c>
      <c r="U288" s="164">
        <f t="shared" si="82"/>
        <v>0</v>
      </c>
      <c r="V288" s="137" t="str">
        <f t="shared" si="83"/>
        <v/>
      </c>
      <c r="W288" s="137" t="str">
        <f t="shared" si="84"/>
        <v/>
      </c>
      <c r="X288" s="137" t="str">
        <f t="shared" si="85"/>
        <v/>
      </c>
    </row>
    <row r="289" spans="2:24" ht="15" thickBot="1" x14ac:dyDescent="0.4">
      <c r="B289" s="1155"/>
      <c r="C289" s="37">
        <f>'Combustão Móvel'!B354</f>
        <v>0</v>
      </c>
      <c r="D289" s="159" t="str">
        <f>'Combustão Móvel'!Q354</f>
        <v/>
      </c>
      <c r="E289" s="153">
        <f>'Combustão Móvel'!H354</f>
        <v>0</v>
      </c>
      <c r="F289" s="153">
        <f t="shared" si="86"/>
        <v>0</v>
      </c>
      <c r="G289" s="153">
        <f t="shared" si="87"/>
        <v>0</v>
      </c>
      <c r="H289" s="153">
        <f t="shared" si="88"/>
        <v>0</v>
      </c>
      <c r="I289" s="153">
        <f t="shared" si="89"/>
        <v>0</v>
      </c>
      <c r="J289" s="153">
        <f t="shared" si="90"/>
        <v>0</v>
      </c>
      <c r="K289" s="160">
        <f t="shared" si="91"/>
        <v>0</v>
      </c>
      <c r="L289" s="66">
        <f>'Combustão Móvel'!H354</f>
        <v>0</v>
      </c>
      <c r="M289" s="67">
        <f>'Combustão Móvel'!I354</f>
        <v>0</v>
      </c>
      <c r="N289" s="153"/>
      <c r="O289" s="153">
        <f t="shared" si="78"/>
        <v>0</v>
      </c>
      <c r="P289" s="153"/>
      <c r="Q289" s="153"/>
      <c r="R289" s="153">
        <f t="shared" si="79"/>
        <v>0</v>
      </c>
      <c r="S289" s="153">
        <f t="shared" si="80"/>
        <v>0</v>
      </c>
      <c r="T289" s="164">
        <f t="shared" si="81"/>
        <v>0</v>
      </c>
      <c r="U289" s="164">
        <f t="shared" si="82"/>
        <v>0</v>
      </c>
      <c r="V289" s="137" t="str">
        <f t="shared" si="83"/>
        <v/>
      </c>
      <c r="W289" s="137" t="str">
        <f t="shared" si="84"/>
        <v/>
      </c>
      <c r="X289" s="137" t="str">
        <f t="shared" si="85"/>
        <v/>
      </c>
    </row>
    <row r="290" spans="2:24" ht="15" thickBot="1" x14ac:dyDescent="0.4">
      <c r="B290" s="1155"/>
      <c r="C290" s="37">
        <f>'Combustão Móvel'!B355</f>
        <v>0</v>
      </c>
      <c r="D290" s="159" t="str">
        <f>'Combustão Móvel'!Q355</f>
        <v/>
      </c>
      <c r="E290" s="153">
        <f>'Combustão Móvel'!H355</f>
        <v>0</v>
      </c>
      <c r="F290" s="153">
        <f t="shared" si="86"/>
        <v>0</v>
      </c>
      <c r="G290" s="153">
        <f t="shared" si="87"/>
        <v>0</v>
      </c>
      <c r="H290" s="153">
        <f t="shared" si="88"/>
        <v>0</v>
      </c>
      <c r="I290" s="153">
        <f t="shared" si="89"/>
        <v>0</v>
      </c>
      <c r="J290" s="153">
        <f t="shared" si="90"/>
        <v>0</v>
      </c>
      <c r="K290" s="160">
        <f t="shared" si="91"/>
        <v>0</v>
      </c>
      <c r="L290" s="66">
        <f>'Combustão Móvel'!H355</f>
        <v>0</v>
      </c>
      <c r="M290" s="67">
        <f>'Combustão Móvel'!I355</f>
        <v>0</v>
      </c>
      <c r="N290" s="153"/>
      <c r="O290" s="153">
        <f t="shared" si="78"/>
        <v>0</v>
      </c>
      <c r="P290" s="153"/>
      <c r="Q290" s="153"/>
      <c r="R290" s="153">
        <f t="shared" si="79"/>
        <v>0</v>
      </c>
      <c r="S290" s="153">
        <f t="shared" si="80"/>
        <v>0</v>
      </c>
      <c r="T290" s="164">
        <f t="shared" si="81"/>
        <v>0</v>
      </c>
      <c r="U290" s="164">
        <f t="shared" si="82"/>
        <v>0</v>
      </c>
      <c r="V290" s="137" t="str">
        <f t="shared" si="83"/>
        <v/>
      </c>
      <c r="W290" s="137" t="str">
        <f t="shared" si="84"/>
        <v/>
      </c>
      <c r="X290" s="137" t="str">
        <f t="shared" si="85"/>
        <v/>
      </c>
    </row>
    <row r="291" spans="2:24" ht="15" thickBot="1" x14ac:dyDescent="0.4">
      <c r="B291" s="1155"/>
      <c r="C291" s="37">
        <f>'Combustão Móvel'!B356</f>
        <v>0</v>
      </c>
      <c r="D291" s="159" t="str">
        <f>'Combustão Móvel'!Q356</f>
        <v/>
      </c>
      <c r="E291" s="153">
        <f>'Combustão Móvel'!H356</f>
        <v>0</v>
      </c>
      <c r="F291" s="153">
        <f t="shared" si="86"/>
        <v>0</v>
      </c>
      <c r="G291" s="153">
        <f t="shared" si="87"/>
        <v>0</v>
      </c>
      <c r="H291" s="153">
        <f t="shared" si="88"/>
        <v>0</v>
      </c>
      <c r="I291" s="153">
        <f t="shared" si="89"/>
        <v>0</v>
      </c>
      <c r="J291" s="153">
        <f t="shared" si="90"/>
        <v>0</v>
      </c>
      <c r="K291" s="160">
        <f t="shared" si="91"/>
        <v>0</v>
      </c>
      <c r="L291" s="66">
        <f>'Combustão Móvel'!H356</f>
        <v>0</v>
      </c>
      <c r="M291" s="67">
        <f>'Combustão Móvel'!I356</f>
        <v>0</v>
      </c>
      <c r="N291" s="153"/>
      <c r="O291" s="153">
        <f t="shared" si="78"/>
        <v>0</v>
      </c>
      <c r="P291" s="153"/>
      <c r="Q291" s="153"/>
      <c r="R291" s="153">
        <f t="shared" si="79"/>
        <v>0</v>
      </c>
      <c r="S291" s="153">
        <f t="shared" si="80"/>
        <v>0</v>
      </c>
      <c r="T291" s="164">
        <f t="shared" si="81"/>
        <v>0</v>
      </c>
      <c r="U291" s="164">
        <f t="shared" si="82"/>
        <v>0</v>
      </c>
      <c r="V291" s="137" t="str">
        <f t="shared" si="83"/>
        <v/>
      </c>
      <c r="W291" s="137" t="str">
        <f t="shared" si="84"/>
        <v/>
      </c>
      <c r="X291" s="137" t="str">
        <f t="shared" si="85"/>
        <v/>
      </c>
    </row>
    <row r="292" spans="2:24" ht="15" thickBot="1" x14ac:dyDescent="0.4">
      <c r="B292" s="1155"/>
      <c r="C292" s="37">
        <f>'Combustão Móvel'!B357</f>
        <v>0</v>
      </c>
      <c r="D292" s="159" t="str">
        <f>'Combustão Móvel'!Q357</f>
        <v/>
      </c>
      <c r="E292" s="153">
        <f>'Combustão Móvel'!H357</f>
        <v>0</v>
      </c>
      <c r="F292" s="153">
        <f t="shared" si="86"/>
        <v>0</v>
      </c>
      <c r="G292" s="153">
        <f t="shared" si="87"/>
        <v>0</v>
      </c>
      <c r="H292" s="153">
        <f t="shared" si="88"/>
        <v>0</v>
      </c>
      <c r="I292" s="153">
        <f t="shared" si="89"/>
        <v>0</v>
      </c>
      <c r="J292" s="153">
        <f t="shared" si="90"/>
        <v>0</v>
      </c>
      <c r="K292" s="160">
        <f t="shared" si="91"/>
        <v>0</v>
      </c>
      <c r="L292" s="66">
        <f>'Combustão Móvel'!H357</f>
        <v>0</v>
      </c>
      <c r="M292" s="67">
        <f>'Combustão Móvel'!I357</f>
        <v>0</v>
      </c>
      <c r="N292" s="153"/>
      <c r="O292" s="153">
        <f t="shared" si="78"/>
        <v>0</v>
      </c>
      <c r="P292" s="153"/>
      <c r="Q292" s="153"/>
      <c r="R292" s="153">
        <f t="shared" si="79"/>
        <v>0</v>
      </c>
      <c r="S292" s="153">
        <f t="shared" si="80"/>
        <v>0</v>
      </c>
      <c r="T292" s="164">
        <f t="shared" si="81"/>
        <v>0</v>
      </c>
      <c r="U292" s="164">
        <f t="shared" si="82"/>
        <v>0</v>
      </c>
      <c r="V292" s="137" t="str">
        <f t="shared" si="83"/>
        <v/>
      </c>
      <c r="W292" s="137" t="str">
        <f t="shared" si="84"/>
        <v/>
      </c>
      <c r="X292" s="137" t="str">
        <f t="shared" si="85"/>
        <v/>
      </c>
    </row>
    <row r="293" spans="2:24" ht="15" thickBot="1" x14ac:dyDescent="0.4">
      <c r="B293" s="1155"/>
      <c r="C293" s="37">
        <f>'Combustão Móvel'!B358</f>
        <v>0</v>
      </c>
      <c r="D293" s="159" t="str">
        <f>'Combustão Móvel'!Q358</f>
        <v/>
      </c>
      <c r="E293" s="153">
        <f>'Combustão Móvel'!H358</f>
        <v>0</v>
      </c>
      <c r="F293" s="153">
        <f t="shared" si="86"/>
        <v>0</v>
      </c>
      <c r="G293" s="153">
        <f t="shared" si="87"/>
        <v>0</v>
      </c>
      <c r="H293" s="153">
        <f t="shared" si="88"/>
        <v>0</v>
      </c>
      <c r="I293" s="153">
        <f t="shared" si="89"/>
        <v>0</v>
      </c>
      <c r="J293" s="153">
        <f t="shared" si="90"/>
        <v>0</v>
      </c>
      <c r="K293" s="160">
        <f t="shared" si="91"/>
        <v>0</v>
      </c>
      <c r="L293" s="66">
        <f>'Combustão Móvel'!H358</f>
        <v>0</v>
      </c>
      <c r="M293" s="67">
        <f>'Combustão Móvel'!I358</f>
        <v>0</v>
      </c>
      <c r="N293" s="153"/>
      <c r="O293" s="153">
        <f t="shared" si="78"/>
        <v>0</v>
      </c>
      <c r="P293" s="153"/>
      <c r="Q293" s="153"/>
      <c r="R293" s="153">
        <f t="shared" si="79"/>
        <v>0</v>
      </c>
      <c r="S293" s="153">
        <f t="shared" si="80"/>
        <v>0</v>
      </c>
      <c r="T293" s="164">
        <f t="shared" si="81"/>
        <v>0</v>
      </c>
      <c r="U293" s="164">
        <f t="shared" si="82"/>
        <v>0</v>
      </c>
      <c r="V293" s="137" t="str">
        <f t="shared" si="83"/>
        <v/>
      </c>
      <c r="W293" s="137" t="str">
        <f t="shared" si="84"/>
        <v/>
      </c>
      <c r="X293" s="137" t="str">
        <f t="shared" si="85"/>
        <v/>
      </c>
    </row>
    <row r="294" spans="2:24" ht="15" thickBot="1" x14ac:dyDescent="0.4">
      <c r="B294" s="1155"/>
      <c r="C294" s="37">
        <f>'Combustão Móvel'!B359</f>
        <v>0</v>
      </c>
      <c r="D294" s="159" t="str">
        <f>'Combustão Móvel'!Q359</f>
        <v/>
      </c>
      <c r="E294" s="153">
        <f>'Combustão Móvel'!H359</f>
        <v>0</v>
      </c>
      <c r="F294" s="153">
        <f t="shared" si="86"/>
        <v>0</v>
      </c>
      <c r="G294" s="153">
        <f t="shared" si="87"/>
        <v>0</v>
      </c>
      <c r="H294" s="153">
        <f t="shared" si="88"/>
        <v>0</v>
      </c>
      <c r="I294" s="153">
        <f t="shared" si="89"/>
        <v>0</v>
      </c>
      <c r="J294" s="153">
        <f t="shared" si="90"/>
        <v>0</v>
      </c>
      <c r="K294" s="160">
        <f t="shared" si="91"/>
        <v>0</v>
      </c>
      <c r="L294" s="66">
        <f>'Combustão Móvel'!H359</f>
        <v>0</v>
      </c>
      <c r="M294" s="67">
        <f>'Combustão Móvel'!I359</f>
        <v>0</v>
      </c>
      <c r="N294" s="153"/>
      <c r="O294" s="153">
        <f t="shared" si="78"/>
        <v>0</v>
      </c>
      <c r="P294" s="153"/>
      <c r="Q294" s="153"/>
      <c r="R294" s="153">
        <f t="shared" si="79"/>
        <v>0</v>
      </c>
      <c r="S294" s="153">
        <f t="shared" si="80"/>
        <v>0</v>
      </c>
      <c r="T294" s="164">
        <f t="shared" si="81"/>
        <v>0</v>
      </c>
      <c r="U294" s="164">
        <f t="shared" si="82"/>
        <v>0</v>
      </c>
      <c r="V294" s="137" t="str">
        <f t="shared" si="83"/>
        <v/>
      </c>
      <c r="W294" s="137" t="str">
        <f t="shared" si="84"/>
        <v/>
      </c>
      <c r="X294" s="137" t="str">
        <f t="shared" si="85"/>
        <v/>
      </c>
    </row>
    <row r="295" spans="2:24" ht="15" thickBot="1" x14ac:dyDescent="0.4">
      <c r="B295" s="1155"/>
      <c r="C295" s="37">
        <f>'Combustão Móvel'!B360</f>
        <v>0</v>
      </c>
      <c r="D295" s="159" t="str">
        <f>'Combustão Móvel'!Q360</f>
        <v/>
      </c>
      <c r="E295" s="153">
        <f>'Combustão Móvel'!H360</f>
        <v>0</v>
      </c>
      <c r="F295" s="153">
        <f t="shared" si="86"/>
        <v>0</v>
      </c>
      <c r="G295" s="153">
        <f t="shared" si="87"/>
        <v>0</v>
      </c>
      <c r="H295" s="153">
        <f t="shared" si="88"/>
        <v>0</v>
      </c>
      <c r="I295" s="153">
        <f t="shared" si="89"/>
        <v>0</v>
      </c>
      <c r="J295" s="153">
        <f t="shared" si="90"/>
        <v>0</v>
      </c>
      <c r="K295" s="160">
        <f t="shared" si="91"/>
        <v>0</v>
      </c>
      <c r="L295" s="66">
        <f>'Combustão Móvel'!H360</f>
        <v>0</v>
      </c>
      <c r="M295" s="67">
        <f>'Combustão Móvel'!I360</f>
        <v>0</v>
      </c>
      <c r="N295" s="153"/>
      <c r="O295" s="153">
        <f t="shared" si="78"/>
        <v>0</v>
      </c>
      <c r="P295" s="153"/>
      <c r="Q295" s="153"/>
      <c r="R295" s="153">
        <f t="shared" si="79"/>
        <v>0</v>
      </c>
      <c r="S295" s="153">
        <f t="shared" si="80"/>
        <v>0</v>
      </c>
      <c r="T295" s="164">
        <f t="shared" si="81"/>
        <v>0</v>
      </c>
      <c r="U295" s="164">
        <f t="shared" si="82"/>
        <v>0</v>
      </c>
      <c r="V295" s="137" t="str">
        <f t="shared" si="83"/>
        <v/>
      </c>
      <c r="W295" s="137" t="str">
        <f t="shared" si="84"/>
        <v/>
      </c>
      <c r="X295" s="137" t="str">
        <f t="shared" si="85"/>
        <v/>
      </c>
    </row>
    <row r="296" spans="2:24" ht="15" thickBot="1" x14ac:dyDescent="0.4">
      <c r="B296" s="1155"/>
      <c r="C296" s="37">
        <f>'Combustão Móvel'!B361</f>
        <v>0</v>
      </c>
      <c r="D296" s="159" t="str">
        <f>'Combustão Móvel'!Q361</f>
        <v/>
      </c>
      <c r="E296" s="153">
        <f>'Combustão Móvel'!H361</f>
        <v>0</v>
      </c>
      <c r="F296" s="153">
        <f t="shared" si="86"/>
        <v>0</v>
      </c>
      <c r="G296" s="153">
        <f t="shared" si="87"/>
        <v>0</v>
      </c>
      <c r="H296" s="153">
        <f t="shared" si="88"/>
        <v>0</v>
      </c>
      <c r="I296" s="153">
        <f t="shared" si="89"/>
        <v>0</v>
      </c>
      <c r="J296" s="153">
        <f t="shared" si="90"/>
        <v>0</v>
      </c>
      <c r="K296" s="160">
        <f t="shared" si="91"/>
        <v>0</v>
      </c>
      <c r="L296" s="66">
        <f>'Combustão Móvel'!H361</f>
        <v>0</v>
      </c>
      <c r="M296" s="67">
        <f>'Combustão Móvel'!I361</f>
        <v>0</v>
      </c>
      <c r="N296" s="153"/>
      <c r="O296" s="153">
        <f t="shared" si="78"/>
        <v>0</v>
      </c>
      <c r="P296" s="153"/>
      <c r="Q296" s="153"/>
      <c r="R296" s="153">
        <f t="shared" si="79"/>
        <v>0</v>
      </c>
      <c r="S296" s="153">
        <f t="shared" si="80"/>
        <v>0</v>
      </c>
      <c r="T296" s="164">
        <f t="shared" si="81"/>
        <v>0</v>
      </c>
      <c r="U296" s="164">
        <f t="shared" si="82"/>
        <v>0</v>
      </c>
      <c r="V296" s="137" t="str">
        <f t="shared" si="83"/>
        <v/>
      </c>
      <c r="W296" s="137" t="str">
        <f t="shared" si="84"/>
        <v/>
      </c>
      <c r="X296" s="137" t="str">
        <f t="shared" si="85"/>
        <v/>
      </c>
    </row>
    <row r="297" spans="2:24" ht="15" thickBot="1" x14ac:dyDescent="0.4">
      <c r="B297" s="1155"/>
      <c r="C297" s="37">
        <f>'Combustão Móvel'!B362</f>
        <v>0</v>
      </c>
      <c r="D297" s="159" t="str">
        <f>'Combustão Móvel'!Q362</f>
        <v/>
      </c>
      <c r="E297" s="153">
        <f>'Combustão Móvel'!H362</f>
        <v>0</v>
      </c>
      <c r="F297" s="153">
        <f t="shared" si="86"/>
        <v>0</v>
      </c>
      <c r="G297" s="153">
        <f t="shared" si="87"/>
        <v>0</v>
      </c>
      <c r="H297" s="153">
        <f t="shared" si="88"/>
        <v>0</v>
      </c>
      <c r="I297" s="153">
        <f t="shared" si="89"/>
        <v>0</v>
      </c>
      <c r="J297" s="153">
        <f t="shared" si="90"/>
        <v>0</v>
      </c>
      <c r="K297" s="160">
        <f t="shared" si="91"/>
        <v>0</v>
      </c>
      <c r="L297" s="66">
        <f>'Combustão Móvel'!H362</f>
        <v>0</v>
      </c>
      <c r="M297" s="67">
        <f>'Combustão Móvel'!I362</f>
        <v>0</v>
      </c>
      <c r="N297" s="153"/>
      <c r="O297" s="153">
        <f t="shared" si="78"/>
        <v>0</v>
      </c>
      <c r="P297" s="153"/>
      <c r="Q297" s="153"/>
      <c r="R297" s="153">
        <f t="shared" si="79"/>
        <v>0</v>
      </c>
      <c r="S297" s="153">
        <f t="shared" si="80"/>
        <v>0</v>
      </c>
      <c r="T297" s="164">
        <f t="shared" si="81"/>
        <v>0</v>
      </c>
      <c r="U297" s="164">
        <f t="shared" si="82"/>
        <v>0</v>
      </c>
      <c r="V297" s="137" t="str">
        <f t="shared" si="83"/>
        <v/>
      </c>
      <c r="W297" s="137" t="str">
        <f t="shared" si="84"/>
        <v/>
      </c>
      <c r="X297" s="137" t="str">
        <f t="shared" si="85"/>
        <v/>
      </c>
    </row>
    <row r="298" spans="2:24" ht="15" thickBot="1" x14ac:dyDescent="0.4">
      <c r="B298" s="1155"/>
      <c r="C298" s="37">
        <f>'Combustão Móvel'!B363</f>
        <v>0</v>
      </c>
      <c r="D298" s="159" t="str">
        <f>'Combustão Móvel'!Q363</f>
        <v/>
      </c>
      <c r="E298" s="153">
        <f>'Combustão Móvel'!H363</f>
        <v>0</v>
      </c>
      <c r="F298" s="153">
        <f t="shared" si="86"/>
        <v>0</v>
      </c>
      <c r="G298" s="153">
        <f t="shared" si="87"/>
        <v>0</v>
      </c>
      <c r="H298" s="153">
        <f t="shared" si="88"/>
        <v>0</v>
      </c>
      <c r="I298" s="153">
        <f t="shared" si="89"/>
        <v>0</v>
      </c>
      <c r="J298" s="153">
        <f t="shared" si="90"/>
        <v>0</v>
      </c>
      <c r="K298" s="160">
        <f t="shared" si="91"/>
        <v>0</v>
      </c>
      <c r="L298" s="66">
        <f>'Combustão Móvel'!H363</f>
        <v>0</v>
      </c>
      <c r="M298" s="67">
        <f>'Combustão Móvel'!I363</f>
        <v>0</v>
      </c>
      <c r="N298" s="153"/>
      <c r="O298" s="153">
        <f t="shared" si="78"/>
        <v>0</v>
      </c>
      <c r="P298" s="153"/>
      <c r="Q298" s="153"/>
      <c r="R298" s="153">
        <f t="shared" si="79"/>
        <v>0</v>
      </c>
      <c r="S298" s="153">
        <f t="shared" si="80"/>
        <v>0</v>
      </c>
      <c r="T298" s="164">
        <f t="shared" si="81"/>
        <v>0</v>
      </c>
      <c r="U298" s="164">
        <f t="shared" si="82"/>
        <v>0</v>
      </c>
      <c r="V298" s="137" t="str">
        <f t="shared" si="83"/>
        <v/>
      </c>
      <c r="W298" s="137" t="str">
        <f t="shared" si="84"/>
        <v/>
      </c>
      <c r="X298" s="137" t="str">
        <f t="shared" si="85"/>
        <v/>
      </c>
    </row>
    <row r="299" spans="2:24" ht="15" thickBot="1" x14ac:dyDescent="0.4">
      <c r="B299" s="1155"/>
      <c r="C299" s="37">
        <f>'Combustão Móvel'!B364</f>
        <v>0</v>
      </c>
      <c r="D299" s="159" t="str">
        <f>'Combustão Móvel'!Q364</f>
        <v/>
      </c>
      <c r="E299" s="153">
        <f>'Combustão Móvel'!H364</f>
        <v>0</v>
      </c>
      <c r="F299" s="153">
        <f t="shared" si="86"/>
        <v>0</v>
      </c>
      <c r="G299" s="153">
        <f t="shared" si="87"/>
        <v>0</v>
      </c>
      <c r="H299" s="153">
        <f t="shared" si="88"/>
        <v>0</v>
      </c>
      <c r="I299" s="153">
        <f t="shared" si="89"/>
        <v>0</v>
      </c>
      <c r="J299" s="153">
        <f t="shared" si="90"/>
        <v>0</v>
      </c>
      <c r="K299" s="160">
        <f t="shared" si="91"/>
        <v>0</v>
      </c>
      <c r="L299" s="66">
        <f>'Combustão Móvel'!H364</f>
        <v>0</v>
      </c>
      <c r="M299" s="67">
        <f>'Combustão Móvel'!I364</f>
        <v>0</v>
      </c>
      <c r="N299" s="153"/>
      <c r="O299" s="153">
        <f t="shared" si="78"/>
        <v>0</v>
      </c>
      <c r="P299" s="153"/>
      <c r="Q299" s="153"/>
      <c r="R299" s="153">
        <f t="shared" si="79"/>
        <v>0</v>
      </c>
      <c r="S299" s="153">
        <f t="shared" si="80"/>
        <v>0</v>
      </c>
      <c r="T299" s="164">
        <f t="shared" si="81"/>
        <v>0</v>
      </c>
      <c r="U299" s="164">
        <f t="shared" si="82"/>
        <v>0</v>
      </c>
      <c r="V299" s="137" t="str">
        <f t="shared" si="83"/>
        <v/>
      </c>
      <c r="W299" s="137" t="str">
        <f t="shared" si="84"/>
        <v/>
      </c>
      <c r="X299" s="137" t="str">
        <f t="shared" si="85"/>
        <v/>
      </c>
    </row>
    <row r="300" spans="2:24" ht="15" thickBot="1" x14ac:dyDescent="0.4">
      <c r="B300" s="1155"/>
      <c r="C300" s="37">
        <f>'Combustão Móvel'!B365</f>
        <v>0</v>
      </c>
      <c r="D300" s="159" t="str">
        <f>'Combustão Móvel'!Q365</f>
        <v/>
      </c>
      <c r="E300" s="153">
        <f>'Combustão Móvel'!H365</f>
        <v>0</v>
      </c>
      <c r="F300" s="153">
        <f t="shared" si="86"/>
        <v>0</v>
      </c>
      <c r="G300" s="153">
        <f t="shared" si="87"/>
        <v>0</v>
      </c>
      <c r="H300" s="153">
        <f t="shared" si="88"/>
        <v>0</v>
      </c>
      <c r="I300" s="153">
        <f t="shared" si="89"/>
        <v>0</v>
      </c>
      <c r="J300" s="153">
        <f t="shared" si="90"/>
        <v>0</v>
      </c>
      <c r="K300" s="160">
        <f t="shared" si="91"/>
        <v>0</v>
      </c>
      <c r="L300" s="66">
        <f>'Combustão Móvel'!H365</f>
        <v>0</v>
      </c>
      <c r="M300" s="67">
        <f>'Combustão Móvel'!I365</f>
        <v>0</v>
      </c>
      <c r="N300" s="153"/>
      <c r="O300" s="153">
        <f t="shared" si="78"/>
        <v>0</v>
      </c>
      <c r="P300" s="153"/>
      <c r="Q300" s="153"/>
      <c r="R300" s="153">
        <f t="shared" si="79"/>
        <v>0</v>
      </c>
      <c r="S300" s="153">
        <f t="shared" si="80"/>
        <v>0</v>
      </c>
      <c r="T300" s="164">
        <f t="shared" si="81"/>
        <v>0</v>
      </c>
      <c r="U300" s="164">
        <f t="shared" si="82"/>
        <v>0</v>
      </c>
      <c r="V300" s="137" t="str">
        <f t="shared" si="83"/>
        <v/>
      </c>
      <c r="W300" s="137" t="str">
        <f t="shared" si="84"/>
        <v/>
      </c>
      <c r="X300" s="137" t="str">
        <f t="shared" si="85"/>
        <v/>
      </c>
    </row>
    <row r="301" spans="2:24" ht="15" thickBot="1" x14ac:dyDescent="0.4">
      <c r="B301" s="1155"/>
      <c r="C301" s="37">
        <f>'Combustão Móvel'!B366</f>
        <v>0</v>
      </c>
      <c r="D301" s="159" t="str">
        <f>'Combustão Móvel'!Q366</f>
        <v/>
      </c>
      <c r="E301" s="153">
        <f>'Combustão Móvel'!H366</f>
        <v>0</v>
      </c>
      <c r="F301" s="153">
        <f t="shared" si="86"/>
        <v>0</v>
      </c>
      <c r="G301" s="153">
        <f t="shared" si="87"/>
        <v>0</v>
      </c>
      <c r="H301" s="153">
        <f t="shared" si="88"/>
        <v>0</v>
      </c>
      <c r="I301" s="153">
        <f t="shared" si="89"/>
        <v>0</v>
      </c>
      <c r="J301" s="153">
        <f t="shared" si="90"/>
        <v>0</v>
      </c>
      <c r="K301" s="160">
        <f t="shared" si="91"/>
        <v>0</v>
      </c>
      <c r="L301" s="66">
        <f>'Combustão Móvel'!H366</f>
        <v>0</v>
      </c>
      <c r="M301" s="67">
        <f>'Combustão Móvel'!I366</f>
        <v>0</v>
      </c>
      <c r="N301" s="153"/>
      <c r="O301" s="153">
        <f t="shared" si="78"/>
        <v>0</v>
      </c>
      <c r="P301" s="153"/>
      <c r="Q301" s="153"/>
      <c r="R301" s="153">
        <f t="shared" si="79"/>
        <v>0</v>
      </c>
      <c r="S301" s="153">
        <f t="shared" si="80"/>
        <v>0</v>
      </c>
      <c r="T301" s="164">
        <f t="shared" si="81"/>
        <v>0</v>
      </c>
      <c r="U301" s="164">
        <f t="shared" si="82"/>
        <v>0</v>
      </c>
      <c r="V301" s="137" t="str">
        <f t="shared" si="83"/>
        <v/>
      </c>
      <c r="W301" s="137" t="str">
        <f t="shared" si="84"/>
        <v/>
      </c>
      <c r="X301" s="137" t="str">
        <f t="shared" si="85"/>
        <v/>
      </c>
    </row>
    <row r="302" spans="2:24" ht="15" thickBot="1" x14ac:dyDescent="0.4">
      <c r="B302" s="1155"/>
      <c r="C302" s="37">
        <f>'Combustão Móvel'!B367</f>
        <v>0</v>
      </c>
      <c r="D302" s="159" t="str">
        <f>'Combustão Móvel'!Q367</f>
        <v/>
      </c>
      <c r="E302" s="153">
        <f>'Combustão Móvel'!H367</f>
        <v>0</v>
      </c>
      <c r="F302" s="153">
        <f t="shared" si="86"/>
        <v>0</v>
      </c>
      <c r="G302" s="153">
        <f t="shared" si="87"/>
        <v>0</v>
      </c>
      <c r="H302" s="153">
        <f t="shared" si="88"/>
        <v>0</v>
      </c>
      <c r="I302" s="153">
        <f t="shared" si="89"/>
        <v>0</v>
      </c>
      <c r="J302" s="153">
        <f t="shared" si="90"/>
        <v>0</v>
      </c>
      <c r="K302" s="160">
        <f t="shared" si="91"/>
        <v>0</v>
      </c>
      <c r="L302" s="66">
        <f>'Combustão Móvel'!H367</f>
        <v>0</v>
      </c>
      <c r="M302" s="67">
        <f>'Combustão Móvel'!I367</f>
        <v>0</v>
      </c>
      <c r="N302" s="153"/>
      <c r="O302" s="153">
        <f t="shared" si="78"/>
        <v>0</v>
      </c>
      <c r="P302" s="153"/>
      <c r="Q302" s="153"/>
      <c r="R302" s="153">
        <f t="shared" si="79"/>
        <v>0</v>
      </c>
      <c r="S302" s="153">
        <f t="shared" si="80"/>
        <v>0</v>
      </c>
      <c r="T302" s="164">
        <f t="shared" si="81"/>
        <v>0</v>
      </c>
      <c r="U302" s="164">
        <f t="shared" si="82"/>
        <v>0</v>
      </c>
      <c r="V302" s="137" t="str">
        <f t="shared" si="83"/>
        <v/>
      </c>
      <c r="W302" s="137" t="str">
        <f t="shared" si="84"/>
        <v/>
      </c>
      <c r="X302" s="137" t="str">
        <f t="shared" si="85"/>
        <v/>
      </c>
    </row>
    <row r="303" spans="2:24" ht="15" thickBot="1" x14ac:dyDescent="0.4">
      <c r="B303" s="1155"/>
      <c r="C303" s="37">
        <f>'Combustão Móvel'!B368</f>
        <v>0</v>
      </c>
      <c r="D303" s="159" t="str">
        <f>'Combustão Móvel'!Q368</f>
        <v/>
      </c>
      <c r="E303" s="153">
        <f>'Combustão Móvel'!H368</f>
        <v>0</v>
      </c>
      <c r="F303" s="153">
        <f t="shared" si="86"/>
        <v>0</v>
      </c>
      <c r="G303" s="153">
        <f t="shared" si="87"/>
        <v>0</v>
      </c>
      <c r="H303" s="153">
        <f t="shared" si="88"/>
        <v>0</v>
      </c>
      <c r="I303" s="153">
        <f t="shared" si="89"/>
        <v>0</v>
      </c>
      <c r="J303" s="153">
        <f t="shared" si="90"/>
        <v>0</v>
      </c>
      <c r="K303" s="160">
        <f t="shared" si="91"/>
        <v>0</v>
      </c>
      <c r="L303" s="66">
        <f>'Combustão Móvel'!H368</f>
        <v>0</v>
      </c>
      <c r="M303" s="67">
        <f>'Combustão Móvel'!I368</f>
        <v>0</v>
      </c>
      <c r="N303" s="153"/>
      <c r="O303" s="153">
        <f t="shared" si="78"/>
        <v>0</v>
      </c>
      <c r="P303" s="153"/>
      <c r="Q303" s="153"/>
      <c r="R303" s="153">
        <f t="shared" si="79"/>
        <v>0</v>
      </c>
      <c r="S303" s="153">
        <f t="shared" si="80"/>
        <v>0</v>
      </c>
      <c r="T303" s="164">
        <f t="shared" si="81"/>
        <v>0</v>
      </c>
      <c r="U303" s="164">
        <f t="shared" si="82"/>
        <v>0</v>
      </c>
      <c r="V303" s="137" t="str">
        <f t="shared" si="83"/>
        <v/>
      </c>
      <c r="W303" s="137" t="str">
        <f t="shared" si="84"/>
        <v/>
      </c>
      <c r="X303" s="137" t="str">
        <f t="shared" si="85"/>
        <v/>
      </c>
    </row>
    <row r="304" spans="2:24" ht="15" thickBot="1" x14ac:dyDescent="0.4">
      <c r="B304" s="1155"/>
      <c r="C304" s="37">
        <f>'Combustão Móvel'!B369</f>
        <v>0</v>
      </c>
      <c r="D304" s="159" t="str">
        <f>'Combustão Móvel'!Q369</f>
        <v/>
      </c>
      <c r="E304" s="153">
        <f>'Combustão Móvel'!H369</f>
        <v>0</v>
      </c>
      <c r="F304" s="153">
        <f t="shared" si="86"/>
        <v>0</v>
      </c>
      <c r="G304" s="153">
        <f t="shared" si="87"/>
        <v>0</v>
      </c>
      <c r="H304" s="153">
        <f t="shared" si="88"/>
        <v>0</v>
      </c>
      <c r="I304" s="153">
        <f t="shared" si="89"/>
        <v>0</v>
      </c>
      <c r="J304" s="153">
        <f t="shared" si="90"/>
        <v>0</v>
      </c>
      <c r="K304" s="160">
        <f t="shared" si="91"/>
        <v>0</v>
      </c>
      <c r="L304" s="66">
        <f>'Combustão Móvel'!H369</f>
        <v>0</v>
      </c>
      <c r="M304" s="67">
        <f>'Combustão Móvel'!I369</f>
        <v>0</v>
      </c>
      <c r="N304" s="153"/>
      <c r="O304" s="153">
        <f t="shared" si="78"/>
        <v>0</v>
      </c>
      <c r="P304" s="153"/>
      <c r="Q304" s="153"/>
      <c r="R304" s="153">
        <f t="shared" si="79"/>
        <v>0</v>
      </c>
      <c r="S304" s="153">
        <f t="shared" si="80"/>
        <v>0</v>
      </c>
      <c r="T304" s="164">
        <f t="shared" si="81"/>
        <v>0</v>
      </c>
      <c r="U304" s="164">
        <f t="shared" si="82"/>
        <v>0</v>
      </c>
      <c r="V304" s="137" t="str">
        <f t="shared" si="83"/>
        <v/>
      </c>
      <c r="W304" s="137" t="str">
        <f t="shared" si="84"/>
        <v/>
      </c>
      <c r="X304" s="137" t="str">
        <f t="shared" si="85"/>
        <v/>
      </c>
    </row>
    <row r="305" spans="2:24" ht="15" thickBot="1" x14ac:dyDescent="0.4">
      <c r="B305" s="1155"/>
      <c r="C305" s="37">
        <f>'Combustão Móvel'!B370</f>
        <v>0</v>
      </c>
      <c r="D305" s="159" t="str">
        <f>'Combustão Móvel'!Q370</f>
        <v/>
      </c>
      <c r="E305" s="153">
        <f>'Combustão Móvel'!H370</f>
        <v>0</v>
      </c>
      <c r="F305" s="153">
        <f t="shared" si="86"/>
        <v>0</v>
      </c>
      <c r="G305" s="153">
        <f t="shared" si="87"/>
        <v>0</v>
      </c>
      <c r="H305" s="153">
        <f t="shared" si="88"/>
        <v>0</v>
      </c>
      <c r="I305" s="153">
        <f t="shared" si="89"/>
        <v>0</v>
      </c>
      <c r="J305" s="153">
        <f t="shared" si="90"/>
        <v>0</v>
      </c>
      <c r="K305" s="160">
        <f t="shared" si="91"/>
        <v>0</v>
      </c>
      <c r="L305" s="66">
        <f>'Combustão Móvel'!H370</f>
        <v>0</v>
      </c>
      <c r="M305" s="67">
        <f>'Combustão Móvel'!I370</f>
        <v>0</v>
      </c>
      <c r="N305" s="153"/>
      <c r="O305" s="153">
        <f t="shared" si="78"/>
        <v>0</v>
      </c>
      <c r="P305" s="153"/>
      <c r="Q305" s="153"/>
      <c r="R305" s="153">
        <f t="shared" si="79"/>
        <v>0</v>
      </c>
      <c r="S305" s="153">
        <f t="shared" si="80"/>
        <v>0</v>
      </c>
      <c r="T305" s="164">
        <f t="shared" si="81"/>
        <v>0</v>
      </c>
      <c r="U305" s="164">
        <f t="shared" si="82"/>
        <v>0</v>
      </c>
      <c r="V305" s="137" t="str">
        <f t="shared" si="83"/>
        <v/>
      </c>
      <c r="W305" s="137" t="str">
        <f t="shared" si="84"/>
        <v/>
      </c>
      <c r="X305" s="137" t="str">
        <f t="shared" si="85"/>
        <v/>
      </c>
    </row>
    <row r="306" spans="2:24" ht="15" thickBot="1" x14ac:dyDescent="0.4">
      <c r="B306" s="1155"/>
      <c r="C306" s="37">
        <f>'Combustão Móvel'!B371</f>
        <v>0</v>
      </c>
      <c r="D306" s="159" t="str">
        <f>'Combustão Móvel'!Q371</f>
        <v/>
      </c>
      <c r="E306" s="153">
        <f>'Combustão Móvel'!H371</f>
        <v>0</v>
      </c>
      <c r="F306" s="153">
        <f t="shared" si="86"/>
        <v>0</v>
      </c>
      <c r="G306" s="153">
        <f t="shared" si="87"/>
        <v>0</v>
      </c>
      <c r="H306" s="153">
        <f t="shared" si="88"/>
        <v>0</v>
      </c>
      <c r="I306" s="153">
        <f t="shared" si="89"/>
        <v>0</v>
      </c>
      <c r="J306" s="153">
        <f t="shared" si="90"/>
        <v>0</v>
      </c>
      <c r="K306" s="160">
        <f t="shared" si="91"/>
        <v>0</v>
      </c>
      <c r="L306" s="66">
        <f>'Combustão Móvel'!H371</f>
        <v>0</v>
      </c>
      <c r="M306" s="67">
        <f>'Combustão Móvel'!I371</f>
        <v>0</v>
      </c>
      <c r="N306" s="153"/>
      <c r="O306" s="153">
        <f t="shared" si="78"/>
        <v>0</v>
      </c>
      <c r="P306" s="153"/>
      <c r="Q306" s="153"/>
      <c r="R306" s="153">
        <f t="shared" si="79"/>
        <v>0</v>
      </c>
      <c r="S306" s="153">
        <f t="shared" si="80"/>
        <v>0</v>
      </c>
      <c r="T306" s="164">
        <f t="shared" si="81"/>
        <v>0</v>
      </c>
      <c r="U306" s="164">
        <f t="shared" si="82"/>
        <v>0</v>
      </c>
      <c r="V306" s="137" t="str">
        <f t="shared" si="83"/>
        <v/>
      </c>
      <c r="W306" s="137" t="str">
        <f t="shared" si="84"/>
        <v/>
      </c>
      <c r="X306" s="137" t="str">
        <f t="shared" si="85"/>
        <v/>
      </c>
    </row>
    <row r="307" spans="2:24" ht="15" thickBot="1" x14ac:dyDescent="0.4">
      <c r="B307" s="1155"/>
      <c r="C307" s="37">
        <f>'Combustão Móvel'!B372</f>
        <v>0</v>
      </c>
      <c r="D307" s="159" t="str">
        <f>'Combustão Móvel'!Q372</f>
        <v/>
      </c>
      <c r="E307" s="153">
        <f>'Combustão Móvel'!H372</f>
        <v>0</v>
      </c>
      <c r="F307" s="153">
        <f t="shared" si="86"/>
        <v>0</v>
      </c>
      <c r="G307" s="153">
        <f t="shared" si="87"/>
        <v>0</v>
      </c>
      <c r="H307" s="153">
        <f t="shared" si="88"/>
        <v>0</v>
      </c>
      <c r="I307" s="153">
        <f t="shared" si="89"/>
        <v>0</v>
      </c>
      <c r="J307" s="153">
        <f t="shared" si="90"/>
        <v>0</v>
      </c>
      <c r="K307" s="160">
        <f t="shared" si="91"/>
        <v>0</v>
      </c>
      <c r="L307" s="66">
        <f>'Combustão Móvel'!H372</f>
        <v>0</v>
      </c>
      <c r="M307" s="67">
        <f>'Combustão Móvel'!I372</f>
        <v>0</v>
      </c>
      <c r="N307" s="153"/>
      <c r="O307" s="153">
        <f t="shared" si="78"/>
        <v>0</v>
      </c>
      <c r="P307" s="153"/>
      <c r="Q307" s="153"/>
      <c r="R307" s="153">
        <f t="shared" si="79"/>
        <v>0</v>
      </c>
      <c r="S307" s="153">
        <f t="shared" si="80"/>
        <v>0</v>
      </c>
      <c r="T307" s="164">
        <f t="shared" si="81"/>
        <v>0</v>
      </c>
      <c r="U307" s="164">
        <f t="shared" si="82"/>
        <v>0</v>
      </c>
      <c r="V307" s="137" t="str">
        <f t="shared" si="83"/>
        <v/>
      </c>
      <c r="W307" s="137" t="str">
        <f t="shared" si="84"/>
        <v/>
      </c>
      <c r="X307" s="137" t="str">
        <f t="shared" si="85"/>
        <v/>
      </c>
    </row>
    <row r="308" spans="2:24" ht="15" thickBot="1" x14ac:dyDescent="0.4">
      <c r="B308" s="1155"/>
      <c r="C308" s="37">
        <f>'Combustão Móvel'!B373</f>
        <v>0</v>
      </c>
      <c r="D308" s="159" t="str">
        <f>'Combustão Móvel'!Q373</f>
        <v/>
      </c>
      <c r="E308" s="153">
        <f>'Combustão Móvel'!H373</f>
        <v>0</v>
      </c>
      <c r="F308" s="153">
        <f t="shared" si="86"/>
        <v>0</v>
      </c>
      <c r="G308" s="153">
        <f t="shared" si="87"/>
        <v>0</v>
      </c>
      <c r="H308" s="153">
        <f t="shared" si="88"/>
        <v>0</v>
      </c>
      <c r="I308" s="153">
        <f t="shared" si="89"/>
        <v>0</v>
      </c>
      <c r="J308" s="153">
        <f t="shared" si="90"/>
        <v>0</v>
      </c>
      <c r="K308" s="160">
        <f t="shared" si="91"/>
        <v>0</v>
      </c>
      <c r="L308" s="66">
        <f>'Combustão Móvel'!H373</f>
        <v>0</v>
      </c>
      <c r="M308" s="67">
        <f>'Combustão Móvel'!I373</f>
        <v>0</v>
      </c>
      <c r="N308" s="153"/>
      <c r="O308" s="153">
        <f t="shared" si="78"/>
        <v>0</v>
      </c>
      <c r="P308" s="153"/>
      <c r="Q308" s="153"/>
      <c r="R308" s="153">
        <f t="shared" si="79"/>
        <v>0</v>
      </c>
      <c r="S308" s="153">
        <f t="shared" si="80"/>
        <v>0</v>
      </c>
      <c r="T308" s="164">
        <f t="shared" si="81"/>
        <v>0</v>
      </c>
      <c r="U308" s="164">
        <f t="shared" si="82"/>
        <v>0</v>
      </c>
      <c r="V308" s="137" t="str">
        <f t="shared" si="83"/>
        <v/>
      </c>
      <c r="W308" s="137" t="str">
        <f t="shared" si="84"/>
        <v/>
      </c>
      <c r="X308" s="137" t="str">
        <f t="shared" si="85"/>
        <v/>
      </c>
    </row>
    <row r="309" spans="2:24" ht="15" thickBot="1" x14ac:dyDescent="0.4">
      <c r="B309" s="1155"/>
      <c r="C309" s="37">
        <f>'Combustão Móvel'!B374</f>
        <v>0</v>
      </c>
      <c r="D309" s="159" t="str">
        <f>'Combustão Móvel'!Q374</f>
        <v/>
      </c>
      <c r="E309" s="153">
        <f>'Combustão Móvel'!H374</f>
        <v>0</v>
      </c>
      <c r="F309" s="153">
        <f t="shared" si="86"/>
        <v>0</v>
      </c>
      <c r="G309" s="153">
        <f t="shared" si="87"/>
        <v>0</v>
      </c>
      <c r="H309" s="153">
        <f t="shared" si="88"/>
        <v>0</v>
      </c>
      <c r="I309" s="153">
        <f t="shared" si="89"/>
        <v>0</v>
      </c>
      <c r="J309" s="153">
        <f t="shared" si="90"/>
        <v>0</v>
      </c>
      <c r="K309" s="160">
        <f t="shared" si="91"/>
        <v>0</v>
      </c>
      <c r="L309" s="66">
        <f>'Combustão Móvel'!H374</f>
        <v>0</v>
      </c>
      <c r="M309" s="67">
        <f>'Combustão Móvel'!I374</f>
        <v>0</v>
      </c>
      <c r="N309" s="153"/>
      <c r="O309" s="153">
        <f t="shared" si="78"/>
        <v>0</v>
      </c>
      <c r="P309" s="153"/>
      <c r="Q309" s="153"/>
      <c r="R309" s="153">
        <f t="shared" si="79"/>
        <v>0</v>
      </c>
      <c r="S309" s="153">
        <f t="shared" si="80"/>
        <v>0</v>
      </c>
      <c r="T309" s="164">
        <f t="shared" si="81"/>
        <v>0</v>
      </c>
      <c r="U309" s="164">
        <f t="shared" si="82"/>
        <v>0</v>
      </c>
      <c r="V309" s="137" t="str">
        <f t="shared" si="83"/>
        <v/>
      </c>
      <c r="W309" s="137" t="str">
        <f t="shared" si="84"/>
        <v/>
      </c>
      <c r="X309" s="137" t="str">
        <f t="shared" si="85"/>
        <v/>
      </c>
    </row>
    <row r="310" spans="2:24" ht="15" thickBot="1" x14ac:dyDescent="0.4">
      <c r="B310" s="1155"/>
      <c r="C310" s="37">
        <f>'Combustão Móvel'!B375</f>
        <v>0</v>
      </c>
      <c r="D310" s="159" t="str">
        <f>'Combustão Móvel'!Q375</f>
        <v/>
      </c>
      <c r="E310" s="153">
        <f>'Combustão Móvel'!H375</f>
        <v>0</v>
      </c>
      <c r="F310" s="153">
        <f t="shared" si="86"/>
        <v>0</v>
      </c>
      <c r="G310" s="153">
        <f t="shared" si="87"/>
        <v>0</v>
      </c>
      <c r="H310" s="153">
        <f t="shared" si="88"/>
        <v>0</v>
      </c>
      <c r="I310" s="153">
        <f t="shared" si="89"/>
        <v>0</v>
      </c>
      <c r="J310" s="153">
        <f t="shared" si="90"/>
        <v>0</v>
      </c>
      <c r="K310" s="160">
        <f t="shared" si="91"/>
        <v>0</v>
      </c>
      <c r="L310" s="66">
        <f>'Combustão Móvel'!H375</f>
        <v>0</v>
      </c>
      <c r="M310" s="67">
        <f>'Combustão Móvel'!I375</f>
        <v>0</v>
      </c>
      <c r="N310" s="153"/>
      <c r="O310" s="153">
        <f t="shared" si="78"/>
        <v>0</v>
      </c>
      <c r="P310" s="153"/>
      <c r="Q310" s="153"/>
      <c r="R310" s="153">
        <f t="shared" si="79"/>
        <v>0</v>
      </c>
      <c r="S310" s="153">
        <f t="shared" si="80"/>
        <v>0</v>
      </c>
      <c r="T310" s="164">
        <f t="shared" si="81"/>
        <v>0</v>
      </c>
      <c r="U310" s="164">
        <f t="shared" si="82"/>
        <v>0</v>
      </c>
      <c r="V310" s="137" t="str">
        <f t="shared" si="83"/>
        <v/>
      </c>
      <c r="W310" s="137" t="str">
        <f t="shared" si="84"/>
        <v/>
      </c>
      <c r="X310" s="137" t="str">
        <f t="shared" si="85"/>
        <v/>
      </c>
    </row>
    <row r="311" spans="2:24" ht="15" thickBot="1" x14ac:dyDescent="0.4">
      <c r="B311" s="1155"/>
      <c r="C311" s="37">
        <f>'Combustão Móvel'!B376</f>
        <v>0</v>
      </c>
      <c r="D311" s="159" t="str">
        <f>'Combustão Móvel'!Q376</f>
        <v/>
      </c>
      <c r="E311" s="153">
        <f>'Combustão Móvel'!H376</f>
        <v>0</v>
      </c>
      <c r="F311" s="153">
        <f t="shared" si="86"/>
        <v>0</v>
      </c>
      <c r="G311" s="153">
        <f t="shared" si="87"/>
        <v>0</v>
      </c>
      <c r="H311" s="153">
        <f t="shared" si="88"/>
        <v>0</v>
      </c>
      <c r="I311" s="153">
        <f t="shared" si="89"/>
        <v>0</v>
      </c>
      <c r="J311" s="153">
        <f t="shared" si="90"/>
        <v>0</v>
      </c>
      <c r="K311" s="160">
        <f t="shared" si="91"/>
        <v>0</v>
      </c>
      <c r="L311" s="66">
        <f>'Combustão Móvel'!H376</f>
        <v>0</v>
      </c>
      <c r="M311" s="67">
        <f>'Combustão Móvel'!I376</f>
        <v>0</v>
      </c>
      <c r="N311" s="153"/>
      <c r="O311" s="153">
        <f t="shared" si="78"/>
        <v>0</v>
      </c>
      <c r="P311" s="153"/>
      <c r="Q311" s="153"/>
      <c r="R311" s="153">
        <f t="shared" si="79"/>
        <v>0</v>
      </c>
      <c r="S311" s="153">
        <f t="shared" si="80"/>
        <v>0</v>
      </c>
      <c r="T311" s="164">
        <f t="shared" si="81"/>
        <v>0</v>
      </c>
      <c r="U311" s="164">
        <f t="shared" si="82"/>
        <v>0</v>
      </c>
      <c r="V311" s="137" t="str">
        <f t="shared" si="83"/>
        <v/>
      </c>
      <c r="W311" s="137" t="str">
        <f t="shared" si="84"/>
        <v/>
      </c>
      <c r="X311" s="137" t="str">
        <f t="shared" si="85"/>
        <v/>
      </c>
    </row>
    <row r="312" spans="2:24" ht="15" thickBot="1" x14ac:dyDescent="0.4">
      <c r="B312" s="1155"/>
      <c r="C312" s="37">
        <f>'Combustão Móvel'!B377</f>
        <v>0</v>
      </c>
      <c r="D312" s="159" t="str">
        <f>'Combustão Móvel'!Q377</f>
        <v/>
      </c>
      <c r="E312" s="153">
        <f>'Combustão Móvel'!H377</f>
        <v>0</v>
      </c>
      <c r="F312" s="153">
        <f t="shared" si="86"/>
        <v>0</v>
      </c>
      <c r="G312" s="153">
        <f t="shared" si="87"/>
        <v>0</v>
      </c>
      <c r="H312" s="153">
        <f t="shared" si="88"/>
        <v>0</v>
      </c>
      <c r="I312" s="153">
        <f t="shared" si="89"/>
        <v>0</v>
      </c>
      <c r="J312" s="153">
        <f t="shared" si="90"/>
        <v>0</v>
      </c>
      <c r="K312" s="160">
        <f t="shared" si="91"/>
        <v>0</v>
      </c>
      <c r="L312" s="66">
        <f>'Combustão Móvel'!H377</f>
        <v>0</v>
      </c>
      <c r="M312" s="67">
        <f>'Combustão Móvel'!I377</f>
        <v>0</v>
      </c>
      <c r="N312" s="153"/>
      <c r="O312" s="153">
        <f t="shared" si="78"/>
        <v>0</v>
      </c>
      <c r="P312" s="153"/>
      <c r="Q312" s="153"/>
      <c r="R312" s="153">
        <f t="shared" si="79"/>
        <v>0</v>
      </c>
      <c r="S312" s="153">
        <f t="shared" si="80"/>
        <v>0</v>
      </c>
      <c r="T312" s="164">
        <f t="shared" si="81"/>
        <v>0</v>
      </c>
      <c r="U312" s="164">
        <f t="shared" si="82"/>
        <v>0</v>
      </c>
      <c r="V312" s="137" t="str">
        <f t="shared" si="83"/>
        <v/>
      </c>
      <c r="W312" s="137" t="str">
        <f t="shared" si="84"/>
        <v/>
      </c>
      <c r="X312" s="137" t="str">
        <f t="shared" si="85"/>
        <v/>
      </c>
    </row>
    <row r="313" spans="2:24" ht="15" thickBot="1" x14ac:dyDescent="0.4">
      <c r="B313" s="1155"/>
      <c r="C313" s="37">
        <f>'Combustão Móvel'!B378</f>
        <v>0</v>
      </c>
      <c r="D313" s="159" t="str">
        <f>'Combustão Móvel'!Q378</f>
        <v/>
      </c>
      <c r="E313" s="153">
        <f>'Combustão Móvel'!H378</f>
        <v>0</v>
      </c>
      <c r="F313" s="153">
        <f t="shared" si="86"/>
        <v>0</v>
      </c>
      <c r="G313" s="153">
        <f t="shared" si="87"/>
        <v>0</v>
      </c>
      <c r="H313" s="153">
        <f t="shared" si="88"/>
        <v>0</v>
      </c>
      <c r="I313" s="153">
        <f t="shared" si="89"/>
        <v>0</v>
      </c>
      <c r="J313" s="153">
        <f t="shared" si="90"/>
        <v>0</v>
      </c>
      <c r="K313" s="160">
        <f t="shared" si="91"/>
        <v>0</v>
      </c>
      <c r="L313" s="66">
        <f>'Combustão Móvel'!H378</f>
        <v>0</v>
      </c>
      <c r="M313" s="67">
        <f>'Combustão Móvel'!I378</f>
        <v>0</v>
      </c>
      <c r="N313" s="153"/>
      <c r="O313" s="153">
        <f t="shared" si="78"/>
        <v>0</v>
      </c>
      <c r="P313" s="153"/>
      <c r="Q313" s="153"/>
      <c r="R313" s="153">
        <f t="shared" si="79"/>
        <v>0</v>
      </c>
      <c r="S313" s="153">
        <f t="shared" si="80"/>
        <v>0</v>
      </c>
      <c r="T313" s="164">
        <f t="shared" si="81"/>
        <v>0</v>
      </c>
      <c r="U313" s="164">
        <f t="shared" si="82"/>
        <v>0</v>
      </c>
      <c r="V313" s="137" t="str">
        <f t="shared" si="83"/>
        <v/>
      </c>
      <c r="W313" s="137" t="str">
        <f t="shared" si="84"/>
        <v/>
      </c>
      <c r="X313" s="137" t="str">
        <f t="shared" si="85"/>
        <v/>
      </c>
    </row>
    <row r="314" spans="2:24" ht="15" thickBot="1" x14ac:dyDescent="0.4">
      <c r="B314" s="1155"/>
      <c r="C314" s="37">
        <f>'Combustão Móvel'!B379</f>
        <v>0</v>
      </c>
      <c r="D314" s="159" t="str">
        <f>'Combustão Móvel'!Q379</f>
        <v/>
      </c>
      <c r="E314" s="153">
        <f>'Combustão Móvel'!H379</f>
        <v>0</v>
      </c>
      <c r="F314" s="153">
        <f t="shared" si="86"/>
        <v>0</v>
      </c>
      <c r="G314" s="153">
        <f t="shared" si="87"/>
        <v>0</v>
      </c>
      <c r="H314" s="153">
        <f t="shared" si="88"/>
        <v>0</v>
      </c>
      <c r="I314" s="153">
        <f t="shared" si="89"/>
        <v>0</v>
      </c>
      <c r="J314" s="153">
        <f t="shared" si="90"/>
        <v>0</v>
      </c>
      <c r="K314" s="160">
        <f t="shared" si="91"/>
        <v>0</v>
      </c>
      <c r="L314" s="66">
        <f>'Combustão Móvel'!H379</f>
        <v>0</v>
      </c>
      <c r="M314" s="67">
        <f>'Combustão Móvel'!I379</f>
        <v>0</v>
      </c>
      <c r="N314" s="153"/>
      <c r="O314" s="153">
        <f t="shared" si="78"/>
        <v>0</v>
      </c>
      <c r="P314" s="153"/>
      <c r="Q314" s="153"/>
      <c r="R314" s="153">
        <f t="shared" si="79"/>
        <v>0</v>
      </c>
      <c r="S314" s="153">
        <f t="shared" si="80"/>
        <v>0</v>
      </c>
      <c r="T314" s="164">
        <f t="shared" si="81"/>
        <v>0</v>
      </c>
      <c r="U314" s="164">
        <f t="shared" si="82"/>
        <v>0</v>
      </c>
      <c r="V314" s="137" t="str">
        <f t="shared" si="83"/>
        <v/>
      </c>
      <c r="W314" s="137" t="str">
        <f t="shared" si="84"/>
        <v/>
      </c>
      <c r="X314" s="137" t="str">
        <f t="shared" si="85"/>
        <v/>
      </c>
    </row>
    <row r="315" spans="2:24" ht="15" thickBot="1" x14ac:dyDescent="0.4">
      <c r="B315" s="1155"/>
      <c r="C315" s="37">
        <f>'Combustão Móvel'!B380</f>
        <v>0</v>
      </c>
      <c r="D315" s="159" t="str">
        <f>'Combustão Móvel'!Q380</f>
        <v/>
      </c>
      <c r="E315" s="153">
        <f>'Combustão Móvel'!H380</f>
        <v>0</v>
      </c>
      <c r="F315" s="153">
        <f t="shared" si="86"/>
        <v>0</v>
      </c>
      <c r="G315" s="153">
        <f t="shared" si="87"/>
        <v>0</v>
      </c>
      <c r="H315" s="153">
        <f t="shared" si="88"/>
        <v>0</v>
      </c>
      <c r="I315" s="153">
        <f t="shared" si="89"/>
        <v>0</v>
      </c>
      <c r="J315" s="153">
        <f t="shared" si="90"/>
        <v>0</v>
      </c>
      <c r="K315" s="160">
        <f t="shared" si="91"/>
        <v>0</v>
      </c>
      <c r="L315" s="66">
        <f>'Combustão Móvel'!H380</f>
        <v>0</v>
      </c>
      <c r="M315" s="67">
        <f>'Combustão Móvel'!I380</f>
        <v>0</v>
      </c>
      <c r="N315" s="153"/>
      <c r="O315" s="153">
        <f t="shared" si="78"/>
        <v>0</v>
      </c>
      <c r="P315" s="153"/>
      <c r="Q315" s="153"/>
      <c r="R315" s="153">
        <f t="shared" si="79"/>
        <v>0</v>
      </c>
      <c r="S315" s="153">
        <f t="shared" si="80"/>
        <v>0</v>
      </c>
      <c r="T315" s="164">
        <f t="shared" si="81"/>
        <v>0</v>
      </c>
      <c r="U315" s="164">
        <f t="shared" si="82"/>
        <v>0</v>
      </c>
      <c r="V315" s="137" t="str">
        <f t="shared" si="83"/>
        <v/>
      </c>
      <c r="W315" s="137" t="str">
        <f t="shared" si="84"/>
        <v/>
      </c>
      <c r="X315" s="137" t="str">
        <f t="shared" si="85"/>
        <v/>
      </c>
    </row>
    <row r="316" spans="2:24" ht="15" thickBot="1" x14ac:dyDescent="0.4">
      <c r="B316" s="1155"/>
      <c r="C316" s="37">
        <f>'Combustão Móvel'!B381</f>
        <v>0</v>
      </c>
      <c r="D316" s="159" t="str">
        <f>'Combustão Móvel'!Q381</f>
        <v/>
      </c>
      <c r="E316" s="153">
        <f>'Combustão Móvel'!H381</f>
        <v>0</v>
      </c>
      <c r="F316" s="153">
        <f t="shared" si="86"/>
        <v>0</v>
      </c>
      <c r="G316" s="153">
        <f t="shared" si="87"/>
        <v>0</v>
      </c>
      <c r="H316" s="153">
        <f t="shared" si="88"/>
        <v>0</v>
      </c>
      <c r="I316" s="153">
        <f t="shared" si="89"/>
        <v>0</v>
      </c>
      <c r="J316" s="153">
        <f t="shared" si="90"/>
        <v>0</v>
      </c>
      <c r="K316" s="160">
        <f t="shared" si="91"/>
        <v>0</v>
      </c>
      <c r="L316" s="66">
        <f>'Combustão Móvel'!H381</f>
        <v>0</v>
      </c>
      <c r="M316" s="67">
        <f>'Combustão Móvel'!I381</f>
        <v>0</v>
      </c>
      <c r="N316" s="153"/>
      <c r="O316" s="153">
        <f t="shared" si="78"/>
        <v>0</v>
      </c>
      <c r="P316" s="153"/>
      <c r="Q316" s="153"/>
      <c r="R316" s="153">
        <f t="shared" si="79"/>
        <v>0</v>
      </c>
      <c r="S316" s="153">
        <f t="shared" si="80"/>
        <v>0</v>
      </c>
      <c r="T316" s="164">
        <f t="shared" si="81"/>
        <v>0</v>
      </c>
      <c r="U316" s="164">
        <f t="shared" si="82"/>
        <v>0</v>
      </c>
      <c r="V316" s="137" t="str">
        <f t="shared" si="83"/>
        <v/>
      </c>
      <c r="W316" s="137" t="str">
        <f t="shared" si="84"/>
        <v/>
      </c>
      <c r="X316" s="137" t="str">
        <f t="shared" si="85"/>
        <v/>
      </c>
    </row>
    <row r="317" spans="2:24" ht="15" thickBot="1" x14ac:dyDescent="0.4">
      <c r="B317" s="1155"/>
      <c r="C317" s="37">
        <f>'Combustão Móvel'!B382</f>
        <v>0</v>
      </c>
      <c r="D317" s="159" t="str">
        <f>'Combustão Móvel'!Q382</f>
        <v/>
      </c>
      <c r="E317" s="153">
        <f>'Combustão Móvel'!H382</f>
        <v>0</v>
      </c>
      <c r="F317" s="153">
        <f t="shared" si="86"/>
        <v>0</v>
      </c>
      <c r="G317" s="153">
        <f t="shared" si="87"/>
        <v>0</v>
      </c>
      <c r="H317" s="153">
        <f t="shared" si="88"/>
        <v>0</v>
      </c>
      <c r="I317" s="153">
        <f t="shared" si="89"/>
        <v>0</v>
      </c>
      <c r="J317" s="153">
        <f t="shared" si="90"/>
        <v>0</v>
      </c>
      <c r="K317" s="160">
        <f t="shared" si="91"/>
        <v>0</v>
      </c>
      <c r="L317" s="66">
        <f>'Combustão Móvel'!H382</f>
        <v>0</v>
      </c>
      <c r="M317" s="67">
        <f>'Combustão Móvel'!I382</f>
        <v>0</v>
      </c>
      <c r="N317" s="153"/>
      <c r="O317" s="153">
        <f t="shared" si="78"/>
        <v>0</v>
      </c>
      <c r="P317" s="153"/>
      <c r="Q317" s="153"/>
      <c r="R317" s="153">
        <f t="shared" si="79"/>
        <v>0</v>
      </c>
      <c r="S317" s="153">
        <f t="shared" si="80"/>
        <v>0</v>
      </c>
      <c r="T317" s="164">
        <f t="shared" si="81"/>
        <v>0</v>
      </c>
      <c r="U317" s="164">
        <f t="shared" si="82"/>
        <v>0</v>
      </c>
      <c r="V317" s="137" t="str">
        <f t="shared" si="83"/>
        <v/>
      </c>
      <c r="W317" s="137" t="str">
        <f t="shared" si="84"/>
        <v/>
      </c>
      <c r="X317" s="137" t="str">
        <f t="shared" si="85"/>
        <v/>
      </c>
    </row>
    <row r="318" spans="2:24" ht="15" thickBot="1" x14ac:dyDescent="0.4">
      <c r="B318" s="1155"/>
      <c r="C318" s="37">
        <f>'Combustão Móvel'!B383</f>
        <v>0</v>
      </c>
      <c r="D318" s="159" t="str">
        <f>'Combustão Móvel'!Q383</f>
        <v/>
      </c>
      <c r="E318" s="153">
        <f>'Combustão Móvel'!H383</f>
        <v>0</v>
      </c>
      <c r="F318" s="153">
        <f t="shared" si="86"/>
        <v>0</v>
      </c>
      <c r="G318" s="153">
        <f t="shared" si="87"/>
        <v>0</v>
      </c>
      <c r="H318" s="153">
        <f t="shared" si="88"/>
        <v>0</v>
      </c>
      <c r="I318" s="153">
        <f t="shared" si="89"/>
        <v>0</v>
      </c>
      <c r="J318" s="153">
        <f t="shared" si="90"/>
        <v>0</v>
      </c>
      <c r="K318" s="160">
        <f t="shared" si="91"/>
        <v>0</v>
      </c>
      <c r="L318" s="66">
        <f>'Combustão Móvel'!H383</f>
        <v>0</v>
      </c>
      <c r="M318" s="67">
        <f>'Combustão Móvel'!I383</f>
        <v>0</v>
      </c>
      <c r="N318" s="153"/>
      <c r="O318" s="153">
        <f t="shared" si="78"/>
        <v>0</v>
      </c>
      <c r="P318" s="153"/>
      <c r="Q318" s="153"/>
      <c r="R318" s="153">
        <f t="shared" si="79"/>
        <v>0</v>
      </c>
      <c r="S318" s="153">
        <f t="shared" si="80"/>
        <v>0</v>
      </c>
      <c r="T318" s="164">
        <f t="shared" si="81"/>
        <v>0</v>
      </c>
      <c r="U318" s="164">
        <f t="shared" si="82"/>
        <v>0</v>
      </c>
      <c r="V318" s="137" t="str">
        <f t="shared" si="83"/>
        <v/>
      </c>
      <c r="W318" s="137" t="str">
        <f t="shared" si="84"/>
        <v/>
      </c>
      <c r="X318" s="137" t="str">
        <f t="shared" si="85"/>
        <v/>
      </c>
    </row>
    <row r="319" spans="2:24" ht="15" thickBot="1" x14ac:dyDescent="0.4">
      <c r="B319" s="1155"/>
      <c r="C319" s="37">
        <f>'Combustão Móvel'!B384</f>
        <v>0</v>
      </c>
      <c r="D319" s="159" t="str">
        <f>'Combustão Móvel'!Q384</f>
        <v/>
      </c>
      <c r="E319" s="153">
        <f>'Combustão Móvel'!H384</f>
        <v>0</v>
      </c>
      <c r="F319" s="153">
        <f t="shared" si="86"/>
        <v>0</v>
      </c>
      <c r="G319" s="153">
        <f t="shared" si="87"/>
        <v>0</v>
      </c>
      <c r="H319" s="153">
        <f t="shared" si="88"/>
        <v>0</v>
      </c>
      <c r="I319" s="153">
        <f t="shared" si="89"/>
        <v>0</v>
      </c>
      <c r="J319" s="153">
        <f t="shared" si="90"/>
        <v>0</v>
      </c>
      <c r="K319" s="160">
        <f t="shared" si="91"/>
        <v>0</v>
      </c>
      <c r="L319" s="66">
        <f>'Combustão Móvel'!H384</f>
        <v>0</v>
      </c>
      <c r="M319" s="67">
        <f>'Combustão Móvel'!I384</f>
        <v>0</v>
      </c>
      <c r="N319" s="153"/>
      <c r="O319" s="153">
        <f t="shared" si="78"/>
        <v>0</v>
      </c>
      <c r="P319" s="153"/>
      <c r="Q319" s="153"/>
      <c r="R319" s="153">
        <f t="shared" si="79"/>
        <v>0</v>
      </c>
      <c r="S319" s="153">
        <f t="shared" si="80"/>
        <v>0</v>
      </c>
      <c r="T319" s="164">
        <f t="shared" si="81"/>
        <v>0</v>
      </c>
      <c r="U319" s="164">
        <f t="shared" si="82"/>
        <v>0</v>
      </c>
      <c r="V319" s="137" t="str">
        <f t="shared" si="83"/>
        <v/>
      </c>
      <c r="W319" s="137" t="str">
        <f t="shared" si="84"/>
        <v/>
      </c>
      <c r="X319" s="137" t="str">
        <f t="shared" si="85"/>
        <v/>
      </c>
    </row>
    <row r="320" spans="2:24" ht="15" thickBot="1" x14ac:dyDescent="0.4">
      <c r="B320" s="1156"/>
      <c r="C320" s="37">
        <f>'Combustão Móvel'!B385</f>
        <v>0</v>
      </c>
      <c r="D320" s="159" t="str">
        <f>'Combustão Móvel'!Q385</f>
        <v/>
      </c>
      <c r="E320" s="156">
        <f>'Combustão Móvel'!H385</f>
        <v>0</v>
      </c>
      <c r="F320" s="156">
        <f t="shared" si="86"/>
        <v>0</v>
      </c>
      <c r="G320" s="156">
        <f t="shared" si="87"/>
        <v>0</v>
      </c>
      <c r="H320" s="156">
        <f t="shared" si="88"/>
        <v>0</v>
      </c>
      <c r="I320" s="156">
        <f t="shared" si="89"/>
        <v>0</v>
      </c>
      <c r="J320" s="156">
        <f t="shared" si="90"/>
        <v>0</v>
      </c>
      <c r="K320" s="161">
        <f t="shared" si="91"/>
        <v>0</v>
      </c>
      <c r="L320" s="66">
        <f>'Combustão Móvel'!H385</f>
        <v>0</v>
      </c>
      <c r="M320" s="67">
        <f>'Combustão Móvel'!I385</f>
        <v>0</v>
      </c>
      <c r="N320" s="153"/>
      <c r="O320" s="153">
        <f t="shared" si="78"/>
        <v>0</v>
      </c>
      <c r="P320" s="153"/>
      <c r="Q320" s="153"/>
      <c r="R320" s="153">
        <f t="shared" si="79"/>
        <v>0</v>
      </c>
      <c r="S320" s="153">
        <f t="shared" si="80"/>
        <v>0</v>
      </c>
      <c r="T320" s="164">
        <f t="shared" si="81"/>
        <v>0</v>
      </c>
      <c r="U320" s="164">
        <f t="shared" si="82"/>
        <v>0</v>
      </c>
      <c r="V320" s="137" t="str">
        <f t="shared" si="83"/>
        <v/>
      </c>
      <c r="W320" s="137" t="str">
        <f t="shared" si="84"/>
        <v/>
      </c>
      <c r="X320" s="137" t="str">
        <f t="shared" si="85"/>
        <v/>
      </c>
    </row>
    <row r="321" spans="2:24" ht="15" thickBot="1" x14ac:dyDescent="0.4">
      <c r="B321" s="1145" t="s">
        <v>234</v>
      </c>
      <c r="C321" s="36">
        <f>'Combustão Móvel'!B403</f>
        <v>0</v>
      </c>
      <c r="D321" s="148" t="str">
        <f>'Combustão Móvel'!Q403</f>
        <v/>
      </c>
      <c r="E321" s="148">
        <f>'Combustão Móvel'!H403</f>
        <v>0</v>
      </c>
      <c r="F321" s="159">
        <f t="shared" ref="F321" si="92">IF(C321=$F$20,D321,0)</f>
        <v>0</v>
      </c>
      <c r="G321" s="159">
        <f t="shared" ref="G321" si="93">IF(C321=$G$20,D321,0)</f>
        <v>0</v>
      </c>
      <c r="H321" s="159">
        <f t="shared" ref="H321" si="94">IF(C321=$H$20,D321,0)</f>
        <v>0</v>
      </c>
      <c r="I321" s="159">
        <f t="shared" ref="I321" si="95">IF(C321=$I$20,E321,0)</f>
        <v>0</v>
      </c>
      <c r="J321" s="159">
        <f t="shared" ref="J321" si="96">IF(C321=$J$20,E321,0)</f>
        <v>0</v>
      </c>
      <c r="K321" s="158">
        <f t="shared" ref="K321" si="97">IF(C321=$K$20,E321,0)</f>
        <v>0</v>
      </c>
      <c r="L321" s="66">
        <f>'Combustão Móvel'!H403</f>
        <v>0</v>
      </c>
      <c r="M321" s="67">
        <f>'Combustão Móvel'!I403</f>
        <v>0</v>
      </c>
      <c r="N321" s="153"/>
      <c r="O321" s="153">
        <f t="shared" si="78"/>
        <v>0</v>
      </c>
      <c r="P321" s="153"/>
      <c r="Q321" s="153"/>
      <c r="R321" s="153">
        <f t="shared" si="79"/>
        <v>0</v>
      </c>
      <c r="S321" s="153">
        <f t="shared" si="80"/>
        <v>0</v>
      </c>
      <c r="T321" s="164">
        <f t="shared" si="81"/>
        <v>0</v>
      </c>
      <c r="U321" s="164">
        <f t="shared" si="82"/>
        <v>0</v>
      </c>
      <c r="V321" s="137" t="str">
        <f t="shared" si="83"/>
        <v/>
      </c>
      <c r="W321" s="137" t="str">
        <f t="shared" si="84"/>
        <v/>
      </c>
      <c r="X321" s="137" t="str">
        <f t="shared" si="85"/>
        <v/>
      </c>
    </row>
    <row r="322" spans="2:24" ht="15" thickBot="1" x14ac:dyDescent="0.4">
      <c r="B322" s="1146"/>
      <c r="C322" s="36">
        <f>'Combustão Móvel'!B404</f>
        <v>0</v>
      </c>
      <c r="D322" s="148" t="str">
        <f>'Combustão Móvel'!Q404</f>
        <v/>
      </c>
      <c r="E322" s="162">
        <f>'Combustão Móvel'!H404</f>
        <v>0</v>
      </c>
      <c r="F322" s="153">
        <f t="shared" ref="F322:F385" si="98">IF(C322=$F$20,D322,0)</f>
        <v>0</v>
      </c>
      <c r="G322" s="153">
        <f t="shared" ref="G322:G385" si="99">IF(C322=$G$20,D322,0)</f>
        <v>0</v>
      </c>
      <c r="H322" s="153">
        <f t="shared" ref="H322:H385" si="100">IF(C322=$H$20,D322,0)</f>
        <v>0</v>
      </c>
      <c r="I322" s="153">
        <f t="shared" ref="I322:I385" si="101">IF(C322=$I$20,E322,0)</f>
        <v>0</v>
      </c>
      <c r="J322" s="153">
        <f t="shared" ref="J322:J385" si="102">IF(C322=$J$20,E322,0)</f>
        <v>0</v>
      </c>
      <c r="K322" s="154">
        <f t="shared" ref="K322:K385" si="103">IF(C322=$K$20,E322,0)</f>
        <v>0</v>
      </c>
      <c r="L322" s="66">
        <f>'Combustão Móvel'!H404</f>
        <v>0</v>
      </c>
      <c r="M322" s="67">
        <f>'Combustão Móvel'!I404</f>
        <v>0</v>
      </c>
      <c r="N322" s="153"/>
      <c r="O322" s="153">
        <f t="shared" si="78"/>
        <v>0</v>
      </c>
      <c r="P322" s="153"/>
      <c r="Q322" s="153"/>
      <c r="R322" s="153">
        <f t="shared" si="79"/>
        <v>0</v>
      </c>
      <c r="S322" s="153">
        <f t="shared" si="80"/>
        <v>0</v>
      </c>
      <c r="T322" s="164">
        <f t="shared" si="81"/>
        <v>0</v>
      </c>
      <c r="U322" s="164">
        <f t="shared" si="82"/>
        <v>0</v>
      </c>
      <c r="V322" s="137" t="str">
        <f t="shared" si="83"/>
        <v/>
      </c>
      <c r="W322" s="137" t="str">
        <f t="shared" si="84"/>
        <v/>
      </c>
      <c r="X322" s="137" t="str">
        <f t="shared" si="85"/>
        <v/>
      </c>
    </row>
    <row r="323" spans="2:24" ht="15" thickBot="1" x14ac:dyDescent="0.4">
      <c r="B323" s="1146"/>
      <c r="C323" s="36">
        <f>'Combustão Móvel'!B405</f>
        <v>0</v>
      </c>
      <c r="D323" s="148" t="str">
        <f>'Combustão Móvel'!Q405</f>
        <v/>
      </c>
      <c r="E323" s="162">
        <f>'Combustão Móvel'!H405</f>
        <v>0</v>
      </c>
      <c r="F323" s="153">
        <f t="shared" si="98"/>
        <v>0</v>
      </c>
      <c r="G323" s="153">
        <f t="shared" si="99"/>
        <v>0</v>
      </c>
      <c r="H323" s="153">
        <f t="shared" si="100"/>
        <v>0</v>
      </c>
      <c r="I323" s="153">
        <f t="shared" si="101"/>
        <v>0</v>
      </c>
      <c r="J323" s="153">
        <f t="shared" si="102"/>
        <v>0</v>
      </c>
      <c r="K323" s="154">
        <f t="shared" si="103"/>
        <v>0</v>
      </c>
      <c r="L323" s="66">
        <f>'Combustão Móvel'!H405</f>
        <v>0</v>
      </c>
      <c r="M323" s="67">
        <f>'Combustão Móvel'!I405</f>
        <v>0</v>
      </c>
      <c r="N323" s="153"/>
      <c r="O323" s="153">
        <f t="shared" si="78"/>
        <v>0</v>
      </c>
      <c r="P323" s="153"/>
      <c r="Q323" s="153"/>
      <c r="R323" s="153">
        <f t="shared" si="79"/>
        <v>0</v>
      </c>
      <c r="S323" s="153">
        <f t="shared" si="80"/>
        <v>0</v>
      </c>
      <c r="T323" s="164">
        <f t="shared" si="81"/>
        <v>0</v>
      </c>
      <c r="U323" s="164">
        <f t="shared" si="82"/>
        <v>0</v>
      </c>
      <c r="V323" s="137" t="str">
        <f t="shared" si="83"/>
        <v/>
      </c>
      <c r="W323" s="137" t="str">
        <f t="shared" si="84"/>
        <v/>
      </c>
      <c r="X323" s="137" t="str">
        <f t="shared" si="85"/>
        <v/>
      </c>
    </row>
    <row r="324" spans="2:24" ht="15" thickBot="1" x14ac:dyDescent="0.4">
      <c r="B324" s="1146"/>
      <c r="C324" s="36">
        <f>'Combustão Móvel'!B406</f>
        <v>0</v>
      </c>
      <c r="D324" s="148" t="str">
        <f>'Combustão Móvel'!Q406</f>
        <v/>
      </c>
      <c r="E324" s="162">
        <f>'Combustão Móvel'!H406</f>
        <v>0</v>
      </c>
      <c r="F324" s="153">
        <f t="shared" si="98"/>
        <v>0</v>
      </c>
      <c r="G324" s="153">
        <f t="shared" si="99"/>
        <v>0</v>
      </c>
      <c r="H324" s="153">
        <f t="shared" si="100"/>
        <v>0</v>
      </c>
      <c r="I324" s="153">
        <f t="shared" si="101"/>
        <v>0</v>
      </c>
      <c r="J324" s="153">
        <f t="shared" si="102"/>
        <v>0</v>
      </c>
      <c r="K324" s="154">
        <f t="shared" si="103"/>
        <v>0</v>
      </c>
      <c r="L324" s="66">
        <f>'Combustão Móvel'!H406</f>
        <v>0</v>
      </c>
      <c r="M324" s="67">
        <f>'Combustão Móvel'!I406</f>
        <v>0</v>
      </c>
      <c r="N324" s="153"/>
      <c r="O324" s="153">
        <f t="shared" si="78"/>
        <v>0</v>
      </c>
      <c r="P324" s="153"/>
      <c r="Q324" s="153"/>
      <c r="R324" s="153">
        <f t="shared" si="79"/>
        <v>0</v>
      </c>
      <c r="S324" s="153">
        <f t="shared" si="80"/>
        <v>0</v>
      </c>
      <c r="T324" s="164">
        <f t="shared" si="81"/>
        <v>0</v>
      </c>
      <c r="U324" s="164">
        <f t="shared" si="82"/>
        <v>0</v>
      </c>
      <c r="V324" s="137" t="str">
        <f t="shared" si="83"/>
        <v/>
      </c>
      <c r="W324" s="137" t="str">
        <f t="shared" si="84"/>
        <v/>
      </c>
      <c r="X324" s="137" t="str">
        <f t="shared" si="85"/>
        <v/>
      </c>
    </row>
    <row r="325" spans="2:24" ht="15" thickBot="1" x14ac:dyDescent="0.4">
      <c r="B325" s="1146"/>
      <c r="C325" s="36">
        <f>'Combustão Móvel'!B407</f>
        <v>0</v>
      </c>
      <c r="D325" s="148" t="str">
        <f>'Combustão Móvel'!Q407</f>
        <v/>
      </c>
      <c r="E325" s="162">
        <f>'Combustão Móvel'!H407</f>
        <v>0</v>
      </c>
      <c r="F325" s="153">
        <f t="shared" si="98"/>
        <v>0</v>
      </c>
      <c r="G325" s="153">
        <f t="shared" si="99"/>
        <v>0</v>
      </c>
      <c r="H325" s="153">
        <f t="shared" si="100"/>
        <v>0</v>
      </c>
      <c r="I325" s="153">
        <f t="shared" si="101"/>
        <v>0</v>
      </c>
      <c r="J325" s="153">
        <f t="shared" si="102"/>
        <v>0</v>
      </c>
      <c r="K325" s="154">
        <f t="shared" si="103"/>
        <v>0</v>
      </c>
      <c r="L325" s="66">
        <f>'Combustão Móvel'!H407</f>
        <v>0</v>
      </c>
      <c r="M325" s="67">
        <f>'Combustão Móvel'!I407</f>
        <v>0</v>
      </c>
      <c r="N325" s="153"/>
      <c r="O325" s="153">
        <f t="shared" si="78"/>
        <v>0</v>
      </c>
      <c r="P325" s="153"/>
      <c r="Q325" s="153"/>
      <c r="R325" s="153">
        <f t="shared" si="79"/>
        <v>0</v>
      </c>
      <c r="S325" s="153">
        <f t="shared" si="80"/>
        <v>0</v>
      </c>
      <c r="T325" s="164">
        <f t="shared" si="81"/>
        <v>0</v>
      </c>
      <c r="U325" s="164">
        <f t="shared" si="82"/>
        <v>0</v>
      </c>
      <c r="V325" s="137" t="str">
        <f t="shared" si="83"/>
        <v/>
      </c>
      <c r="W325" s="137" t="str">
        <f t="shared" si="84"/>
        <v/>
      </c>
      <c r="X325" s="137" t="str">
        <f t="shared" si="85"/>
        <v/>
      </c>
    </row>
    <row r="326" spans="2:24" ht="15" thickBot="1" x14ac:dyDescent="0.4">
      <c r="B326" s="1146"/>
      <c r="C326" s="36">
        <f>'Combustão Móvel'!B408</f>
        <v>0</v>
      </c>
      <c r="D326" s="148" t="str">
        <f>'Combustão Móvel'!Q408</f>
        <v/>
      </c>
      <c r="E326" s="162">
        <f>'Combustão Móvel'!H408</f>
        <v>0</v>
      </c>
      <c r="F326" s="153">
        <f t="shared" si="98"/>
        <v>0</v>
      </c>
      <c r="G326" s="153">
        <f t="shared" si="99"/>
        <v>0</v>
      </c>
      <c r="H326" s="153">
        <f t="shared" si="100"/>
        <v>0</v>
      </c>
      <c r="I326" s="153">
        <f t="shared" si="101"/>
        <v>0</v>
      </c>
      <c r="J326" s="153">
        <f t="shared" si="102"/>
        <v>0</v>
      </c>
      <c r="K326" s="154">
        <f t="shared" si="103"/>
        <v>0</v>
      </c>
      <c r="L326" s="66">
        <f>'Combustão Móvel'!H408</f>
        <v>0</v>
      </c>
      <c r="M326" s="67">
        <f>'Combustão Móvel'!I408</f>
        <v>0</v>
      </c>
      <c r="N326" s="153"/>
      <c r="O326" s="153">
        <f t="shared" si="78"/>
        <v>0</v>
      </c>
      <c r="P326" s="153"/>
      <c r="Q326" s="153"/>
      <c r="R326" s="153">
        <f t="shared" si="79"/>
        <v>0</v>
      </c>
      <c r="S326" s="153">
        <f t="shared" si="80"/>
        <v>0</v>
      </c>
      <c r="T326" s="164">
        <f t="shared" si="81"/>
        <v>0</v>
      </c>
      <c r="U326" s="164">
        <f t="shared" si="82"/>
        <v>0</v>
      </c>
      <c r="V326" s="137" t="str">
        <f t="shared" si="83"/>
        <v/>
      </c>
      <c r="W326" s="137" t="str">
        <f t="shared" si="84"/>
        <v/>
      </c>
      <c r="X326" s="137" t="str">
        <f t="shared" si="85"/>
        <v/>
      </c>
    </row>
    <row r="327" spans="2:24" ht="15" thickBot="1" x14ac:dyDescent="0.4">
      <c r="B327" s="1146"/>
      <c r="C327" s="36">
        <f>'Combustão Móvel'!B409</f>
        <v>0</v>
      </c>
      <c r="D327" s="148" t="str">
        <f>'Combustão Móvel'!Q409</f>
        <v/>
      </c>
      <c r="E327" s="162">
        <f>'Combustão Móvel'!H409</f>
        <v>0</v>
      </c>
      <c r="F327" s="153">
        <f t="shared" si="98"/>
        <v>0</v>
      </c>
      <c r="G327" s="153">
        <f t="shared" si="99"/>
        <v>0</v>
      </c>
      <c r="H327" s="153">
        <f t="shared" si="100"/>
        <v>0</v>
      </c>
      <c r="I327" s="153">
        <f t="shared" si="101"/>
        <v>0</v>
      </c>
      <c r="J327" s="153">
        <f t="shared" si="102"/>
        <v>0</v>
      </c>
      <c r="K327" s="154">
        <f t="shared" si="103"/>
        <v>0</v>
      </c>
      <c r="L327" s="66">
        <f>'Combustão Móvel'!H409</f>
        <v>0</v>
      </c>
      <c r="M327" s="67">
        <f>'Combustão Móvel'!I409</f>
        <v>0</v>
      </c>
      <c r="N327" s="153"/>
      <c r="O327" s="153">
        <f t="shared" si="78"/>
        <v>0</v>
      </c>
      <c r="P327" s="153"/>
      <c r="Q327" s="153"/>
      <c r="R327" s="153">
        <f t="shared" si="79"/>
        <v>0</v>
      </c>
      <c r="S327" s="153">
        <f t="shared" si="80"/>
        <v>0</v>
      </c>
      <c r="T327" s="164">
        <f t="shared" si="81"/>
        <v>0</v>
      </c>
      <c r="U327" s="164">
        <f t="shared" si="82"/>
        <v>0</v>
      </c>
      <c r="V327" s="137" t="str">
        <f t="shared" si="83"/>
        <v/>
      </c>
      <c r="W327" s="137" t="str">
        <f t="shared" si="84"/>
        <v/>
      </c>
      <c r="X327" s="137" t="str">
        <f t="shared" si="85"/>
        <v/>
      </c>
    </row>
    <row r="328" spans="2:24" ht="15" thickBot="1" x14ac:dyDescent="0.4">
      <c r="B328" s="1146"/>
      <c r="C328" s="36">
        <f>'Combustão Móvel'!B410</f>
        <v>0</v>
      </c>
      <c r="D328" s="148" t="str">
        <f>'Combustão Móvel'!Q410</f>
        <v/>
      </c>
      <c r="E328" s="162">
        <f>'Combustão Móvel'!H410</f>
        <v>0</v>
      </c>
      <c r="F328" s="153">
        <f t="shared" si="98"/>
        <v>0</v>
      </c>
      <c r="G328" s="153">
        <f t="shared" si="99"/>
        <v>0</v>
      </c>
      <c r="H328" s="153">
        <f t="shared" si="100"/>
        <v>0</v>
      </c>
      <c r="I328" s="153">
        <f t="shared" si="101"/>
        <v>0</v>
      </c>
      <c r="J328" s="153">
        <f t="shared" si="102"/>
        <v>0</v>
      </c>
      <c r="K328" s="154">
        <f t="shared" si="103"/>
        <v>0</v>
      </c>
      <c r="L328" s="66">
        <f>'Combustão Móvel'!H410</f>
        <v>0</v>
      </c>
      <c r="M328" s="67">
        <f>'Combustão Móvel'!I410</f>
        <v>0</v>
      </c>
      <c r="N328" s="153"/>
      <c r="O328" s="153">
        <f t="shared" si="78"/>
        <v>0</v>
      </c>
      <c r="P328" s="153"/>
      <c r="Q328" s="153"/>
      <c r="R328" s="153">
        <f t="shared" si="79"/>
        <v>0</v>
      </c>
      <c r="S328" s="153">
        <f t="shared" si="80"/>
        <v>0</v>
      </c>
      <c r="T328" s="164">
        <f t="shared" si="81"/>
        <v>0</v>
      </c>
      <c r="U328" s="164">
        <f t="shared" si="82"/>
        <v>0</v>
      </c>
      <c r="V328" s="137" t="str">
        <f t="shared" si="83"/>
        <v/>
      </c>
      <c r="W328" s="137" t="str">
        <f t="shared" si="84"/>
        <v/>
      </c>
      <c r="X328" s="137" t="str">
        <f t="shared" si="85"/>
        <v/>
      </c>
    </row>
    <row r="329" spans="2:24" ht="15" thickBot="1" x14ac:dyDescent="0.4">
      <c r="B329" s="1146"/>
      <c r="C329" s="36">
        <f>'Combustão Móvel'!B411</f>
        <v>0</v>
      </c>
      <c r="D329" s="148" t="str">
        <f>'Combustão Móvel'!Q411</f>
        <v/>
      </c>
      <c r="E329" s="162">
        <f>'Combustão Móvel'!H411</f>
        <v>0</v>
      </c>
      <c r="F329" s="153">
        <f t="shared" si="98"/>
        <v>0</v>
      </c>
      <c r="G329" s="153">
        <f t="shared" si="99"/>
        <v>0</v>
      </c>
      <c r="H329" s="153">
        <f t="shared" si="100"/>
        <v>0</v>
      </c>
      <c r="I329" s="153">
        <f t="shared" si="101"/>
        <v>0</v>
      </c>
      <c r="J329" s="153">
        <f t="shared" si="102"/>
        <v>0</v>
      </c>
      <c r="K329" s="154">
        <f t="shared" si="103"/>
        <v>0</v>
      </c>
      <c r="L329" s="66">
        <f>'Combustão Móvel'!H411</f>
        <v>0</v>
      </c>
      <c r="M329" s="67">
        <f>'Combustão Móvel'!I411</f>
        <v>0</v>
      </c>
      <c r="N329" s="153"/>
      <c r="O329" s="153">
        <f t="shared" si="78"/>
        <v>0</v>
      </c>
      <c r="P329" s="153"/>
      <c r="Q329" s="153"/>
      <c r="R329" s="153">
        <f t="shared" si="79"/>
        <v>0</v>
      </c>
      <c r="S329" s="153">
        <f t="shared" si="80"/>
        <v>0</v>
      </c>
      <c r="T329" s="164">
        <f t="shared" si="81"/>
        <v>0</v>
      </c>
      <c r="U329" s="164">
        <f t="shared" si="82"/>
        <v>0</v>
      </c>
      <c r="V329" s="137" t="str">
        <f t="shared" si="83"/>
        <v/>
      </c>
      <c r="W329" s="137" t="str">
        <f t="shared" si="84"/>
        <v/>
      </c>
      <c r="X329" s="137" t="str">
        <f t="shared" si="85"/>
        <v/>
      </c>
    </row>
    <row r="330" spans="2:24" ht="15" thickBot="1" x14ac:dyDescent="0.4">
      <c r="B330" s="1146"/>
      <c r="C330" s="36">
        <f>'Combustão Móvel'!B412</f>
        <v>0</v>
      </c>
      <c r="D330" s="148" t="str">
        <f>'Combustão Móvel'!Q412</f>
        <v/>
      </c>
      <c r="E330" s="162">
        <f>'Combustão Móvel'!H412</f>
        <v>0</v>
      </c>
      <c r="F330" s="153">
        <f t="shared" si="98"/>
        <v>0</v>
      </c>
      <c r="G330" s="153">
        <f t="shared" si="99"/>
        <v>0</v>
      </c>
      <c r="H330" s="153">
        <f t="shared" si="100"/>
        <v>0</v>
      </c>
      <c r="I330" s="153">
        <f t="shared" si="101"/>
        <v>0</v>
      </c>
      <c r="J330" s="153">
        <f t="shared" si="102"/>
        <v>0</v>
      </c>
      <c r="K330" s="154">
        <f t="shared" si="103"/>
        <v>0</v>
      </c>
      <c r="L330" s="66">
        <f>'Combustão Móvel'!H412</f>
        <v>0</v>
      </c>
      <c r="M330" s="67">
        <f>'Combustão Móvel'!I412</f>
        <v>0</v>
      </c>
      <c r="N330" s="153"/>
      <c r="O330" s="153">
        <f t="shared" si="78"/>
        <v>0</v>
      </c>
      <c r="P330" s="153"/>
      <c r="Q330" s="153"/>
      <c r="R330" s="153">
        <f t="shared" si="79"/>
        <v>0</v>
      </c>
      <c r="S330" s="153">
        <f t="shared" si="80"/>
        <v>0</v>
      </c>
      <c r="T330" s="164">
        <f t="shared" si="81"/>
        <v>0</v>
      </c>
      <c r="U330" s="164">
        <f t="shared" si="82"/>
        <v>0</v>
      </c>
      <c r="V330" s="137" t="str">
        <f t="shared" si="83"/>
        <v/>
      </c>
      <c r="W330" s="137" t="str">
        <f t="shared" si="84"/>
        <v/>
      </c>
      <c r="X330" s="137" t="str">
        <f t="shared" si="85"/>
        <v/>
      </c>
    </row>
    <row r="331" spans="2:24" ht="15" thickBot="1" x14ac:dyDescent="0.4">
      <c r="B331" s="1146"/>
      <c r="C331" s="36">
        <f>'Combustão Móvel'!B413</f>
        <v>0</v>
      </c>
      <c r="D331" s="148" t="str">
        <f>'Combustão Móvel'!Q413</f>
        <v/>
      </c>
      <c r="E331" s="162">
        <f>'Combustão Móvel'!H413</f>
        <v>0</v>
      </c>
      <c r="F331" s="153">
        <f t="shared" si="98"/>
        <v>0</v>
      </c>
      <c r="G331" s="153">
        <f t="shared" si="99"/>
        <v>0</v>
      </c>
      <c r="H331" s="153">
        <f t="shared" si="100"/>
        <v>0</v>
      </c>
      <c r="I331" s="153">
        <f t="shared" si="101"/>
        <v>0</v>
      </c>
      <c r="J331" s="153">
        <f t="shared" si="102"/>
        <v>0</v>
      </c>
      <c r="K331" s="154">
        <f t="shared" si="103"/>
        <v>0</v>
      </c>
      <c r="L331" s="66">
        <f>'Combustão Móvel'!H413</f>
        <v>0</v>
      </c>
      <c r="M331" s="67">
        <f>'Combustão Móvel'!I413</f>
        <v>0</v>
      </c>
      <c r="N331" s="153"/>
      <c r="O331" s="153">
        <f t="shared" si="78"/>
        <v>0</v>
      </c>
      <c r="P331" s="153"/>
      <c r="Q331" s="153"/>
      <c r="R331" s="153">
        <f t="shared" si="79"/>
        <v>0</v>
      </c>
      <c r="S331" s="153">
        <f t="shared" si="80"/>
        <v>0</v>
      </c>
      <c r="T331" s="164">
        <f t="shared" si="81"/>
        <v>0</v>
      </c>
      <c r="U331" s="164">
        <f t="shared" si="82"/>
        <v>0</v>
      </c>
      <c r="V331" s="137" t="str">
        <f t="shared" si="83"/>
        <v/>
      </c>
      <c r="W331" s="137" t="str">
        <f t="shared" si="84"/>
        <v/>
      </c>
      <c r="X331" s="137" t="str">
        <f t="shared" si="85"/>
        <v/>
      </c>
    </row>
    <row r="332" spans="2:24" ht="15" thickBot="1" x14ac:dyDescent="0.4">
      <c r="B332" s="1146"/>
      <c r="C332" s="36">
        <f>'Combustão Móvel'!B414</f>
        <v>0</v>
      </c>
      <c r="D332" s="148" t="str">
        <f>'Combustão Móvel'!Q414</f>
        <v/>
      </c>
      <c r="E332" s="162">
        <f>'Combustão Móvel'!H414</f>
        <v>0</v>
      </c>
      <c r="F332" s="153">
        <f t="shared" si="98"/>
        <v>0</v>
      </c>
      <c r="G332" s="153">
        <f t="shared" si="99"/>
        <v>0</v>
      </c>
      <c r="H332" s="153">
        <f t="shared" si="100"/>
        <v>0</v>
      </c>
      <c r="I332" s="153">
        <f t="shared" si="101"/>
        <v>0</v>
      </c>
      <c r="J332" s="153">
        <f t="shared" si="102"/>
        <v>0</v>
      </c>
      <c r="K332" s="154">
        <f t="shared" si="103"/>
        <v>0</v>
      </c>
      <c r="L332" s="66">
        <f>'Combustão Móvel'!H414</f>
        <v>0</v>
      </c>
      <c r="M332" s="67">
        <f>'Combustão Móvel'!I414</f>
        <v>0</v>
      </c>
      <c r="N332" s="153"/>
      <c r="O332" s="153">
        <f t="shared" si="78"/>
        <v>0</v>
      </c>
      <c r="P332" s="153"/>
      <c r="Q332" s="153"/>
      <c r="R332" s="153">
        <f t="shared" si="79"/>
        <v>0</v>
      </c>
      <c r="S332" s="153">
        <f t="shared" si="80"/>
        <v>0</v>
      </c>
      <c r="T332" s="164">
        <f t="shared" si="81"/>
        <v>0</v>
      </c>
      <c r="U332" s="164">
        <f t="shared" si="82"/>
        <v>0</v>
      </c>
      <c r="V332" s="137" t="str">
        <f t="shared" si="83"/>
        <v/>
      </c>
      <c r="W332" s="137" t="str">
        <f t="shared" si="84"/>
        <v/>
      </c>
      <c r="X332" s="137" t="str">
        <f t="shared" si="85"/>
        <v/>
      </c>
    </row>
    <row r="333" spans="2:24" ht="15" thickBot="1" x14ac:dyDescent="0.4">
      <c r="B333" s="1146"/>
      <c r="C333" s="36">
        <f>'Combustão Móvel'!B415</f>
        <v>0</v>
      </c>
      <c r="D333" s="148" t="str">
        <f>'Combustão Móvel'!Q415</f>
        <v/>
      </c>
      <c r="E333" s="162">
        <f>'Combustão Móvel'!H415</f>
        <v>0</v>
      </c>
      <c r="F333" s="153">
        <f t="shared" si="98"/>
        <v>0</v>
      </c>
      <c r="G333" s="153">
        <f t="shared" si="99"/>
        <v>0</v>
      </c>
      <c r="H333" s="153">
        <f t="shared" si="100"/>
        <v>0</v>
      </c>
      <c r="I333" s="153">
        <f t="shared" si="101"/>
        <v>0</v>
      </c>
      <c r="J333" s="153">
        <f t="shared" si="102"/>
        <v>0</v>
      </c>
      <c r="K333" s="154">
        <f t="shared" si="103"/>
        <v>0</v>
      </c>
      <c r="L333" s="66">
        <f>'Combustão Móvel'!H415</f>
        <v>0</v>
      </c>
      <c r="M333" s="67">
        <f>'Combustão Móvel'!I415</f>
        <v>0</v>
      </c>
      <c r="N333" s="153"/>
      <c r="O333" s="153">
        <f t="shared" si="78"/>
        <v>0</v>
      </c>
      <c r="P333" s="153"/>
      <c r="Q333" s="153"/>
      <c r="R333" s="153">
        <f t="shared" si="79"/>
        <v>0</v>
      </c>
      <c r="S333" s="153">
        <f t="shared" si="80"/>
        <v>0</v>
      </c>
      <c r="T333" s="164">
        <f t="shared" si="81"/>
        <v>0</v>
      </c>
      <c r="U333" s="164">
        <f t="shared" si="82"/>
        <v>0</v>
      </c>
      <c r="V333" s="137" t="str">
        <f t="shared" si="83"/>
        <v/>
      </c>
      <c r="W333" s="137" t="str">
        <f t="shared" si="84"/>
        <v/>
      </c>
      <c r="X333" s="137" t="str">
        <f t="shared" si="85"/>
        <v/>
      </c>
    </row>
    <row r="334" spans="2:24" ht="15" thickBot="1" x14ac:dyDescent="0.4">
      <c r="B334" s="1146"/>
      <c r="C334" s="36">
        <f>'Combustão Móvel'!B416</f>
        <v>0</v>
      </c>
      <c r="D334" s="148" t="str">
        <f>'Combustão Móvel'!Q416</f>
        <v/>
      </c>
      <c r="E334" s="162">
        <f>'Combustão Móvel'!H416</f>
        <v>0</v>
      </c>
      <c r="F334" s="153">
        <f t="shared" si="98"/>
        <v>0</v>
      </c>
      <c r="G334" s="153">
        <f t="shared" si="99"/>
        <v>0</v>
      </c>
      <c r="H334" s="153">
        <f t="shared" si="100"/>
        <v>0</v>
      </c>
      <c r="I334" s="153">
        <f t="shared" si="101"/>
        <v>0</v>
      </c>
      <c r="J334" s="153">
        <f t="shared" si="102"/>
        <v>0</v>
      </c>
      <c r="K334" s="154">
        <f t="shared" si="103"/>
        <v>0</v>
      </c>
      <c r="L334" s="66">
        <f>'Combustão Móvel'!H416</f>
        <v>0</v>
      </c>
      <c r="M334" s="67">
        <f>'Combustão Móvel'!I416</f>
        <v>0</v>
      </c>
      <c r="N334" s="153"/>
      <c r="O334" s="153">
        <f t="shared" si="78"/>
        <v>0</v>
      </c>
      <c r="P334" s="153"/>
      <c r="Q334" s="153"/>
      <c r="R334" s="153">
        <f t="shared" si="79"/>
        <v>0</v>
      </c>
      <c r="S334" s="153">
        <f t="shared" si="80"/>
        <v>0</v>
      </c>
      <c r="T334" s="164">
        <f t="shared" si="81"/>
        <v>0</v>
      </c>
      <c r="U334" s="164">
        <f t="shared" si="82"/>
        <v>0</v>
      </c>
      <c r="V334" s="137" t="str">
        <f t="shared" si="83"/>
        <v/>
      </c>
      <c r="W334" s="137" t="str">
        <f t="shared" si="84"/>
        <v/>
      </c>
      <c r="X334" s="137" t="str">
        <f t="shared" si="85"/>
        <v/>
      </c>
    </row>
    <row r="335" spans="2:24" ht="15" thickBot="1" x14ac:dyDescent="0.4">
      <c r="B335" s="1146"/>
      <c r="C335" s="36">
        <f>'Combustão Móvel'!B417</f>
        <v>0</v>
      </c>
      <c r="D335" s="148" t="str">
        <f>'Combustão Móvel'!Q417</f>
        <v/>
      </c>
      <c r="E335" s="162">
        <f>'Combustão Móvel'!H417</f>
        <v>0</v>
      </c>
      <c r="F335" s="153">
        <f t="shared" si="98"/>
        <v>0</v>
      </c>
      <c r="G335" s="153">
        <f t="shared" si="99"/>
        <v>0</v>
      </c>
      <c r="H335" s="153">
        <f t="shared" si="100"/>
        <v>0</v>
      </c>
      <c r="I335" s="153">
        <f t="shared" si="101"/>
        <v>0</v>
      </c>
      <c r="J335" s="153">
        <f t="shared" si="102"/>
        <v>0</v>
      </c>
      <c r="K335" s="154">
        <f t="shared" si="103"/>
        <v>0</v>
      </c>
      <c r="L335" s="66">
        <f>'Combustão Móvel'!H417</f>
        <v>0</v>
      </c>
      <c r="M335" s="67">
        <f>'Combustão Móvel'!I417</f>
        <v>0</v>
      </c>
      <c r="N335" s="153"/>
      <c r="O335" s="153">
        <f t="shared" si="78"/>
        <v>0</v>
      </c>
      <c r="P335" s="153"/>
      <c r="Q335" s="153"/>
      <c r="R335" s="153">
        <f t="shared" si="79"/>
        <v>0</v>
      </c>
      <c r="S335" s="153">
        <f t="shared" si="80"/>
        <v>0</v>
      </c>
      <c r="T335" s="164">
        <f t="shared" si="81"/>
        <v>0</v>
      </c>
      <c r="U335" s="164">
        <f t="shared" si="82"/>
        <v>0</v>
      </c>
      <c r="V335" s="137" t="str">
        <f t="shared" si="83"/>
        <v/>
      </c>
      <c r="W335" s="137" t="str">
        <f t="shared" si="84"/>
        <v/>
      </c>
      <c r="X335" s="137" t="str">
        <f t="shared" si="85"/>
        <v/>
      </c>
    </row>
    <row r="336" spans="2:24" ht="15" thickBot="1" x14ac:dyDescent="0.4">
      <c r="B336" s="1146"/>
      <c r="C336" s="36">
        <f>'Combustão Móvel'!B418</f>
        <v>0</v>
      </c>
      <c r="D336" s="148" t="str">
        <f>'Combustão Móvel'!Q418</f>
        <v/>
      </c>
      <c r="E336" s="162">
        <f>'Combustão Móvel'!H418</f>
        <v>0</v>
      </c>
      <c r="F336" s="153">
        <f t="shared" si="98"/>
        <v>0</v>
      </c>
      <c r="G336" s="153">
        <f t="shared" si="99"/>
        <v>0</v>
      </c>
      <c r="H336" s="153">
        <f t="shared" si="100"/>
        <v>0</v>
      </c>
      <c r="I336" s="153">
        <f t="shared" si="101"/>
        <v>0</v>
      </c>
      <c r="J336" s="153">
        <f t="shared" si="102"/>
        <v>0</v>
      </c>
      <c r="K336" s="154">
        <f t="shared" si="103"/>
        <v>0</v>
      </c>
      <c r="L336" s="66">
        <f>'Combustão Móvel'!H418</f>
        <v>0</v>
      </c>
      <c r="M336" s="67">
        <f>'Combustão Móvel'!I418</f>
        <v>0</v>
      </c>
      <c r="N336" s="153"/>
      <c r="O336" s="153">
        <f t="shared" si="78"/>
        <v>0</v>
      </c>
      <c r="P336" s="153"/>
      <c r="Q336" s="153"/>
      <c r="R336" s="153">
        <f t="shared" si="79"/>
        <v>0</v>
      </c>
      <c r="S336" s="153">
        <f t="shared" si="80"/>
        <v>0</v>
      </c>
      <c r="T336" s="164">
        <f t="shared" si="81"/>
        <v>0</v>
      </c>
      <c r="U336" s="164">
        <f t="shared" si="82"/>
        <v>0</v>
      </c>
      <c r="V336" s="137" t="str">
        <f t="shared" si="83"/>
        <v/>
      </c>
      <c r="W336" s="137" t="str">
        <f t="shared" si="84"/>
        <v/>
      </c>
      <c r="X336" s="137" t="str">
        <f t="shared" si="85"/>
        <v/>
      </c>
    </row>
    <row r="337" spans="2:24" ht="15" thickBot="1" x14ac:dyDescent="0.4">
      <c r="B337" s="1146"/>
      <c r="C337" s="36">
        <f>'Combustão Móvel'!B419</f>
        <v>0</v>
      </c>
      <c r="D337" s="148" t="str">
        <f>'Combustão Móvel'!Q419</f>
        <v/>
      </c>
      <c r="E337" s="162">
        <f>'Combustão Móvel'!H419</f>
        <v>0</v>
      </c>
      <c r="F337" s="153">
        <f t="shared" si="98"/>
        <v>0</v>
      </c>
      <c r="G337" s="153">
        <f t="shared" si="99"/>
        <v>0</v>
      </c>
      <c r="H337" s="153">
        <f t="shared" si="100"/>
        <v>0</v>
      </c>
      <c r="I337" s="153">
        <f t="shared" si="101"/>
        <v>0</v>
      </c>
      <c r="J337" s="153">
        <f t="shared" si="102"/>
        <v>0</v>
      </c>
      <c r="K337" s="154">
        <f t="shared" si="103"/>
        <v>0</v>
      </c>
      <c r="L337" s="66">
        <f>'Combustão Móvel'!H419</f>
        <v>0</v>
      </c>
      <c r="M337" s="67">
        <f>'Combustão Móvel'!I419</f>
        <v>0</v>
      </c>
      <c r="N337" s="153"/>
      <c r="O337" s="153">
        <f t="shared" si="78"/>
        <v>0</v>
      </c>
      <c r="P337" s="153"/>
      <c r="Q337" s="153"/>
      <c r="R337" s="153">
        <f t="shared" si="79"/>
        <v>0</v>
      </c>
      <c r="S337" s="153">
        <f t="shared" si="80"/>
        <v>0</v>
      </c>
      <c r="T337" s="164">
        <f t="shared" si="81"/>
        <v>0</v>
      </c>
      <c r="U337" s="164">
        <f t="shared" si="82"/>
        <v>0</v>
      </c>
      <c r="V337" s="137" t="str">
        <f t="shared" si="83"/>
        <v/>
      </c>
      <c r="W337" s="137" t="str">
        <f t="shared" si="84"/>
        <v/>
      </c>
      <c r="X337" s="137" t="str">
        <f t="shared" si="85"/>
        <v/>
      </c>
    </row>
    <row r="338" spans="2:24" ht="15" thickBot="1" x14ac:dyDescent="0.4">
      <c r="B338" s="1146"/>
      <c r="C338" s="36">
        <f>'Combustão Móvel'!B420</f>
        <v>0</v>
      </c>
      <c r="D338" s="148" t="str">
        <f>'Combustão Móvel'!Q420</f>
        <v/>
      </c>
      <c r="E338" s="162">
        <f>'Combustão Móvel'!H420</f>
        <v>0</v>
      </c>
      <c r="F338" s="153">
        <f t="shared" si="98"/>
        <v>0</v>
      </c>
      <c r="G338" s="153">
        <f t="shared" si="99"/>
        <v>0</v>
      </c>
      <c r="H338" s="153">
        <f t="shared" si="100"/>
        <v>0</v>
      </c>
      <c r="I338" s="153">
        <f t="shared" si="101"/>
        <v>0</v>
      </c>
      <c r="J338" s="153">
        <f t="shared" si="102"/>
        <v>0</v>
      </c>
      <c r="K338" s="154">
        <f t="shared" si="103"/>
        <v>0</v>
      </c>
      <c r="L338" s="66">
        <f>'Combustão Móvel'!H420</f>
        <v>0</v>
      </c>
      <c r="M338" s="67">
        <f>'Combustão Móvel'!I420</f>
        <v>0</v>
      </c>
      <c r="N338" s="153"/>
      <c r="O338" s="153">
        <f t="shared" si="78"/>
        <v>0</v>
      </c>
      <c r="P338" s="153"/>
      <c r="Q338" s="153"/>
      <c r="R338" s="153">
        <f t="shared" si="79"/>
        <v>0</v>
      </c>
      <c r="S338" s="153">
        <f t="shared" si="80"/>
        <v>0</v>
      </c>
      <c r="T338" s="164">
        <f t="shared" si="81"/>
        <v>0</v>
      </c>
      <c r="U338" s="164">
        <f t="shared" si="82"/>
        <v>0</v>
      </c>
      <c r="V338" s="137" t="str">
        <f t="shared" si="83"/>
        <v/>
      </c>
      <c r="W338" s="137" t="str">
        <f t="shared" si="84"/>
        <v/>
      </c>
      <c r="X338" s="137" t="str">
        <f t="shared" si="85"/>
        <v/>
      </c>
    </row>
    <row r="339" spans="2:24" ht="15" thickBot="1" x14ac:dyDescent="0.4">
      <c r="B339" s="1146"/>
      <c r="C339" s="36">
        <f>'Combustão Móvel'!B421</f>
        <v>0</v>
      </c>
      <c r="D339" s="148" t="str">
        <f>'Combustão Móvel'!Q421</f>
        <v/>
      </c>
      <c r="E339" s="162">
        <f>'Combustão Móvel'!H421</f>
        <v>0</v>
      </c>
      <c r="F339" s="153">
        <f t="shared" si="98"/>
        <v>0</v>
      </c>
      <c r="G339" s="153">
        <f t="shared" si="99"/>
        <v>0</v>
      </c>
      <c r="H339" s="153">
        <f t="shared" si="100"/>
        <v>0</v>
      </c>
      <c r="I339" s="153">
        <f t="shared" si="101"/>
        <v>0</v>
      </c>
      <c r="J339" s="153">
        <f t="shared" si="102"/>
        <v>0</v>
      </c>
      <c r="K339" s="154">
        <f t="shared" si="103"/>
        <v>0</v>
      </c>
      <c r="L339" s="66">
        <f>'Combustão Móvel'!H421</f>
        <v>0</v>
      </c>
      <c r="M339" s="67">
        <f>'Combustão Móvel'!I421</f>
        <v>0</v>
      </c>
      <c r="N339" s="153"/>
      <c r="O339" s="153">
        <f t="shared" si="78"/>
        <v>0</v>
      </c>
      <c r="P339" s="153"/>
      <c r="Q339" s="153"/>
      <c r="R339" s="153">
        <f t="shared" si="79"/>
        <v>0</v>
      </c>
      <c r="S339" s="153">
        <f t="shared" si="80"/>
        <v>0</v>
      </c>
      <c r="T339" s="164">
        <f t="shared" si="81"/>
        <v>0</v>
      </c>
      <c r="U339" s="164">
        <f t="shared" si="82"/>
        <v>0</v>
      </c>
      <c r="V339" s="137" t="str">
        <f t="shared" si="83"/>
        <v/>
      </c>
      <c r="W339" s="137" t="str">
        <f t="shared" si="84"/>
        <v/>
      </c>
      <c r="X339" s="137" t="str">
        <f t="shared" si="85"/>
        <v/>
      </c>
    </row>
    <row r="340" spans="2:24" ht="15" thickBot="1" x14ac:dyDescent="0.4">
      <c r="B340" s="1146"/>
      <c r="C340" s="36">
        <f>'Combustão Móvel'!B422</f>
        <v>0</v>
      </c>
      <c r="D340" s="148" t="str">
        <f>'Combustão Móvel'!Q422</f>
        <v/>
      </c>
      <c r="E340" s="162">
        <f>'Combustão Móvel'!H422</f>
        <v>0</v>
      </c>
      <c r="F340" s="153">
        <f t="shared" si="98"/>
        <v>0</v>
      </c>
      <c r="G340" s="153">
        <f t="shared" si="99"/>
        <v>0</v>
      </c>
      <c r="H340" s="153">
        <f t="shared" si="100"/>
        <v>0</v>
      </c>
      <c r="I340" s="153">
        <f t="shared" si="101"/>
        <v>0</v>
      </c>
      <c r="J340" s="153">
        <f t="shared" si="102"/>
        <v>0</v>
      </c>
      <c r="K340" s="154">
        <f t="shared" si="103"/>
        <v>0</v>
      </c>
      <c r="L340" s="66">
        <f>'Combustão Móvel'!H422</f>
        <v>0</v>
      </c>
      <c r="M340" s="67">
        <f>'Combustão Móvel'!I422</f>
        <v>0</v>
      </c>
      <c r="N340" s="153"/>
      <c r="O340" s="153">
        <f t="shared" si="78"/>
        <v>0</v>
      </c>
      <c r="P340" s="153"/>
      <c r="Q340" s="153"/>
      <c r="R340" s="153">
        <f t="shared" si="79"/>
        <v>0</v>
      </c>
      <c r="S340" s="153">
        <f t="shared" si="80"/>
        <v>0</v>
      </c>
      <c r="T340" s="164">
        <f t="shared" si="81"/>
        <v>0</v>
      </c>
      <c r="U340" s="164">
        <f t="shared" si="82"/>
        <v>0</v>
      </c>
      <c r="V340" s="137" t="str">
        <f t="shared" si="83"/>
        <v/>
      </c>
      <c r="W340" s="137" t="str">
        <f t="shared" si="84"/>
        <v/>
      </c>
      <c r="X340" s="137" t="str">
        <f t="shared" si="85"/>
        <v/>
      </c>
    </row>
    <row r="341" spans="2:24" ht="15" thickBot="1" x14ac:dyDescent="0.4">
      <c r="B341" s="1146"/>
      <c r="C341" s="36">
        <f>'Combustão Móvel'!B423</f>
        <v>0</v>
      </c>
      <c r="D341" s="148" t="str">
        <f>'Combustão Móvel'!Q423</f>
        <v/>
      </c>
      <c r="E341" s="162">
        <f>'Combustão Móvel'!H423</f>
        <v>0</v>
      </c>
      <c r="F341" s="153">
        <f t="shared" si="98"/>
        <v>0</v>
      </c>
      <c r="G341" s="153">
        <f t="shared" si="99"/>
        <v>0</v>
      </c>
      <c r="H341" s="153">
        <f t="shared" si="100"/>
        <v>0</v>
      </c>
      <c r="I341" s="153">
        <f t="shared" si="101"/>
        <v>0</v>
      </c>
      <c r="J341" s="153">
        <f t="shared" si="102"/>
        <v>0</v>
      </c>
      <c r="K341" s="154">
        <f t="shared" si="103"/>
        <v>0</v>
      </c>
      <c r="L341" s="66">
        <f>'Combustão Móvel'!H423</f>
        <v>0</v>
      </c>
      <c r="M341" s="67">
        <f>'Combustão Móvel'!I423</f>
        <v>0</v>
      </c>
      <c r="N341" s="153"/>
      <c r="O341" s="153">
        <f t="shared" si="78"/>
        <v>0</v>
      </c>
      <c r="P341" s="153"/>
      <c r="Q341" s="153"/>
      <c r="R341" s="153">
        <f t="shared" si="79"/>
        <v>0</v>
      </c>
      <c r="S341" s="153">
        <f t="shared" si="80"/>
        <v>0</v>
      </c>
      <c r="T341" s="164">
        <f t="shared" si="81"/>
        <v>0</v>
      </c>
      <c r="U341" s="164">
        <f t="shared" si="82"/>
        <v>0</v>
      </c>
      <c r="V341" s="137" t="str">
        <f t="shared" si="83"/>
        <v/>
      </c>
      <c r="W341" s="137" t="str">
        <f t="shared" si="84"/>
        <v/>
      </c>
      <c r="X341" s="137" t="str">
        <f t="shared" si="85"/>
        <v/>
      </c>
    </row>
    <row r="342" spans="2:24" ht="15" thickBot="1" x14ac:dyDescent="0.4">
      <c r="B342" s="1146"/>
      <c r="C342" s="36">
        <f>'Combustão Móvel'!B424</f>
        <v>0</v>
      </c>
      <c r="D342" s="148" t="str">
        <f>'Combustão Móvel'!Q424</f>
        <v/>
      </c>
      <c r="E342" s="162">
        <f>'Combustão Móvel'!H424</f>
        <v>0</v>
      </c>
      <c r="F342" s="153">
        <f t="shared" si="98"/>
        <v>0</v>
      </c>
      <c r="G342" s="153">
        <f t="shared" si="99"/>
        <v>0</v>
      </c>
      <c r="H342" s="153">
        <f t="shared" si="100"/>
        <v>0</v>
      </c>
      <c r="I342" s="153">
        <f t="shared" si="101"/>
        <v>0</v>
      </c>
      <c r="J342" s="153">
        <f t="shared" si="102"/>
        <v>0</v>
      </c>
      <c r="K342" s="154">
        <f t="shared" si="103"/>
        <v>0</v>
      </c>
      <c r="L342" s="66">
        <f>'Combustão Móvel'!H424</f>
        <v>0</v>
      </c>
      <c r="M342" s="67">
        <f>'Combustão Móvel'!I424</f>
        <v>0</v>
      </c>
      <c r="N342" s="153"/>
      <c r="O342" s="153">
        <f t="shared" ref="O342:O405" si="104">IF($M342=$O$19,IF($L342=$B$14,$D342,0),0)</f>
        <v>0</v>
      </c>
      <c r="P342" s="153"/>
      <c r="Q342" s="153"/>
      <c r="R342" s="153">
        <f t="shared" ref="R342:R405" si="105">IF($M342=$R$19,IF($L342=$B$14,$D342,0),0)</f>
        <v>0</v>
      </c>
      <c r="S342" s="153">
        <f t="shared" ref="S342:S405" si="106">IF($M342=$S$19,IF($L342=$B$14,$D342,0),0)</f>
        <v>0</v>
      </c>
      <c r="T342" s="164">
        <f t="shared" ref="T342:T405" si="107">IF($L342=$T$20,$D342,0)</f>
        <v>0</v>
      </c>
      <c r="U342" s="164">
        <f t="shared" ref="U342:U405" si="108">IF($L342=$U$20,$D342,0)</f>
        <v>0</v>
      </c>
      <c r="V342" s="137" t="str">
        <f t="shared" si="83"/>
        <v/>
      </c>
      <c r="W342" s="137" t="str">
        <f t="shared" si="84"/>
        <v/>
      </c>
      <c r="X342" s="137" t="str">
        <f t="shared" si="85"/>
        <v/>
      </c>
    </row>
    <row r="343" spans="2:24" ht="15" thickBot="1" x14ac:dyDescent="0.4">
      <c r="B343" s="1146"/>
      <c r="C343" s="36">
        <f>'Combustão Móvel'!B425</f>
        <v>0</v>
      </c>
      <c r="D343" s="148" t="str">
        <f>'Combustão Móvel'!Q425</f>
        <v/>
      </c>
      <c r="E343" s="162">
        <f>'Combustão Móvel'!H425</f>
        <v>0</v>
      </c>
      <c r="F343" s="153">
        <f t="shared" si="98"/>
        <v>0</v>
      </c>
      <c r="G343" s="153">
        <f t="shared" si="99"/>
        <v>0</v>
      </c>
      <c r="H343" s="153">
        <f t="shared" si="100"/>
        <v>0</v>
      </c>
      <c r="I343" s="153">
        <f t="shared" si="101"/>
        <v>0</v>
      </c>
      <c r="J343" s="153">
        <f t="shared" si="102"/>
        <v>0</v>
      </c>
      <c r="K343" s="154">
        <f t="shared" si="103"/>
        <v>0</v>
      </c>
      <c r="L343" s="66">
        <f>'Combustão Móvel'!H425</f>
        <v>0</v>
      </c>
      <c r="M343" s="67">
        <f>'Combustão Móvel'!I425</f>
        <v>0</v>
      </c>
      <c r="N343" s="153"/>
      <c r="O343" s="153">
        <f t="shared" si="104"/>
        <v>0</v>
      </c>
      <c r="P343" s="153"/>
      <c r="Q343" s="153"/>
      <c r="R343" s="153">
        <f t="shared" si="105"/>
        <v>0</v>
      </c>
      <c r="S343" s="153">
        <f t="shared" si="106"/>
        <v>0</v>
      </c>
      <c r="T343" s="164">
        <f t="shared" si="107"/>
        <v>0</v>
      </c>
      <c r="U343" s="164">
        <f t="shared" si="108"/>
        <v>0</v>
      </c>
      <c r="V343" s="137" t="str">
        <f t="shared" si="83"/>
        <v/>
      </c>
      <c r="W343" s="137" t="str">
        <f t="shared" si="84"/>
        <v/>
      </c>
      <c r="X343" s="137" t="str">
        <f t="shared" si="85"/>
        <v/>
      </c>
    </row>
    <row r="344" spans="2:24" ht="15" thickBot="1" x14ac:dyDescent="0.4">
      <c r="B344" s="1146"/>
      <c r="C344" s="36">
        <f>'Combustão Móvel'!B426</f>
        <v>0</v>
      </c>
      <c r="D344" s="148" t="str">
        <f>'Combustão Móvel'!Q426</f>
        <v/>
      </c>
      <c r="E344" s="162">
        <f>'Combustão Móvel'!H426</f>
        <v>0</v>
      </c>
      <c r="F344" s="153">
        <f t="shared" si="98"/>
        <v>0</v>
      </c>
      <c r="G344" s="153">
        <f t="shared" si="99"/>
        <v>0</v>
      </c>
      <c r="H344" s="153">
        <f t="shared" si="100"/>
        <v>0</v>
      </c>
      <c r="I344" s="153">
        <f t="shared" si="101"/>
        <v>0</v>
      </c>
      <c r="J344" s="153">
        <f t="shared" si="102"/>
        <v>0</v>
      </c>
      <c r="K344" s="154">
        <f t="shared" si="103"/>
        <v>0</v>
      </c>
      <c r="L344" s="66">
        <f>'Combustão Móvel'!H426</f>
        <v>0</v>
      </c>
      <c r="M344" s="67">
        <f>'Combustão Móvel'!I426</f>
        <v>0</v>
      </c>
      <c r="N344" s="153"/>
      <c r="O344" s="153">
        <f t="shared" si="104"/>
        <v>0</v>
      </c>
      <c r="P344" s="153"/>
      <c r="Q344" s="153"/>
      <c r="R344" s="153">
        <f t="shared" si="105"/>
        <v>0</v>
      </c>
      <c r="S344" s="153">
        <f t="shared" si="106"/>
        <v>0</v>
      </c>
      <c r="T344" s="164">
        <f t="shared" si="107"/>
        <v>0</v>
      </c>
      <c r="U344" s="164">
        <f t="shared" si="108"/>
        <v>0</v>
      </c>
      <c r="V344" s="137" t="str">
        <f t="shared" si="83"/>
        <v/>
      </c>
      <c r="W344" s="137" t="str">
        <f t="shared" si="84"/>
        <v/>
      </c>
      <c r="X344" s="137" t="str">
        <f t="shared" si="85"/>
        <v/>
      </c>
    </row>
    <row r="345" spans="2:24" ht="15" thickBot="1" x14ac:dyDescent="0.4">
      <c r="B345" s="1146"/>
      <c r="C345" s="36">
        <f>'Combustão Móvel'!B427</f>
        <v>0</v>
      </c>
      <c r="D345" s="148" t="str">
        <f>'Combustão Móvel'!Q427</f>
        <v/>
      </c>
      <c r="E345" s="162">
        <f>'Combustão Móvel'!H427</f>
        <v>0</v>
      </c>
      <c r="F345" s="153">
        <f t="shared" si="98"/>
        <v>0</v>
      </c>
      <c r="G345" s="153">
        <f t="shared" si="99"/>
        <v>0</v>
      </c>
      <c r="H345" s="153">
        <f t="shared" si="100"/>
        <v>0</v>
      </c>
      <c r="I345" s="153">
        <f t="shared" si="101"/>
        <v>0</v>
      </c>
      <c r="J345" s="153">
        <f t="shared" si="102"/>
        <v>0</v>
      </c>
      <c r="K345" s="154">
        <f t="shared" si="103"/>
        <v>0</v>
      </c>
      <c r="L345" s="66">
        <f>'Combustão Móvel'!H427</f>
        <v>0</v>
      </c>
      <c r="M345" s="67">
        <f>'Combustão Móvel'!I427</f>
        <v>0</v>
      </c>
      <c r="N345" s="153"/>
      <c r="O345" s="153">
        <f t="shared" si="104"/>
        <v>0</v>
      </c>
      <c r="P345" s="153"/>
      <c r="Q345" s="153"/>
      <c r="R345" s="153">
        <f t="shared" si="105"/>
        <v>0</v>
      </c>
      <c r="S345" s="153">
        <f t="shared" si="106"/>
        <v>0</v>
      </c>
      <c r="T345" s="164">
        <f t="shared" si="107"/>
        <v>0</v>
      </c>
      <c r="U345" s="164">
        <f t="shared" si="108"/>
        <v>0</v>
      </c>
      <c r="V345" s="137" t="str">
        <f t="shared" ref="V345:V408" si="109">IF($L345="Não",F345,"")</f>
        <v/>
      </c>
      <c r="W345" s="137" t="str">
        <f t="shared" ref="W345:W408" si="110">IF($L345="Não",G345,"")</f>
        <v/>
      </c>
      <c r="X345" s="137" t="str">
        <f t="shared" ref="X345:X408" si="111">IF($L345="Não",H345,"")</f>
        <v/>
      </c>
    </row>
    <row r="346" spans="2:24" ht="15" thickBot="1" x14ac:dyDescent="0.4">
      <c r="B346" s="1146"/>
      <c r="C346" s="36">
        <f>'Combustão Móvel'!B428</f>
        <v>0</v>
      </c>
      <c r="D346" s="148" t="str">
        <f>'Combustão Móvel'!Q428</f>
        <v/>
      </c>
      <c r="E346" s="162">
        <f>'Combustão Móvel'!H428</f>
        <v>0</v>
      </c>
      <c r="F346" s="153">
        <f t="shared" si="98"/>
        <v>0</v>
      </c>
      <c r="G346" s="153">
        <f t="shared" si="99"/>
        <v>0</v>
      </c>
      <c r="H346" s="153">
        <f t="shared" si="100"/>
        <v>0</v>
      </c>
      <c r="I346" s="153">
        <f t="shared" si="101"/>
        <v>0</v>
      </c>
      <c r="J346" s="153">
        <f t="shared" si="102"/>
        <v>0</v>
      </c>
      <c r="K346" s="154">
        <f t="shared" si="103"/>
        <v>0</v>
      </c>
      <c r="L346" s="66">
        <f>'Combustão Móvel'!H428</f>
        <v>0</v>
      </c>
      <c r="M346" s="67">
        <f>'Combustão Móvel'!I428</f>
        <v>0</v>
      </c>
      <c r="N346" s="153"/>
      <c r="O346" s="153">
        <f t="shared" si="104"/>
        <v>0</v>
      </c>
      <c r="P346" s="153"/>
      <c r="Q346" s="153"/>
      <c r="R346" s="153">
        <f t="shared" si="105"/>
        <v>0</v>
      </c>
      <c r="S346" s="153">
        <f t="shared" si="106"/>
        <v>0</v>
      </c>
      <c r="T346" s="164">
        <f t="shared" si="107"/>
        <v>0</v>
      </c>
      <c r="U346" s="164">
        <f t="shared" si="108"/>
        <v>0</v>
      </c>
      <c r="V346" s="137" t="str">
        <f t="shared" si="109"/>
        <v/>
      </c>
      <c r="W346" s="137" t="str">
        <f t="shared" si="110"/>
        <v/>
      </c>
      <c r="X346" s="137" t="str">
        <f t="shared" si="111"/>
        <v/>
      </c>
    </row>
    <row r="347" spans="2:24" ht="15" thickBot="1" x14ac:dyDescent="0.4">
      <c r="B347" s="1146"/>
      <c r="C347" s="36">
        <f>'Combustão Móvel'!B429</f>
        <v>0</v>
      </c>
      <c r="D347" s="148" t="str">
        <f>'Combustão Móvel'!Q429</f>
        <v/>
      </c>
      <c r="E347" s="162">
        <f>'Combustão Móvel'!H429</f>
        <v>0</v>
      </c>
      <c r="F347" s="153">
        <f t="shared" si="98"/>
        <v>0</v>
      </c>
      <c r="G347" s="153">
        <f t="shared" si="99"/>
        <v>0</v>
      </c>
      <c r="H347" s="153">
        <f t="shared" si="100"/>
        <v>0</v>
      </c>
      <c r="I347" s="153">
        <f t="shared" si="101"/>
        <v>0</v>
      </c>
      <c r="J347" s="153">
        <f t="shared" si="102"/>
        <v>0</v>
      </c>
      <c r="K347" s="154">
        <f t="shared" si="103"/>
        <v>0</v>
      </c>
      <c r="L347" s="66">
        <f>'Combustão Móvel'!H429</f>
        <v>0</v>
      </c>
      <c r="M347" s="67">
        <f>'Combustão Móvel'!I429</f>
        <v>0</v>
      </c>
      <c r="N347" s="153"/>
      <c r="O347" s="153">
        <f t="shared" si="104"/>
        <v>0</v>
      </c>
      <c r="P347" s="153"/>
      <c r="Q347" s="153"/>
      <c r="R347" s="153">
        <f t="shared" si="105"/>
        <v>0</v>
      </c>
      <c r="S347" s="153">
        <f t="shared" si="106"/>
        <v>0</v>
      </c>
      <c r="T347" s="164">
        <f t="shared" si="107"/>
        <v>0</v>
      </c>
      <c r="U347" s="164">
        <f t="shared" si="108"/>
        <v>0</v>
      </c>
      <c r="V347" s="137" t="str">
        <f t="shared" si="109"/>
        <v/>
      </c>
      <c r="W347" s="137" t="str">
        <f t="shared" si="110"/>
        <v/>
      </c>
      <c r="X347" s="137" t="str">
        <f t="shared" si="111"/>
        <v/>
      </c>
    </row>
    <row r="348" spans="2:24" ht="15" thickBot="1" x14ac:dyDescent="0.4">
      <c r="B348" s="1146"/>
      <c r="C348" s="36">
        <f>'Combustão Móvel'!B430</f>
        <v>0</v>
      </c>
      <c r="D348" s="148" t="str">
        <f>'Combustão Móvel'!Q430</f>
        <v/>
      </c>
      <c r="E348" s="162">
        <f>'Combustão Móvel'!H430</f>
        <v>0</v>
      </c>
      <c r="F348" s="153">
        <f t="shared" si="98"/>
        <v>0</v>
      </c>
      <c r="G348" s="153">
        <f t="shared" si="99"/>
        <v>0</v>
      </c>
      <c r="H348" s="153">
        <f t="shared" si="100"/>
        <v>0</v>
      </c>
      <c r="I348" s="153">
        <f t="shared" si="101"/>
        <v>0</v>
      </c>
      <c r="J348" s="153">
        <f t="shared" si="102"/>
        <v>0</v>
      </c>
      <c r="K348" s="154">
        <f t="shared" si="103"/>
        <v>0</v>
      </c>
      <c r="L348" s="66">
        <f>'Combustão Móvel'!H430</f>
        <v>0</v>
      </c>
      <c r="M348" s="67">
        <f>'Combustão Móvel'!I430</f>
        <v>0</v>
      </c>
      <c r="N348" s="153"/>
      <c r="O348" s="153">
        <f t="shared" si="104"/>
        <v>0</v>
      </c>
      <c r="P348" s="153"/>
      <c r="Q348" s="153"/>
      <c r="R348" s="153">
        <f t="shared" si="105"/>
        <v>0</v>
      </c>
      <c r="S348" s="153">
        <f t="shared" si="106"/>
        <v>0</v>
      </c>
      <c r="T348" s="164">
        <f t="shared" si="107"/>
        <v>0</v>
      </c>
      <c r="U348" s="164">
        <f t="shared" si="108"/>
        <v>0</v>
      </c>
      <c r="V348" s="137" t="str">
        <f t="shared" si="109"/>
        <v/>
      </c>
      <c r="W348" s="137" t="str">
        <f t="shared" si="110"/>
        <v/>
      </c>
      <c r="X348" s="137" t="str">
        <f t="shared" si="111"/>
        <v/>
      </c>
    </row>
    <row r="349" spans="2:24" ht="15" thickBot="1" x14ac:dyDescent="0.4">
      <c r="B349" s="1146"/>
      <c r="C349" s="36">
        <f>'Combustão Móvel'!B431</f>
        <v>0</v>
      </c>
      <c r="D349" s="148" t="str">
        <f>'Combustão Móvel'!Q431</f>
        <v/>
      </c>
      <c r="E349" s="162">
        <f>'Combustão Móvel'!H431</f>
        <v>0</v>
      </c>
      <c r="F349" s="153">
        <f t="shared" si="98"/>
        <v>0</v>
      </c>
      <c r="G349" s="153">
        <f t="shared" si="99"/>
        <v>0</v>
      </c>
      <c r="H349" s="153">
        <f t="shared" si="100"/>
        <v>0</v>
      </c>
      <c r="I349" s="153">
        <f t="shared" si="101"/>
        <v>0</v>
      </c>
      <c r="J349" s="153">
        <f t="shared" si="102"/>
        <v>0</v>
      </c>
      <c r="K349" s="154">
        <f t="shared" si="103"/>
        <v>0</v>
      </c>
      <c r="L349" s="66">
        <f>'Combustão Móvel'!H431</f>
        <v>0</v>
      </c>
      <c r="M349" s="67">
        <f>'Combustão Móvel'!I431</f>
        <v>0</v>
      </c>
      <c r="N349" s="153"/>
      <c r="O349" s="153">
        <f t="shared" si="104"/>
        <v>0</v>
      </c>
      <c r="P349" s="153"/>
      <c r="Q349" s="153"/>
      <c r="R349" s="153">
        <f t="shared" si="105"/>
        <v>0</v>
      </c>
      <c r="S349" s="153">
        <f t="shared" si="106"/>
        <v>0</v>
      </c>
      <c r="T349" s="164">
        <f t="shared" si="107"/>
        <v>0</v>
      </c>
      <c r="U349" s="164">
        <f t="shared" si="108"/>
        <v>0</v>
      </c>
      <c r="V349" s="137" t="str">
        <f t="shared" si="109"/>
        <v/>
      </c>
      <c r="W349" s="137" t="str">
        <f t="shared" si="110"/>
        <v/>
      </c>
      <c r="X349" s="137" t="str">
        <f t="shared" si="111"/>
        <v/>
      </c>
    </row>
    <row r="350" spans="2:24" ht="15" thickBot="1" x14ac:dyDescent="0.4">
      <c r="B350" s="1146"/>
      <c r="C350" s="36">
        <f>'Combustão Móvel'!B432</f>
        <v>0</v>
      </c>
      <c r="D350" s="148" t="str">
        <f>'Combustão Móvel'!Q432</f>
        <v/>
      </c>
      <c r="E350" s="162">
        <f>'Combustão Móvel'!H432</f>
        <v>0</v>
      </c>
      <c r="F350" s="153">
        <f t="shared" si="98"/>
        <v>0</v>
      </c>
      <c r="G350" s="153">
        <f t="shared" si="99"/>
        <v>0</v>
      </c>
      <c r="H350" s="153">
        <f t="shared" si="100"/>
        <v>0</v>
      </c>
      <c r="I350" s="153">
        <f t="shared" si="101"/>
        <v>0</v>
      </c>
      <c r="J350" s="153">
        <f t="shared" si="102"/>
        <v>0</v>
      </c>
      <c r="K350" s="154">
        <f t="shared" si="103"/>
        <v>0</v>
      </c>
      <c r="L350" s="66">
        <f>'Combustão Móvel'!H432</f>
        <v>0</v>
      </c>
      <c r="M350" s="67">
        <f>'Combustão Móvel'!I432</f>
        <v>0</v>
      </c>
      <c r="N350" s="153"/>
      <c r="O350" s="153">
        <f t="shared" si="104"/>
        <v>0</v>
      </c>
      <c r="P350" s="153"/>
      <c r="Q350" s="153"/>
      <c r="R350" s="153">
        <f t="shared" si="105"/>
        <v>0</v>
      </c>
      <c r="S350" s="153">
        <f t="shared" si="106"/>
        <v>0</v>
      </c>
      <c r="T350" s="164">
        <f t="shared" si="107"/>
        <v>0</v>
      </c>
      <c r="U350" s="164">
        <f t="shared" si="108"/>
        <v>0</v>
      </c>
      <c r="V350" s="137" t="str">
        <f t="shared" si="109"/>
        <v/>
      </c>
      <c r="W350" s="137" t="str">
        <f t="shared" si="110"/>
        <v/>
      </c>
      <c r="X350" s="137" t="str">
        <f t="shared" si="111"/>
        <v/>
      </c>
    </row>
    <row r="351" spans="2:24" ht="15" thickBot="1" x14ac:dyDescent="0.4">
      <c r="B351" s="1146"/>
      <c r="C351" s="36">
        <f>'Combustão Móvel'!B433</f>
        <v>0</v>
      </c>
      <c r="D351" s="148" t="str">
        <f>'Combustão Móvel'!Q433</f>
        <v/>
      </c>
      <c r="E351" s="162">
        <f>'Combustão Móvel'!H433</f>
        <v>0</v>
      </c>
      <c r="F351" s="153">
        <f t="shared" si="98"/>
        <v>0</v>
      </c>
      <c r="G351" s="153">
        <f t="shared" si="99"/>
        <v>0</v>
      </c>
      <c r="H351" s="153">
        <f t="shared" si="100"/>
        <v>0</v>
      </c>
      <c r="I351" s="153">
        <f t="shared" si="101"/>
        <v>0</v>
      </c>
      <c r="J351" s="153">
        <f t="shared" si="102"/>
        <v>0</v>
      </c>
      <c r="K351" s="154">
        <f t="shared" si="103"/>
        <v>0</v>
      </c>
      <c r="L351" s="66">
        <f>'Combustão Móvel'!H433</f>
        <v>0</v>
      </c>
      <c r="M351" s="67">
        <f>'Combustão Móvel'!I433</f>
        <v>0</v>
      </c>
      <c r="N351" s="153"/>
      <c r="O351" s="153">
        <f t="shared" si="104"/>
        <v>0</v>
      </c>
      <c r="P351" s="153"/>
      <c r="Q351" s="153"/>
      <c r="R351" s="153">
        <f t="shared" si="105"/>
        <v>0</v>
      </c>
      <c r="S351" s="153">
        <f t="shared" si="106"/>
        <v>0</v>
      </c>
      <c r="T351" s="164">
        <f t="shared" si="107"/>
        <v>0</v>
      </c>
      <c r="U351" s="164">
        <f t="shared" si="108"/>
        <v>0</v>
      </c>
      <c r="V351" s="137" t="str">
        <f t="shared" si="109"/>
        <v/>
      </c>
      <c r="W351" s="137" t="str">
        <f t="shared" si="110"/>
        <v/>
      </c>
      <c r="X351" s="137" t="str">
        <f t="shared" si="111"/>
        <v/>
      </c>
    </row>
    <row r="352" spans="2:24" ht="15" thickBot="1" x14ac:dyDescent="0.4">
      <c r="B352" s="1146"/>
      <c r="C352" s="36">
        <f>'Combustão Móvel'!B434</f>
        <v>0</v>
      </c>
      <c r="D352" s="148" t="str">
        <f>'Combustão Móvel'!Q434</f>
        <v/>
      </c>
      <c r="E352" s="162">
        <f>'Combustão Móvel'!H434</f>
        <v>0</v>
      </c>
      <c r="F352" s="153">
        <f t="shared" si="98"/>
        <v>0</v>
      </c>
      <c r="G352" s="153">
        <f t="shared" si="99"/>
        <v>0</v>
      </c>
      <c r="H352" s="153">
        <f t="shared" si="100"/>
        <v>0</v>
      </c>
      <c r="I352" s="153">
        <f t="shared" si="101"/>
        <v>0</v>
      </c>
      <c r="J352" s="153">
        <f t="shared" si="102"/>
        <v>0</v>
      </c>
      <c r="K352" s="154">
        <f t="shared" si="103"/>
        <v>0</v>
      </c>
      <c r="L352" s="66">
        <f>'Combustão Móvel'!H434</f>
        <v>0</v>
      </c>
      <c r="M352" s="67">
        <f>'Combustão Móvel'!I434</f>
        <v>0</v>
      </c>
      <c r="N352" s="153"/>
      <c r="O352" s="153">
        <f t="shared" si="104"/>
        <v>0</v>
      </c>
      <c r="P352" s="153"/>
      <c r="Q352" s="153"/>
      <c r="R352" s="153">
        <f t="shared" si="105"/>
        <v>0</v>
      </c>
      <c r="S352" s="153">
        <f t="shared" si="106"/>
        <v>0</v>
      </c>
      <c r="T352" s="164">
        <f t="shared" si="107"/>
        <v>0</v>
      </c>
      <c r="U352" s="164">
        <f t="shared" si="108"/>
        <v>0</v>
      </c>
      <c r="V352" s="137" t="str">
        <f t="shared" si="109"/>
        <v/>
      </c>
      <c r="W352" s="137" t="str">
        <f t="shared" si="110"/>
        <v/>
      </c>
      <c r="X352" s="137" t="str">
        <f t="shared" si="111"/>
        <v/>
      </c>
    </row>
    <row r="353" spans="2:24" ht="15" thickBot="1" x14ac:dyDescent="0.4">
      <c r="B353" s="1146"/>
      <c r="C353" s="36">
        <f>'Combustão Móvel'!B435</f>
        <v>0</v>
      </c>
      <c r="D353" s="148" t="str">
        <f>'Combustão Móvel'!Q435</f>
        <v/>
      </c>
      <c r="E353" s="162">
        <f>'Combustão Móvel'!H435</f>
        <v>0</v>
      </c>
      <c r="F353" s="153">
        <f t="shared" si="98"/>
        <v>0</v>
      </c>
      <c r="G353" s="153">
        <f t="shared" si="99"/>
        <v>0</v>
      </c>
      <c r="H353" s="153">
        <f t="shared" si="100"/>
        <v>0</v>
      </c>
      <c r="I353" s="153">
        <f t="shared" si="101"/>
        <v>0</v>
      </c>
      <c r="J353" s="153">
        <f t="shared" si="102"/>
        <v>0</v>
      </c>
      <c r="K353" s="154">
        <f t="shared" si="103"/>
        <v>0</v>
      </c>
      <c r="L353" s="66">
        <f>'Combustão Móvel'!H435</f>
        <v>0</v>
      </c>
      <c r="M353" s="67">
        <f>'Combustão Móvel'!I435</f>
        <v>0</v>
      </c>
      <c r="N353" s="153"/>
      <c r="O353" s="153">
        <f t="shared" si="104"/>
        <v>0</v>
      </c>
      <c r="P353" s="153"/>
      <c r="Q353" s="153"/>
      <c r="R353" s="153">
        <f t="shared" si="105"/>
        <v>0</v>
      </c>
      <c r="S353" s="153">
        <f t="shared" si="106"/>
        <v>0</v>
      </c>
      <c r="T353" s="164">
        <f t="shared" si="107"/>
        <v>0</v>
      </c>
      <c r="U353" s="164">
        <f t="shared" si="108"/>
        <v>0</v>
      </c>
      <c r="V353" s="137" t="str">
        <f t="shared" si="109"/>
        <v/>
      </c>
      <c r="W353" s="137" t="str">
        <f t="shared" si="110"/>
        <v/>
      </c>
      <c r="X353" s="137" t="str">
        <f t="shared" si="111"/>
        <v/>
      </c>
    </row>
    <row r="354" spans="2:24" ht="15" thickBot="1" x14ac:dyDescent="0.4">
      <c r="B354" s="1146"/>
      <c r="C354" s="36">
        <f>'Combustão Móvel'!B436</f>
        <v>0</v>
      </c>
      <c r="D354" s="148" t="str">
        <f>'Combustão Móvel'!Q436</f>
        <v/>
      </c>
      <c r="E354" s="162">
        <f>'Combustão Móvel'!H436</f>
        <v>0</v>
      </c>
      <c r="F354" s="153">
        <f t="shared" si="98"/>
        <v>0</v>
      </c>
      <c r="G354" s="153">
        <f t="shared" si="99"/>
        <v>0</v>
      </c>
      <c r="H354" s="153">
        <f t="shared" si="100"/>
        <v>0</v>
      </c>
      <c r="I354" s="153">
        <f t="shared" si="101"/>
        <v>0</v>
      </c>
      <c r="J354" s="153">
        <f t="shared" si="102"/>
        <v>0</v>
      </c>
      <c r="K354" s="154">
        <f t="shared" si="103"/>
        <v>0</v>
      </c>
      <c r="L354" s="66">
        <f>'Combustão Móvel'!H436</f>
        <v>0</v>
      </c>
      <c r="M354" s="67">
        <f>'Combustão Móvel'!I436</f>
        <v>0</v>
      </c>
      <c r="N354" s="153"/>
      <c r="O354" s="153">
        <f t="shared" si="104"/>
        <v>0</v>
      </c>
      <c r="P354" s="153"/>
      <c r="Q354" s="153"/>
      <c r="R354" s="153">
        <f t="shared" si="105"/>
        <v>0</v>
      </c>
      <c r="S354" s="153">
        <f t="shared" si="106"/>
        <v>0</v>
      </c>
      <c r="T354" s="164">
        <f t="shared" si="107"/>
        <v>0</v>
      </c>
      <c r="U354" s="164">
        <f t="shared" si="108"/>
        <v>0</v>
      </c>
      <c r="V354" s="137" t="str">
        <f t="shared" si="109"/>
        <v/>
      </c>
      <c r="W354" s="137" t="str">
        <f t="shared" si="110"/>
        <v/>
      </c>
      <c r="X354" s="137" t="str">
        <f t="shared" si="111"/>
        <v/>
      </c>
    </row>
    <row r="355" spans="2:24" ht="15" thickBot="1" x14ac:dyDescent="0.4">
      <c r="B355" s="1146"/>
      <c r="C355" s="36">
        <f>'Combustão Móvel'!B437</f>
        <v>0</v>
      </c>
      <c r="D355" s="148" t="str">
        <f>'Combustão Móvel'!Q437</f>
        <v/>
      </c>
      <c r="E355" s="162">
        <f>'Combustão Móvel'!H437</f>
        <v>0</v>
      </c>
      <c r="F355" s="153">
        <f t="shared" si="98"/>
        <v>0</v>
      </c>
      <c r="G355" s="153">
        <f t="shared" si="99"/>
        <v>0</v>
      </c>
      <c r="H355" s="153">
        <f t="shared" si="100"/>
        <v>0</v>
      </c>
      <c r="I355" s="153">
        <f t="shared" si="101"/>
        <v>0</v>
      </c>
      <c r="J355" s="153">
        <f t="shared" si="102"/>
        <v>0</v>
      </c>
      <c r="K355" s="154">
        <f t="shared" si="103"/>
        <v>0</v>
      </c>
      <c r="L355" s="66">
        <f>'Combustão Móvel'!H437</f>
        <v>0</v>
      </c>
      <c r="M355" s="67">
        <f>'Combustão Móvel'!I437</f>
        <v>0</v>
      </c>
      <c r="N355" s="153"/>
      <c r="O355" s="153">
        <f t="shared" si="104"/>
        <v>0</v>
      </c>
      <c r="P355" s="153"/>
      <c r="Q355" s="153"/>
      <c r="R355" s="153">
        <f t="shared" si="105"/>
        <v>0</v>
      </c>
      <c r="S355" s="153">
        <f t="shared" si="106"/>
        <v>0</v>
      </c>
      <c r="T355" s="164">
        <f t="shared" si="107"/>
        <v>0</v>
      </c>
      <c r="U355" s="164">
        <f t="shared" si="108"/>
        <v>0</v>
      </c>
      <c r="V355" s="137" t="str">
        <f t="shared" si="109"/>
        <v/>
      </c>
      <c r="W355" s="137" t="str">
        <f t="shared" si="110"/>
        <v/>
      </c>
      <c r="X355" s="137" t="str">
        <f t="shared" si="111"/>
        <v/>
      </c>
    </row>
    <row r="356" spans="2:24" ht="15" thickBot="1" x14ac:dyDescent="0.4">
      <c r="B356" s="1146"/>
      <c r="C356" s="36">
        <f>'Combustão Móvel'!B438</f>
        <v>0</v>
      </c>
      <c r="D356" s="148" t="str">
        <f>'Combustão Móvel'!Q438</f>
        <v/>
      </c>
      <c r="E356" s="162">
        <f>'Combustão Móvel'!H438</f>
        <v>0</v>
      </c>
      <c r="F356" s="153">
        <f t="shared" si="98"/>
        <v>0</v>
      </c>
      <c r="G356" s="153">
        <f t="shared" si="99"/>
        <v>0</v>
      </c>
      <c r="H356" s="153">
        <f t="shared" si="100"/>
        <v>0</v>
      </c>
      <c r="I356" s="153">
        <f t="shared" si="101"/>
        <v>0</v>
      </c>
      <c r="J356" s="153">
        <f t="shared" si="102"/>
        <v>0</v>
      </c>
      <c r="K356" s="154">
        <f t="shared" si="103"/>
        <v>0</v>
      </c>
      <c r="L356" s="66">
        <f>'Combustão Móvel'!H438</f>
        <v>0</v>
      </c>
      <c r="M356" s="67">
        <f>'Combustão Móvel'!I438</f>
        <v>0</v>
      </c>
      <c r="N356" s="153"/>
      <c r="O356" s="153">
        <f t="shared" si="104"/>
        <v>0</v>
      </c>
      <c r="P356" s="153"/>
      <c r="Q356" s="153"/>
      <c r="R356" s="153">
        <f t="shared" si="105"/>
        <v>0</v>
      </c>
      <c r="S356" s="153">
        <f t="shared" si="106"/>
        <v>0</v>
      </c>
      <c r="T356" s="164">
        <f t="shared" si="107"/>
        <v>0</v>
      </c>
      <c r="U356" s="164">
        <f t="shared" si="108"/>
        <v>0</v>
      </c>
      <c r="V356" s="137" t="str">
        <f t="shared" si="109"/>
        <v/>
      </c>
      <c r="W356" s="137" t="str">
        <f t="shared" si="110"/>
        <v/>
      </c>
      <c r="X356" s="137" t="str">
        <f t="shared" si="111"/>
        <v/>
      </c>
    </row>
    <row r="357" spans="2:24" ht="15" thickBot="1" x14ac:dyDescent="0.4">
      <c r="B357" s="1146"/>
      <c r="C357" s="36">
        <f>'Combustão Móvel'!B439</f>
        <v>0</v>
      </c>
      <c r="D357" s="148" t="str">
        <f>'Combustão Móvel'!Q439</f>
        <v/>
      </c>
      <c r="E357" s="162">
        <f>'Combustão Móvel'!H439</f>
        <v>0</v>
      </c>
      <c r="F357" s="153">
        <f t="shared" si="98"/>
        <v>0</v>
      </c>
      <c r="G357" s="153">
        <f t="shared" si="99"/>
        <v>0</v>
      </c>
      <c r="H357" s="153">
        <f t="shared" si="100"/>
        <v>0</v>
      </c>
      <c r="I357" s="153">
        <f t="shared" si="101"/>
        <v>0</v>
      </c>
      <c r="J357" s="153">
        <f t="shared" si="102"/>
        <v>0</v>
      </c>
      <c r="K357" s="154">
        <f t="shared" si="103"/>
        <v>0</v>
      </c>
      <c r="L357" s="66">
        <f>'Combustão Móvel'!H439</f>
        <v>0</v>
      </c>
      <c r="M357" s="67">
        <f>'Combustão Móvel'!I439</f>
        <v>0</v>
      </c>
      <c r="N357" s="153"/>
      <c r="O357" s="153">
        <f t="shared" si="104"/>
        <v>0</v>
      </c>
      <c r="P357" s="153"/>
      <c r="Q357" s="153"/>
      <c r="R357" s="153">
        <f t="shared" si="105"/>
        <v>0</v>
      </c>
      <c r="S357" s="153">
        <f t="shared" si="106"/>
        <v>0</v>
      </c>
      <c r="T357" s="164">
        <f t="shared" si="107"/>
        <v>0</v>
      </c>
      <c r="U357" s="164">
        <f t="shared" si="108"/>
        <v>0</v>
      </c>
      <c r="V357" s="137" t="str">
        <f t="shared" si="109"/>
        <v/>
      </c>
      <c r="W357" s="137" t="str">
        <f t="shared" si="110"/>
        <v/>
      </c>
      <c r="X357" s="137" t="str">
        <f t="shared" si="111"/>
        <v/>
      </c>
    </row>
    <row r="358" spans="2:24" ht="15" thickBot="1" x14ac:dyDescent="0.4">
      <c r="B358" s="1146"/>
      <c r="C358" s="36">
        <f>'Combustão Móvel'!B440</f>
        <v>0</v>
      </c>
      <c r="D358" s="148" t="str">
        <f>'Combustão Móvel'!Q440</f>
        <v/>
      </c>
      <c r="E358" s="162">
        <f>'Combustão Móvel'!H440</f>
        <v>0</v>
      </c>
      <c r="F358" s="153">
        <f t="shared" si="98"/>
        <v>0</v>
      </c>
      <c r="G358" s="153">
        <f t="shared" si="99"/>
        <v>0</v>
      </c>
      <c r="H358" s="153">
        <f t="shared" si="100"/>
        <v>0</v>
      </c>
      <c r="I358" s="153">
        <f t="shared" si="101"/>
        <v>0</v>
      </c>
      <c r="J358" s="153">
        <f t="shared" si="102"/>
        <v>0</v>
      </c>
      <c r="K358" s="154">
        <f t="shared" si="103"/>
        <v>0</v>
      </c>
      <c r="L358" s="66">
        <f>'Combustão Móvel'!H440</f>
        <v>0</v>
      </c>
      <c r="M358" s="67">
        <f>'Combustão Móvel'!I440</f>
        <v>0</v>
      </c>
      <c r="N358" s="153"/>
      <c r="O358" s="153">
        <f t="shared" si="104"/>
        <v>0</v>
      </c>
      <c r="P358" s="153"/>
      <c r="Q358" s="153"/>
      <c r="R358" s="153">
        <f t="shared" si="105"/>
        <v>0</v>
      </c>
      <c r="S358" s="153">
        <f t="shared" si="106"/>
        <v>0</v>
      </c>
      <c r="T358" s="164">
        <f t="shared" si="107"/>
        <v>0</v>
      </c>
      <c r="U358" s="164">
        <f t="shared" si="108"/>
        <v>0</v>
      </c>
      <c r="V358" s="137" t="str">
        <f t="shared" si="109"/>
        <v/>
      </c>
      <c r="W358" s="137" t="str">
        <f t="shared" si="110"/>
        <v/>
      </c>
      <c r="X358" s="137" t="str">
        <f t="shared" si="111"/>
        <v/>
      </c>
    </row>
    <row r="359" spans="2:24" ht="15" thickBot="1" x14ac:dyDescent="0.4">
      <c r="B359" s="1146"/>
      <c r="C359" s="36">
        <f>'Combustão Móvel'!B441</f>
        <v>0</v>
      </c>
      <c r="D359" s="148" t="str">
        <f>'Combustão Móvel'!Q441</f>
        <v/>
      </c>
      <c r="E359" s="162">
        <f>'Combustão Móvel'!H441</f>
        <v>0</v>
      </c>
      <c r="F359" s="153">
        <f t="shared" si="98"/>
        <v>0</v>
      </c>
      <c r="G359" s="153">
        <f t="shared" si="99"/>
        <v>0</v>
      </c>
      <c r="H359" s="153">
        <f t="shared" si="100"/>
        <v>0</v>
      </c>
      <c r="I359" s="153">
        <f t="shared" si="101"/>
        <v>0</v>
      </c>
      <c r="J359" s="153">
        <f t="shared" si="102"/>
        <v>0</v>
      </c>
      <c r="K359" s="154">
        <f t="shared" si="103"/>
        <v>0</v>
      </c>
      <c r="L359" s="66">
        <f>'Combustão Móvel'!H441</f>
        <v>0</v>
      </c>
      <c r="M359" s="67">
        <f>'Combustão Móvel'!I441</f>
        <v>0</v>
      </c>
      <c r="N359" s="153"/>
      <c r="O359" s="153">
        <f t="shared" si="104"/>
        <v>0</v>
      </c>
      <c r="P359" s="153"/>
      <c r="Q359" s="153"/>
      <c r="R359" s="153">
        <f t="shared" si="105"/>
        <v>0</v>
      </c>
      <c r="S359" s="153">
        <f t="shared" si="106"/>
        <v>0</v>
      </c>
      <c r="T359" s="164">
        <f t="shared" si="107"/>
        <v>0</v>
      </c>
      <c r="U359" s="164">
        <f t="shared" si="108"/>
        <v>0</v>
      </c>
      <c r="V359" s="137" t="str">
        <f t="shared" si="109"/>
        <v/>
      </c>
      <c r="W359" s="137" t="str">
        <f t="shared" si="110"/>
        <v/>
      </c>
      <c r="X359" s="137" t="str">
        <f t="shared" si="111"/>
        <v/>
      </c>
    </row>
    <row r="360" spans="2:24" ht="15" thickBot="1" x14ac:dyDescent="0.4">
      <c r="B360" s="1146"/>
      <c r="C360" s="36">
        <f>'Combustão Móvel'!B442</f>
        <v>0</v>
      </c>
      <c r="D360" s="148" t="str">
        <f>'Combustão Móvel'!Q442</f>
        <v/>
      </c>
      <c r="E360" s="162">
        <f>'Combustão Móvel'!H442</f>
        <v>0</v>
      </c>
      <c r="F360" s="153">
        <f t="shared" si="98"/>
        <v>0</v>
      </c>
      <c r="G360" s="153">
        <f t="shared" si="99"/>
        <v>0</v>
      </c>
      <c r="H360" s="153">
        <f t="shared" si="100"/>
        <v>0</v>
      </c>
      <c r="I360" s="153">
        <f t="shared" si="101"/>
        <v>0</v>
      </c>
      <c r="J360" s="153">
        <f t="shared" si="102"/>
        <v>0</v>
      </c>
      <c r="K360" s="154">
        <f t="shared" si="103"/>
        <v>0</v>
      </c>
      <c r="L360" s="66">
        <f>'Combustão Móvel'!H442</f>
        <v>0</v>
      </c>
      <c r="M360" s="67">
        <f>'Combustão Móvel'!I442</f>
        <v>0</v>
      </c>
      <c r="N360" s="153"/>
      <c r="O360" s="153">
        <f t="shared" si="104"/>
        <v>0</v>
      </c>
      <c r="P360" s="153"/>
      <c r="Q360" s="153"/>
      <c r="R360" s="153">
        <f t="shared" si="105"/>
        <v>0</v>
      </c>
      <c r="S360" s="153">
        <f t="shared" si="106"/>
        <v>0</v>
      </c>
      <c r="T360" s="164">
        <f t="shared" si="107"/>
        <v>0</v>
      </c>
      <c r="U360" s="164">
        <f t="shared" si="108"/>
        <v>0</v>
      </c>
      <c r="V360" s="137" t="str">
        <f t="shared" si="109"/>
        <v/>
      </c>
      <c r="W360" s="137" t="str">
        <f t="shared" si="110"/>
        <v/>
      </c>
      <c r="X360" s="137" t="str">
        <f t="shared" si="111"/>
        <v/>
      </c>
    </row>
    <row r="361" spans="2:24" ht="15" thickBot="1" x14ac:dyDescent="0.4">
      <c r="B361" s="1146"/>
      <c r="C361" s="36">
        <f>'Combustão Móvel'!B443</f>
        <v>0</v>
      </c>
      <c r="D361" s="148" t="str">
        <f>'Combustão Móvel'!Q443</f>
        <v/>
      </c>
      <c r="E361" s="162">
        <f>'Combustão Móvel'!H443</f>
        <v>0</v>
      </c>
      <c r="F361" s="153">
        <f t="shared" si="98"/>
        <v>0</v>
      </c>
      <c r="G361" s="153">
        <f t="shared" si="99"/>
        <v>0</v>
      </c>
      <c r="H361" s="153">
        <f t="shared" si="100"/>
        <v>0</v>
      </c>
      <c r="I361" s="153">
        <f t="shared" si="101"/>
        <v>0</v>
      </c>
      <c r="J361" s="153">
        <f t="shared" si="102"/>
        <v>0</v>
      </c>
      <c r="K361" s="154">
        <f t="shared" si="103"/>
        <v>0</v>
      </c>
      <c r="L361" s="66">
        <f>'Combustão Móvel'!H443</f>
        <v>0</v>
      </c>
      <c r="M361" s="67">
        <f>'Combustão Móvel'!I443</f>
        <v>0</v>
      </c>
      <c r="N361" s="153"/>
      <c r="O361" s="153">
        <f t="shared" si="104"/>
        <v>0</v>
      </c>
      <c r="P361" s="153"/>
      <c r="Q361" s="153"/>
      <c r="R361" s="153">
        <f t="shared" si="105"/>
        <v>0</v>
      </c>
      <c r="S361" s="153">
        <f t="shared" si="106"/>
        <v>0</v>
      </c>
      <c r="T361" s="164">
        <f t="shared" si="107"/>
        <v>0</v>
      </c>
      <c r="U361" s="164">
        <f t="shared" si="108"/>
        <v>0</v>
      </c>
      <c r="V361" s="137" t="str">
        <f t="shared" si="109"/>
        <v/>
      </c>
      <c r="W361" s="137" t="str">
        <f t="shared" si="110"/>
        <v/>
      </c>
      <c r="X361" s="137" t="str">
        <f t="shared" si="111"/>
        <v/>
      </c>
    </row>
    <row r="362" spans="2:24" ht="15" thickBot="1" x14ac:dyDescent="0.4">
      <c r="B362" s="1146"/>
      <c r="C362" s="36">
        <f>'Combustão Móvel'!B444</f>
        <v>0</v>
      </c>
      <c r="D362" s="148" t="str">
        <f>'Combustão Móvel'!Q444</f>
        <v/>
      </c>
      <c r="E362" s="162">
        <f>'Combustão Móvel'!H444</f>
        <v>0</v>
      </c>
      <c r="F362" s="153">
        <f t="shared" si="98"/>
        <v>0</v>
      </c>
      <c r="G362" s="153">
        <f t="shared" si="99"/>
        <v>0</v>
      </c>
      <c r="H362" s="153">
        <f t="shared" si="100"/>
        <v>0</v>
      </c>
      <c r="I362" s="153">
        <f t="shared" si="101"/>
        <v>0</v>
      </c>
      <c r="J362" s="153">
        <f t="shared" si="102"/>
        <v>0</v>
      </c>
      <c r="K362" s="154">
        <f t="shared" si="103"/>
        <v>0</v>
      </c>
      <c r="L362" s="66">
        <f>'Combustão Móvel'!H444</f>
        <v>0</v>
      </c>
      <c r="M362" s="67">
        <f>'Combustão Móvel'!I444</f>
        <v>0</v>
      </c>
      <c r="N362" s="153"/>
      <c r="O362" s="153">
        <f t="shared" si="104"/>
        <v>0</v>
      </c>
      <c r="P362" s="153"/>
      <c r="Q362" s="153"/>
      <c r="R362" s="153">
        <f t="shared" si="105"/>
        <v>0</v>
      </c>
      <c r="S362" s="153">
        <f t="shared" si="106"/>
        <v>0</v>
      </c>
      <c r="T362" s="164">
        <f t="shared" si="107"/>
        <v>0</v>
      </c>
      <c r="U362" s="164">
        <f t="shared" si="108"/>
        <v>0</v>
      </c>
      <c r="V362" s="137" t="str">
        <f t="shared" si="109"/>
        <v/>
      </c>
      <c r="W362" s="137" t="str">
        <f t="shared" si="110"/>
        <v/>
      </c>
      <c r="X362" s="137" t="str">
        <f t="shared" si="111"/>
        <v/>
      </c>
    </row>
    <row r="363" spans="2:24" ht="15" thickBot="1" x14ac:dyDescent="0.4">
      <c r="B363" s="1146"/>
      <c r="C363" s="36">
        <f>'Combustão Móvel'!B445</f>
        <v>0</v>
      </c>
      <c r="D363" s="148" t="str">
        <f>'Combustão Móvel'!Q445</f>
        <v/>
      </c>
      <c r="E363" s="162">
        <f>'Combustão Móvel'!H445</f>
        <v>0</v>
      </c>
      <c r="F363" s="153">
        <f t="shared" si="98"/>
        <v>0</v>
      </c>
      <c r="G363" s="153">
        <f t="shared" si="99"/>
        <v>0</v>
      </c>
      <c r="H363" s="153">
        <f t="shared" si="100"/>
        <v>0</v>
      </c>
      <c r="I363" s="153">
        <f t="shared" si="101"/>
        <v>0</v>
      </c>
      <c r="J363" s="153">
        <f t="shared" si="102"/>
        <v>0</v>
      </c>
      <c r="K363" s="154">
        <f t="shared" si="103"/>
        <v>0</v>
      </c>
      <c r="L363" s="66">
        <f>'Combustão Móvel'!H445</f>
        <v>0</v>
      </c>
      <c r="M363" s="67">
        <f>'Combustão Móvel'!I445</f>
        <v>0</v>
      </c>
      <c r="N363" s="153"/>
      <c r="O363" s="153">
        <f t="shared" si="104"/>
        <v>0</v>
      </c>
      <c r="P363" s="153"/>
      <c r="Q363" s="153"/>
      <c r="R363" s="153">
        <f t="shared" si="105"/>
        <v>0</v>
      </c>
      <c r="S363" s="153">
        <f t="shared" si="106"/>
        <v>0</v>
      </c>
      <c r="T363" s="164">
        <f t="shared" si="107"/>
        <v>0</v>
      </c>
      <c r="U363" s="164">
        <f t="shared" si="108"/>
        <v>0</v>
      </c>
      <c r="V363" s="137" t="str">
        <f t="shared" si="109"/>
        <v/>
      </c>
      <c r="W363" s="137" t="str">
        <f t="shared" si="110"/>
        <v/>
      </c>
      <c r="X363" s="137" t="str">
        <f t="shared" si="111"/>
        <v/>
      </c>
    </row>
    <row r="364" spans="2:24" ht="15" thickBot="1" x14ac:dyDescent="0.4">
      <c r="B364" s="1146"/>
      <c r="C364" s="36">
        <f>'Combustão Móvel'!B446</f>
        <v>0</v>
      </c>
      <c r="D364" s="148" t="str">
        <f>'Combustão Móvel'!Q446</f>
        <v/>
      </c>
      <c r="E364" s="162">
        <f>'Combustão Móvel'!H446</f>
        <v>0</v>
      </c>
      <c r="F364" s="153">
        <f t="shared" si="98"/>
        <v>0</v>
      </c>
      <c r="G364" s="153">
        <f t="shared" si="99"/>
        <v>0</v>
      </c>
      <c r="H364" s="153">
        <f t="shared" si="100"/>
        <v>0</v>
      </c>
      <c r="I364" s="153">
        <f t="shared" si="101"/>
        <v>0</v>
      </c>
      <c r="J364" s="153">
        <f t="shared" si="102"/>
        <v>0</v>
      </c>
      <c r="K364" s="154">
        <f t="shared" si="103"/>
        <v>0</v>
      </c>
      <c r="L364" s="66">
        <f>'Combustão Móvel'!H446</f>
        <v>0</v>
      </c>
      <c r="M364" s="67">
        <f>'Combustão Móvel'!I446</f>
        <v>0</v>
      </c>
      <c r="N364" s="153"/>
      <c r="O364" s="153">
        <f t="shared" si="104"/>
        <v>0</v>
      </c>
      <c r="P364" s="153"/>
      <c r="Q364" s="153"/>
      <c r="R364" s="153">
        <f t="shared" si="105"/>
        <v>0</v>
      </c>
      <c r="S364" s="153">
        <f t="shared" si="106"/>
        <v>0</v>
      </c>
      <c r="T364" s="164">
        <f t="shared" si="107"/>
        <v>0</v>
      </c>
      <c r="U364" s="164">
        <f t="shared" si="108"/>
        <v>0</v>
      </c>
      <c r="V364" s="137" t="str">
        <f t="shared" si="109"/>
        <v/>
      </c>
      <c r="W364" s="137" t="str">
        <f t="shared" si="110"/>
        <v/>
      </c>
      <c r="X364" s="137" t="str">
        <f t="shared" si="111"/>
        <v/>
      </c>
    </row>
    <row r="365" spans="2:24" ht="15" thickBot="1" x14ac:dyDescent="0.4">
      <c r="B365" s="1146"/>
      <c r="C365" s="36">
        <f>'Combustão Móvel'!B447</f>
        <v>0</v>
      </c>
      <c r="D365" s="148" t="str">
        <f>'Combustão Móvel'!Q447</f>
        <v/>
      </c>
      <c r="E365" s="162">
        <f>'Combustão Móvel'!H447</f>
        <v>0</v>
      </c>
      <c r="F365" s="153">
        <f t="shared" si="98"/>
        <v>0</v>
      </c>
      <c r="G365" s="153">
        <f t="shared" si="99"/>
        <v>0</v>
      </c>
      <c r="H365" s="153">
        <f t="shared" si="100"/>
        <v>0</v>
      </c>
      <c r="I365" s="153">
        <f t="shared" si="101"/>
        <v>0</v>
      </c>
      <c r="J365" s="153">
        <f t="shared" si="102"/>
        <v>0</v>
      </c>
      <c r="K365" s="154">
        <f t="shared" si="103"/>
        <v>0</v>
      </c>
      <c r="L365" s="66">
        <f>'Combustão Móvel'!H447</f>
        <v>0</v>
      </c>
      <c r="M365" s="67">
        <f>'Combustão Móvel'!I447</f>
        <v>0</v>
      </c>
      <c r="N365" s="153"/>
      <c r="O365" s="153">
        <f t="shared" si="104"/>
        <v>0</v>
      </c>
      <c r="P365" s="153"/>
      <c r="Q365" s="153"/>
      <c r="R365" s="153">
        <f t="shared" si="105"/>
        <v>0</v>
      </c>
      <c r="S365" s="153">
        <f t="shared" si="106"/>
        <v>0</v>
      </c>
      <c r="T365" s="164">
        <f t="shared" si="107"/>
        <v>0</v>
      </c>
      <c r="U365" s="164">
        <f t="shared" si="108"/>
        <v>0</v>
      </c>
      <c r="V365" s="137" t="str">
        <f t="shared" si="109"/>
        <v/>
      </c>
      <c r="W365" s="137" t="str">
        <f t="shared" si="110"/>
        <v/>
      </c>
      <c r="X365" s="137" t="str">
        <f t="shared" si="111"/>
        <v/>
      </c>
    </row>
    <row r="366" spans="2:24" ht="15" thickBot="1" x14ac:dyDescent="0.4">
      <c r="B366" s="1146"/>
      <c r="C366" s="36">
        <f>'Combustão Móvel'!B448</f>
        <v>0</v>
      </c>
      <c r="D366" s="148" t="str">
        <f>'Combustão Móvel'!Q448</f>
        <v/>
      </c>
      <c r="E366" s="162">
        <f>'Combustão Móvel'!H448</f>
        <v>0</v>
      </c>
      <c r="F366" s="153">
        <f t="shared" si="98"/>
        <v>0</v>
      </c>
      <c r="G366" s="153">
        <f t="shared" si="99"/>
        <v>0</v>
      </c>
      <c r="H366" s="153">
        <f t="shared" si="100"/>
        <v>0</v>
      </c>
      <c r="I366" s="153">
        <f t="shared" si="101"/>
        <v>0</v>
      </c>
      <c r="J366" s="153">
        <f t="shared" si="102"/>
        <v>0</v>
      </c>
      <c r="K366" s="154">
        <f t="shared" si="103"/>
        <v>0</v>
      </c>
      <c r="L366" s="66">
        <f>'Combustão Móvel'!H448</f>
        <v>0</v>
      </c>
      <c r="M366" s="67">
        <f>'Combustão Móvel'!I448</f>
        <v>0</v>
      </c>
      <c r="N366" s="153"/>
      <c r="O366" s="153">
        <f t="shared" si="104"/>
        <v>0</v>
      </c>
      <c r="P366" s="153"/>
      <c r="Q366" s="153"/>
      <c r="R366" s="153">
        <f t="shared" si="105"/>
        <v>0</v>
      </c>
      <c r="S366" s="153">
        <f t="shared" si="106"/>
        <v>0</v>
      </c>
      <c r="T366" s="164">
        <f t="shared" si="107"/>
        <v>0</v>
      </c>
      <c r="U366" s="164">
        <f t="shared" si="108"/>
        <v>0</v>
      </c>
      <c r="V366" s="137" t="str">
        <f t="shared" si="109"/>
        <v/>
      </c>
      <c r="W366" s="137" t="str">
        <f t="shared" si="110"/>
        <v/>
      </c>
      <c r="X366" s="137" t="str">
        <f t="shared" si="111"/>
        <v/>
      </c>
    </row>
    <row r="367" spans="2:24" ht="15" thickBot="1" x14ac:dyDescent="0.4">
      <c r="B367" s="1146"/>
      <c r="C367" s="36">
        <f>'Combustão Móvel'!B449</f>
        <v>0</v>
      </c>
      <c r="D367" s="148" t="str">
        <f>'Combustão Móvel'!Q449</f>
        <v/>
      </c>
      <c r="E367" s="162">
        <f>'Combustão Móvel'!H449</f>
        <v>0</v>
      </c>
      <c r="F367" s="153">
        <f t="shared" si="98"/>
        <v>0</v>
      </c>
      <c r="G367" s="153">
        <f t="shared" si="99"/>
        <v>0</v>
      </c>
      <c r="H367" s="153">
        <f t="shared" si="100"/>
        <v>0</v>
      </c>
      <c r="I367" s="153">
        <f t="shared" si="101"/>
        <v>0</v>
      </c>
      <c r="J367" s="153">
        <f t="shared" si="102"/>
        <v>0</v>
      </c>
      <c r="K367" s="154">
        <f t="shared" si="103"/>
        <v>0</v>
      </c>
      <c r="L367" s="66">
        <f>'Combustão Móvel'!H449</f>
        <v>0</v>
      </c>
      <c r="M367" s="67">
        <f>'Combustão Móvel'!I449</f>
        <v>0</v>
      </c>
      <c r="N367" s="153"/>
      <c r="O367" s="153">
        <f t="shared" si="104"/>
        <v>0</v>
      </c>
      <c r="P367" s="153"/>
      <c r="Q367" s="153"/>
      <c r="R367" s="153">
        <f t="shared" si="105"/>
        <v>0</v>
      </c>
      <c r="S367" s="153">
        <f t="shared" si="106"/>
        <v>0</v>
      </c>
      <c r="T367" s="164">
        <f t="shared" si="107"/>
        <v>0</v>
      </c>
      <c r="U367" s="164">
        <f t="shared" si="108"/>
        <v>0</v>
      </c>
      <c r="V367" s="137" t="str">
        <f t="shared" si="109"/>
        <v/>
      </c>
      <c r="W367" s="137" t="str">
        <f t="shared" si="110"/>
        <v/>
      </c>
      <c r="X367" s="137" t="str">
        <f t="shared" si="111"/>
        <v/>
      </c>
    </row>
    <row r="368" spans="2:24" ht="15" thickBot="1" x14ac:dyDescent="0.4">
      <c r="B368" s="1146"/>
      <c r="C368" s="36">
        <f>'Combustão Móvel'!B450</f>
        <v>0</v>
      </c>
      <c r="D368" s="148" t="str">
        <f>'Combustão Móvel'!Q450</f>
        <v/>
      </c>
      <c r="E368" s="162">
        <f>'Combustão Móvel'!H450</f>
        <v>0</v>
      </c>
      <c r="F368" s="153">
        <f t="shared" si="98"/>
        <v>0</v>
      </c>
      <c r="G368" s="153">
        <f t="shared" si="99"/>
        <v>0</v>
      </c>
      <c r="H368" s="153">
        <f t="shared" si="100"/>
        <v>0</v>
      </c>
      <c r="I368" s="153">
        <f t="shared" si="101"/>
        <v>0</v>
      </c>
      <c r="J368" s="153">
        <f t="shared" si="102"/>
        <v>0</v>
      </c>
      <c r="K368" s="154">
        <f t="shared" si="103"/>
        <v>0</v>
      </c>
      <c r="L368" s="66">
        <f>'Combustão Móvel'!H450</f>
        <v>0</v>
      </c>
      <c r="M368" s="67">
        <f>'Combustão Móvel'!I450</f>
        <v>0</v>
      </c>
      <c r="N368" s="153"/>
      <c r="O368" s="153">
        <f t="shared" si="104"/>
        <v>0</v>
      </c>
      <c r="P368" s="153"/>
      <c r="Q368" s="153"/>
      <c r="R368" s="153">
        <f t="shared" si="105"/>
        <v>0</v>
      </c>
      <c r="S368" s="153">
        <f t="shared" si="106"/>
        <v>0</v>
      </c>
      <c r="T368" s="164">
        <f t="shared" si="107"/>
        <v>0</v>
      </c>
      <c r="U368" s="164">
        <f t="shared" si="108"/>
        <v>0</v>
      </c>
      <c r="V368" s="137" t="str">
        <f t="shared" si="109"/>
        <v/>
      </c>
      <c r="W368" s="137" t="str">
        <f t="shared" si="110"/>
        <v/>
      </c>
      <c r="X368" s="137" t="str">
        <f t="shared" si="111"/>
        <v/>
      </c>
    </row>
    <row r="369" spans="2:24" ht="15" thickBot="1" x14ac:dyDescent="0.4">
      <c r="B369" s="1146"/>
      <c r="C369" s="36">
        <f>'Combustão Móvel'!B451</f>
        <v>0</v>
      </c>
      <c r="D369" s="148" t="str">
        <f>'Combustão Móvel'!Q451</f>
        <v/>
      </c>
      <c r="E369" s="162">
        <f>'Combustão Móvel'!H451</f>
        <v>0</v>
      </c>
      <c r="F369" s="153">
        <f t="shared" si="98"/>
        <v>0</v>
      </c>
      <c r="G369" s="153">
        <f t="shared" si="99"/>
        <v>0</v>
      </c>
      <c r="H369" s="153">
        <f t="shared" si="100"/>
        <v>0</v>
      </c>
      <c r="I369" s="153">
        <f t="shared" si="101"/>
        <v>0</v>
      </c>
      <c r="J369" s="153">
        <f t="shared" si="102"/>
        <v>0</v>
      </c>
      <c r="K369" s="154">
        <f t="shared" si="103"/>
        <v>0</v>
      </c>
      <c r="L369" s="66">
        <f>'Combustão Móvel'!H451</f>
        <v>0</v>
      </c>
      <c r="M369" s="67">
        <f>'Combustão Móvel'!I451</f>
        <v>0</v>
      </c>
      <c r="N369" s="153"/>
      <c r="O369" s="153">
        <f t="shared" si="104"/>
        <v>0</v>
      </c>
      <c r="P369" s="153"/>
      <c r="Q369" s="153"/>
      <c r="R369" s="153">
        <f t="shared" si="105"/>
        <v>0</v>
      </c>
      <c r="S369" s="153">
        <f t="shared" si="106"/>
        <v>0</v>
      </c>
      <c r="T369" s="164">
        <f t="shared" si="107"/>
        <v>0</v>
      </c>
      <c r="U369" s="164">
        <f t="shared" si="108"/>
        <v>0</v>
      </c>
      <c r="V369" s="137" t="str">
        <f t="shared" si="109"/>
        <v/>
      </c>
      <c r="W369" s="137" t="str">
        <f t="shared" si="110"/>
        <v/>
      </c>
      <c r="X369" s="137" t="str">
        <f t="shared" si="111"/>
        <v/>
      </c>
    </row>
    <row r="370" spans="2:24" ht="15" thickBot="1" x14ac:dyDescent="0.4">
      <c r="B370" s="1146"/>
      <c r="C370" s="36">
        <f>'Combustão Móvel'!B452</f>
        <v>0</v>
      </c>
      <c r="D370" s="148" t="str">
        <f>'Combustão Móvel'!Q452</f>
        <v/>
      </c>
      <c r="E370" s="162">
        <f>'Combustão Móvel'!H452</f>
        <v>0</v>
      </c>
      <c r="F370" s="153">
        <f t="shared" si="98"/>
        <v>0</v>
      </c>
      <c r="G370" s="153">
        <f t="shared" si="99"/>
        <v>0</v>
      </c>
      <c r="H370" s="153">
        <f t="shared" si="100"/>
        <v>0</v>
      </c>
      <c r="I370" s="153">
        <f t="shared" si="101"/>
        <v>0</v>
      </c>
      <c r="J370" s="153">
        <f t="shared" si="102"/>
        <v>0</v>
      </c>
      <c r="K370" s="154">
        <f t="shared" si="103"/>
        <v>0</v>
      </c>
      <c r="L370" s="66">
        <f>'Combustão Móvel'!H452</f>
        <v>0</v>
      </c>
      <c r="M370" s="67">
        <f>'Combustão Móvel'!I452</f>
        <v>0</v>
      </c>
      <c r="N370" s="153"/>
      <c r="O370" s="153">
        <f t="shared" si="104"/>
        <v>0</v>
      </c>
      <c r="P370" s="153"/>
      <c r="Q370" s="153"/>
      <c r="R370" s="153">
        <f t="shared" si="105"/>
        <v>0</v>
      </c>
      <c r="S370" s="153">
        <f t="shared" si="106"/>
        <v>0</v>
      </c>
      <c r="T370" s="164">
        <f t="shared" si="107"/>
        <v>0</v>
      </c>
      <c r="U370" s="164">
        <f t="shared" si="108"/>
        <v>0</v>
      </c>
      <c r="V370" s="137" t="str">
        <f t="shared" si="109"/>
        <v/>
      </c>
      <c r="W370" s="137" t="str">
        <f t="shared" si="110"/>
        <v/>
      </c>
      <c r="X370" s="137" t="str">
        <f t="shared" si="111"/>
        <v/>
      </c>
    </row>
    <row r="371" spans="2:24" ht="15" thickBot="1" x14ac:dyDescent="0.4">
      <c r="B371" s="1146"/>
      <c r="C371" s="36">
        <f>'Combustão Móvel'!B453</f>
        <v>0</v>
      </c>
      <c r="D371" s="148" t="str">
        <f>'Combustão Móvel'!Q453</f>
        <v/>
      </c>
      <c r="E371" s="162">
        <f>'Combustão Móvel'!H453</f>
        <v>0</v>
      </c>
      <c r="F371" s="153">
        <f t="shared" si="98"/>
        <v>0</v>
      </c>
      <c r="G371" s="153">
        <f t="shared" si="99"/>
        <v>0</v>
      </c>
      <c r="H371" s="153">
        <f t="shared" si="100"/>
        <v>0</v>
      </c>
      <c r="I371" s="153">
        <f t="shared" si="101"/>
        <v>0</v>
      </c>
      <c r="J371" s="153">
        <f t="shared" si="102"/>
        <v>0</v>
      </c>
      <c r="K371" s="154">
        <f t="shared" si="103"/>
        <v>0</v>
      </c>
      <c r="L371" s="66">
        <f>'Combustão Móvel'!H453</f>
        <v>0</v>
      </c>
      <c r="M371" s="67">
        <f>'Combustão Móvel'!I453</f>
        <v>0</v>
      </c>
      <c r="N371" s="153"/>
      <c r="O371" s="153">
        <f t="shared" si="104"/>
        <v>0</v>
      </c>
      <c r="P371" s="153"/>
      <c r="Q371" s="153"/>
      <c r="R371" s="153">
        <f t="shared" si="105"/>
        <v>0</v>
      </c>
      <c r="S371" s="153">
        <f t="shared" si="106"/>
        <v>0</v>
      </c>
      <c r="T371" s="164">
        <f t="shared" si="107"/>
        <v>0</v>
      </c>
      <c r="U371" s="164">
        <f t="shared" si="108"/>
        <v>0</v>
      </c>
      <c r="V371" s="137" t="str">
        <f t="shared" si="109"/>
        <v/>
      </c>
      <c r="W371" s="137" t="str">
        <f t="shared" si="110"/>
        <v/>
      </c>
      <c r="X371" s="137" t="str">
        <f t="shared" si="111"/>
        <v/>
      </c>
    </row>
    <row r="372" spans="2:24" ht="15" thickBot="1" x14ac:dyDescent="0.4">
      <c r="B372" s="1146"/>
      <c r="C372" s="36">
        <f>'Combustão Móvel'!B454</f>
        <v>0</v>
      </c>
      <c r="D372" s="148" t="str">
        <f>'Combustão Móvel'!Q454</f>
        <v/>
      </c>
      <c r="E372" s="162">
        <f>'Combustão Móvel'!H454</f>
        <v>0</v>
      </c>
      <c r="F372" s="153">
        <f t="shared" si="98"/>
        <v>0</v>
      </c>
      <c r="G372" s="153">
        <f t="shared" si="99"/>
        <v>0</v>
      </c>
      <c r="H372" s="153">
        <f t="shared" si="100"/>
        <v>0</v>
      </c>
      <c r="I372" s="153">
        <f t="shared" si="101"/>
        <v>0</v>
      </c>
      <c r="J372" s="153">
        <f t="shared" si="102"/>
        <v>0</v>
      </c>
      <c r="K372" s="154">
        <f t="shared" si="103"/>
        <v>0</v>
      </c>
      <c r="L372" s="66">
        <f>'Combustão Móvel'!H454</f>
        <v>0</v>
      </c>
      <c r="M372" s="67">
        <f>'Combustão Móvel'!I454</f>
        <v>0</v>
      </c>
      <c r="N372" s="153"/>
      <c r="O372" s="153">
        <f t="shared" si="104"/>
        <v>0</v>
      </c>
      <c r="P372" s="153"/>
      <c r="Q372" s="153"/>
      <c r="R372" s="153">
        <f t="shared" si="105"/>
        <v>0</v>
      </c>
      <c r="S372" s="153">
        <f t="shared" si="106"/>
        <v>0</v>
      </c>
      <c r="T372" s="164">
        <f t="shared" si="107"/>
        <v>0</v>
      </c>
      <c r="U372" s="164">
        <f t="shared" si="108"/>
        <v>0</v>
      </c>
      <c r="V372" s="137" t="str">
        <f t="shared" si="109"/>
        <v/>
      </c>
      <c r="W372" s="137" t="str">
        <f t="shared" si="110"/>
        <v/>
      </c>
      <c r="X372" s="137" t="str">
        <f t="shared" si="111"/>
        <v/>
      </c>
    </row>
    <row r="373" spans="2:24" ht="15" thickBot="1" x14ac:dyDescent="0.4">
      <c r="B373" s="1146"/>
      <c r="C373" s="36">
        <f>'Combustão Móvel'!B455</f>
        <v>0</v>
      </c>
      <c r="D373" s="148" t="str">
        <f>'Combustão Móvel'!Q455</f>
        <v/>
      </c>
      <c r="E373" s="162">
        <f>'Combustão Móvel'!H455</f>
        <v>0</v>
      </c>
      <c r="F373" s="153">
        <f t="shared" si="98"/>
        <v>0</v>
      </c>
      <c r="G373" s="153">
        <f t="shared" si="99"/>
        <v>0</v>
      </c>
      <c r="H373" s="153">
        <f t="shared" si="100"/>
        <v>0</v>
      </c>
      <c r="I373" s="153">
        <f t="shared" si="101"/>
        <v>0</v>
      </c>
      <c r="J373" s="153">
        <f t="shared" si="102"/>
        <v>0</v>
      </c>
      <c r="K373" s="154">
        <f t="shared" si="103"/>
        <v>0</v>
      </c>
      <c r="L373" s="66">
        <f>'Combustão Móvel'!H455</f>
        <v>0</v>
      </c>
      <c r="M373" s="67">
        <f>'Combustão Móvel'!I455</f>
        <v>0</v>
      </c>
      <c r="N373" s="153"/>
      <c r="O373" s="153">
        <f t="shared" si="104"/>
        <v>0</v>
      </c>
      <c r="P373" s="153"/>
      <c r="Q373" s="153"/>
      <c r="R373" s="153">
        <f t="shared" si="105"/>
        <v>0</v>
      </c>
      <c r="S373" s="153">
        <f t="shared" si="106"/>
        <v>0</v>
      </c>
      <c r="T373" s="164">
        <f t="shared" si="107"/>
        <v>0</v>
      </c>
      <c r="U373" s="164">
        <f t="shared" si="108"/>
        <v>0</v>
      </c>
      <c r="V373" s="137" t="str">
        <f t="shared" si="109"/>
        <v/>
      </c>
      <c r="W373" s="137" t="str">
        <f t="shared" si="110"/>
        <v/>
      </c>
      <c r="X373" s="137" t="str">
        <f t="shared" si="111"/>
        <v/>
      </c>
    </row>
    <row r="374" spans="2:24" ht="15" thickBot="1" x14ac:dyDescent="0.4">
      <c r="B374" s="1146"/>
      <c r="C374" s="36">
        <f>'Combustão Móvel'!B456</f>
        <v>0</v>
      </c>
      <c r="D374" s="148" t="str">
        <f>'Combustão Móvel'!Q456</f>
        <v/>
      </c>
      <c r="E374" s="162">
        <f>'Combustão Móvel'!H456</f>
        <v>0</v>
      </c>
      <c r="F374" s="153">
        <f t="shared" si="98"/>
        <v>0</v>
      </c>
      <c r="G374" s="153">
        <f t="shared" si="99"/>
        <v>0</v>
      </c>
      <c r="H374" s="153">
        <f t="shared" si="100"/>
        <v>0</v>
      </c>
      <c r="I374" s="153">
        <f t="shared" si="101"/>
        <v>0</v>
      </c>
      <c r="J374" s="153">
        <f t="shared" si="102"/>
        <v>0</v>
      </c>
      <c r="K374" s="154">
        <f t="shared" si="103"/>
        <v>0</v>
      </c>
      <c r="L374" s="66">
        <f>'Combustão Móvel'!H456</f>
        <v>0</v>
      </c>
      <c r="M374" s="67">
        <f>'Combustão Móvel'!I456</f>
        <v>0</v>
      </c>
      <c r="N374" s="153"/>
      <c r="O374" s="153">
        <f t="shared" si="104"/>
        <v>0</v>
      </c>
      <c r="P374" s="153"/>
      <c r="Q374" s="153"/>
      <c r="R374" s="153">
        <f t="shared" si="105"/>
        <v>0</v>
      </c>
      <c r="S374" s="153">
        <f t="shared" si="106"/>
        <v>0</v>
      </c>
      <c r="T374" s="164">
        <f t="shared" si="107"/>
        <v>0</v>
      </c>
      <c r="U374" s="164">
        <f t="shared" si="108"/>
        <v>0</v>
      </c>
      <c r="V374" s="137" t="str">
        <f t="shared" si="109"/>
        <v/>
      </c>
      <c r="W374" s="137" t="str">
        <f t="shared" si="110"/>
        <v/>
      </c>
      <c r="X374" s="137" t="str">
        <f t="shared" si="111"/>
        <v/>
      </c>
    </row>
    <row r="375" spans="2:24" ht="15" thickBot="1" x14ac:dyDescent="0.4">
      <c r="B375" s="1146"/>
      <c r="C375" s="36">
        <f>'Combustão Móvel'!B457</f>
        <v>0</v>
      </c>
      <c r="D375" s="148" t="str">
        <f>'Combustão Móvel'!Q457</f>
        <v/>
      </c>
      <c r="E375" s="162">
        <f>'Combustão Móvel'!H457</f>
        <v>0</v>
      </c>
      <c r="F375" s="153">
        <f t="shared" si="98"/>
        <v>0</v>
      </c>
      <c r="G375" s="153">
        <f t="shared" si="99"/>
        <v>0</v>
      </c>
      <c r="H375" s="153">
        <f t="shared" si="100"/>
        <v>0</v>
      </c>
      <c r="I375" s="153">
        <f t="shared" si="101"/>
        <v>0</v>
      </c>
      <c r="J375" s="153">
        <f t="shared" si="102"/>
        <v>0</v>
      </c>
      <c r="K375" s="154">
        <f t="shared" si="103"/>
        <v>0</v>
      </c>
      <c r="L375" s="66">
        <f>'Combustão Móvel'!H457</f>
        <v>0</v>
      </c>
      <c r="M375" s="67">
        <f>'Combustão Móvel'!I457</f>
        <v>0</v>
      </c>
      <c r="N375" s="153"/>
      <c r="O375" s="153">
        <f t="shared" si="104"/>
        <v>0</v>
      </c>
      <c r="P375" s="153"/>
      <c r="Q375" s="153"/>
      <c r="R375" s="153">
        <f t="shared" si="105"/>
        <v>0</v>
      </c>
      <c r="S375" s="153">
        <f t="shared" si="106"/>
        <v>0</v>
      </c>
      <c r="T375" s="164">
        <f t="shared" si="107"/>
        <v>0</v>
      </c>
      <c r="U375" s="164">
        <f t="shared" si="108"/>
        <v>0</v>
      </c>
      <c r="V375" s="137" t="str">
        <f t="shared" si="109"/>
        <v/>
      </c>
      <c r="W375" s="137" t="str">
        <f t="shared" si="110"/>
        <v/>
      </c>
      <c r="X375" s="137" t="str">
        <f t="shared" si="111"/>
        <v/>
      </c>
    </row>
    <row r="376" spans="2:24" ht="15" thickBot="1" x14ac:dyDescent="0.4">
      <c r="B376" s="1146"/>
      <c r="C376" s="36">
        <f>'Combustão Móvel'!B458</f>
        <v>0</v>
      </c>
      <c r="D376" s="148" t="str">
        <f>'Combustão Móvel'!Q458</f>
        <v/>
      </c>
      <c r="E376" s="162">
        <f>'Combustão Móvel'!H458</f>
        <v>0</v>
      </c>
      <c r="F376" s="153">
        <f t="shared" si="98"/>
        <v>0</v>
      </c>
      <c r="G376" s="153">
        <f t="shared" si="99"/>
        <v>0</v>
      </c>
      <c r="H376" s="153">
        <f t="shared" si="100"/>
        <v>0</v>
      </c>
      <c r="I376" s="153">
        <f t="shared" si="101"/>
        <v>0</v>
      </c>
      <c r="J376" s="153">
        <f t="shared" si="102"/>
        <v>0</v>
      </c>
      <c r="K376" s="154">
        <f t="shared" si="103"/>
        <v>0</v>
      </c>
      <c r="L376" s="66">
        <f>'Combustão Móvel'!H458</f>
        <v>0</v>
      </c>
      <c r="M376" s="67">
        <f>'Combustão Móvel'!I458</f>
        <v>0</v>
      </c>
      <c r="N376" s="153"/>
      <c r="O376" s="153">
        <f t="shared" si="104"/>
        <v>0</v>
      </c>
      <c r="P376" s="153"/>
      <c r="Q376" s="153"/>
      <c r="R376" s="153">
        <f t="shared" si="105"/>
        <v>0</v>
      </c>
      <c r="S376" s="153">
        <f t="shared" si="106"/>
        <v>0</v>
      </c>
      <c r="T376" s="164">
        <f t="shared" si="107"/>
        <v>0</v>
      </c>
      <c r="U376" s="164">
        <f t="shared" si="108"/>
        <v>0</v>
      </c>
      <c r="V376" s="137" t="str">
        <f t="shared" si="109"/>
        <v/>
      </c>
      <c r="W376" s="137" t="str">
        <f t="shared" si="110"/>
        <v/>
      </c>
      <c r="X376" s="137" t="str">
        <f t="shared" si="111"/>
        <v/>
      </c>
    </row>
    <row r="377" spans="2:24" ht="15" thickBot="1" x14ac:dyDescent="0.4">
      <c r="B377" s="1146"/>
      <c r="C377" s="36">
        <f>'Combustão Móvel'!B459</f>
        <v>0</v>
      </c>
      <c r="D377" s="148" t="str">
        <f>'Combustão Móvel'!Q459</f>
        <v/>
      </c>
      <c r="E377" s="162">
        <f>'Combustão Móvel'!H459</f>
        <v>0</v>
      </c>
      <c r="F377" s="153">
        <f t="shared" si="98"/>
        <v>0</v>
      </c>
      <c r="G377" s="153">
        <f t="shared" si="99"/>
        <v>0</v>
      </c>
      <c r="H377" s="153">
        <f t="shared" si="100"/>
        <v>0</v>
      </c>
      <c r="I377" s="153">
        <f t="shared" si="101"/>
        <v>0</v>
      </c>
      <c r="J377" s="153">
        <f t="shared" si="102"/>
        <v>0</v>
      </c>
      <c r="K377" s="154">
        <f t="shared" si="103"/>
        <v>0</v>
      </c>
      <c r="L377" s="66">
        <f>'Combustão Móvel'!H459</f>
        <v>0</v>
      </c>
      <c r="M377" s="67">
        <f>'Combustão Móvel'!I459</f>
        <v>0</v>
      </c>
      <c r="N377" s="153"/>
      <c r="O377" s="153">
        <f t="shared" si="104"/>
        <v>0</v>
      </c>
      <c r="P377" s="153"/>
      <c r="Q377" s="153"/>
      <c r="R377" s="153">
        <f t="shared" si="105"/>
        <v>0</v>
      </c>
      <c r="S377" s="153">
        <f t="shared" si="106"/>
        <v>0</v>
      </c>
      <c r="T377" s="164">
        <f t="shared" si="107"/>
        <v>0</v>
      </c>
      <c r="U377" s="164">
        <f t="shared" si="108"/>
        <v>0</v>
      </c>
      <c r="V377" s="137" t="str">
        <f t="shared" si="109"/>
        <v/>
      </c>
      <c r="W377" s="137" t="str">
        <f t="shared" si="110"/>
        <v/>
      </c>
      <c r="X377" s="137" t="str">
        <f t="shared" si="111"/>
        <v/>
      </c>
    </row>
    <row r="378" spans="2:24" ht="15" thickBot="1" x14ac:dyDescent="0.4">
      <c r="B378" s="1146"/>
      <c r="C378" s="36">
        <f>'Combustão Móvel'!B460</f>
        <v>0</v>
      </c>
      <c r="D378" s="148" t="str">
        <f>'Combustão Móvel'!Q460</f>
        <v/>
      </c>
      <c r="E378" s="162">
        <f>'Combustão Móvel'!H460</f>
        <v>0</v>
      </c>
      <c r="F378" s="153">
        <f t="shared" si="98"/>
        <v>0</v>
      </c>
      <c r="G378" s="153">
        <f t="shared" si="99"/>
        <v>0</v>
      </c>
      <c r="H378" s="153">
        <f t="shared" si="100"/>
        <v>0</v>
      </c>
      <c r="I378" s="153">
        <f t="shared" si="101"/>
        <v>0</v>
      </c>
      <c r="J378" s="153">
        <f t="shared" si="102"/>
        <v>0</v>
      </c>
      <c r="K378" s="154">
        <f t="shared" si="103"/>
        <v>0</v>
      </c>
      <c r="L378" s="66">
        <f>'Combustão Móvel'!H460</f>
        <v>0</v>
      </c>
      <c r="M378" s="67">
        <f>'Combustão Móvel'!I460</f>
        <v>0</v>
      </c>
      <c r="N378" s="153"/>
      <c r="O378" s="153">
        <f t="shared" si="104"/>
        <v>0</v>
      </c>
      <c r="P378" s="153"/>
      <c r="Q378" s="153"/>
      <c r="R378" s="153">
        <f t="shared" si="105"/>
        <v>0</v>
      </c>
      <c r="S378" s="153">
        <f t="shared" si="106"/>
        <v>0</v>
      </c>
      <c r="T378" s="164">
        <f t="shared" si="107"/>
        <v>0</v>
      </c>
      <c r="U378" s="164">
        <f t="shared" si="108"/>
        <v>0</v>
      </c>
      <c r="V378" s="137" t="str">
        <f t="shared" si="109"/>
        <v/>
      </c>
      <c r="W378" s="137" t="str">
        <f t="shared" si="110"/>
        <v/>
      </c>
      <c r="X378" s="137" t="str">
        <f t="shared" si="111"/>
        <v/>
      </c>
    </row>
    <row r="379" spans="2:24" ht="15" thickBot="1" x14ac:dyDescent="0.4">
      <c r="B379" s="1146"/>
      <c r="C379" s="36">
        <f>'Combustão Móvel'!B461</f>
        <v>0</v>
      </c>
      <c r="D379" s="148" t="str">
        <f>'Combustão Móvel'!Q461</f>
        <v/>
      </c>
      <c r="E379" s="162">
        <f>'Combustão Móvel'!H461</f>
        <v>0</v>
      </c>
      <c r="F379" s="153">
        <f t="shared" si="98"/>
        <v>0</v>
      </c>
      <c r="G379" s="153">
        <f t="shared" si="99"/>
        <v>0</v>
      </c>
      <c r="H379" s="153">
        <f t="shared" si="100"/>
        <v>0</v>
      </c>
      <c r="I379" s="153">
        <f t="shared" si="101"/>
        <v>0</v>
      </c>
      <c r="J379" s="153">
        <f t="shared" si="102"/>
        <v>0</v>
      </c>
      <c r="K379" s="154">
        <f t="shared" si="103"/>
        <v>0</v>
      </c>
      <c r="L379" s="66">
        <f>'Combustão Móvel'!H461</f>
        <v>0</v>
      </c>
      <c r="M379" s="67">
        <f>'Combustão Móvel'!I461</f>
        <v>0</v>
      </c>
      <c r="N379" s="153"/>
      <c r="O379" s="153">
        <f t="shared" si="104"/>
        <v>0</v>
      </c>
      <c r="P379" s="153"/>
      <c r="Q379" s="153"/>
      <c r="R379" s="153">
        <f t="shared" si="105"/>
        <v>0</v>
      </c>
      <c r="S379" s="153">
        <f t="shared" si="106"/>
        <v>0</v>
      </c>
      <c r="T379" s="164">
        <f t="shared" si="107"/>
        <v>0</v>
      </c>
      <c r="U379" s="164">
        <f t="shared" si="108"/>
        <v>0</v>
      </c>
      <c r="V379" s="137" t="str">
        <f t="shared" si="109"/>
        <v/>
      </c>
      <c r="W379" s="137" t="str">
        <f t="shared" si="110"/>
        <v/>
      </c>
      <c r="X379" s="137" t="str">
        <f t="shared" si="111"/>
        <v/>
      </c>
    </row>
    <row r="380" spans="2:24" ht="15" thickBot="1" x14ac:dyDescent="0.4">
      <c r="B380" s="1146"/>
      <c r="C380" s="36">
        <f>'Combustão Móvel'!B462</f>
        <v>0</v>
      </c>
      <c r="D380" s="148" t="str">
        <f>'Combustão Móvel'!Q462</f>
        <v/>
      </c>
      <c r="E380" s="162">
        <f>'Combustão Móvel'!H462</f>
        <v>0</v>
      </c>
      <c r="F380" s="153">
        <f t="shared" si="98"/>
        <v>0</v>
      </c>
      <c r="G380" s="153">
        <f t="shared" si="99"/>
        <v>0</v>
      </c>
      <c r="H380" s="153">
        <f t="shared" si="100"/>
        <v>0</v>
      </c>
      <c r="I380" s="153">
        <f t="shared" si="101"/>
        <v>0</v>
      </c>
      <c r="J380" s="153">
        <f t="shared" si="102"/>
        <v>0</v>
      </c>
      <c r="K380" s="154">
        <f t="shared" si="103"/>
        <v>0</v>
      </c>
      <c r="L380" s="66">
        <f>'Combustão Móvel'!H462</f>
        <v>0</v>
      </c>
      <c r="M380" s="67">
        <f>'Combustão Móvel'!I462</f>
        <v>0</v>
      </c>
      <c r="N380" s="153"/>
      <c r="O380" s="153">
        <f t="shared" si="104"/>
        <v>0</v>
      </c>
      <c r="P380" s="153"/>
      <c r="Q380" s="153"/>
      <c r="R380" s="153">
        <f t="shared" si="105"/>
        <v>0</v>
      </c>
      <c r="S380" s="153">
        <f t="shared" si="106"/>
        <v>0</v>
      </c>
      <c r="T380" s="164">
        <f t="shared" si="107"/>
        <v>0</v>
      </c>
      <c r="U380" s="164">
        <f t="shared" si="108"/>
        <v>0</v>
      </c>
      <c r="V380" s="137" t="str">
        <f t="shared" si="109"/>
        <v/>
      </c>
      <c r="W380" s="137" t="str">
        <f t="shared" si="110"/>
        <v/>
      </c>
      <c r="X380" s="137" t="str">
        <f t="shared" si="111"/>
        <v/>
      </c>
    </row>
    <row r="381" spans="2:24" ht="15" thickBot="1" x14ac:dyDescent="0.4">
      <c r="B381" s="1146"/>
      <c r="C381" s="36">
        <f>'Combustão Móvel'!B463</f>
        <v>0</v>
      </c>
      <c r="D381" s="148" t="str">
        <f>'Combustão Móvel'!Q463</f>
        <v/>
      </c>
      <c r="E381" s="162">
        <f>'Combustão Móvel'!H463</f>
        <v>0</v>
      </c>
      <c r="F381" s="153">
        <f t="shared" si="98"/>
        <v>0</v>
      </c>
      <c r="G381" s="153">
        <f t="shared" si="99"/>
        <v>0</v>
      </c>
      <c r="H381" s="153">
        <f t="shared" si="100"/>
        <v>0</v>
      </c>
      <c r="I381" s="153">
        <f t="shared" si="101"/>
        <v>0</v>
      </c>
      <c r="J381" s="153">
        <f t="shared" si="102"/>
        <v>0</v>
      </c>
      <c r="K381" s="154">
        <f t="shared" si="103"/>
        <v>0</v>
      </c>
      <c r="L381" s="66">
        <f>'Combustão Móvel'!H463</f>
        <v>0</v>
      </c>
      <c r="M381" s="67">
        <f>'Combustão Móvel'!I463</f>
        <v>0</v>
      </c>
      <c r="N381" s="153"/>
      <c r="O381" s="153">
        <f t="shared" si="104"/>
        <v>0</v>
      </c>
      <c r="P381" s="153"/>
      <c r="Q381" s="153"/>
      <c r="R381" s="153">
        <f t="shared" si="105"/>
        <v>0</v>
      </c>
      <c r="S381" s="153">
        <f t="shared" si="106"/>
        <v>0</v>
      </c>
      <c r="T381" s="164">
        <f t="shared" si="107"/>
        <v>0</v>
      </c>
      <c r="U381" s="164">
        <f t="shared" si="108"/>
        <v>0</v>
      </c>
      <c r="V381" s="137" t="str">
        <f t="shared" si="109"/>
        <v/>
      </c>
      <c r="W381" s="137" t="str">
        <f t="shared" si="110"/>
        <v/>
      </c>
      <c r="X381" s="137" t="str">
        <f t="shared" si="111"/>
        <v/>
      </c>
    </row>
    <row r="382" spans="2:24" ht="15" thickBot="1" x14ac:dyDescent="0.4">
      <c r="B382" s="1146"/>
      <c r="C382" s="36">
        <f>'Combustão Móvel'!B464</f>
        <v>0</v>
      </c>
      <c r="D382" s="148" t="str">
        <f>'Combustão Móvel'!Q464</f>
        <v/>
      </c>
      <c r="E382" s="162">
        <f>'Combustão Móvel'!H464</f>
        <v>0</v>
      </c>
      <c r="F382" s="153">
        <f t="shared" si="98"/>
        <v>0</v>
      </c>
      <c r="G382" s="153">
        <f t="shared" si="99"/>
        <v>0</v>
      </c>
      <c r="H382" s="153">
        <f t="shared" si="100"/>
        <v>0</v>
      </c>
      <c r="I382" s="153">
        <f t="shared" si="101"/>
        <v>0</v>
      </c>
      <c r="J382" s="153">
        <f t="shared" si="102"/>
        <v>0</v>
      </c>
      <c r="K382" s="154">
        <f t="shared" si="103"/>
        <v>0</v>
      </c>
      <c r="L382" s="66">
        <f>'Combustão Móvel'!H464</f>
        <v>0</v>
      </c>
      <c r="M382" s="67">
        <f>'Combustão Móvel'!I464</f>
        <v>0</v>
      </c>
      <c r="N382" s="153"/>
      <c r="O382" s="153">
        <f t="shared" si="104"/>
        <v>0</v>
      </c>
      <c r="P382" s="153"/>
      <c r="Q382" s="153"/>
      <c r="R382" s="153">
        <f t="shared" si="105"/>
        <v>0</v>
      </c>
      <c r="S382" s="153">
        <f t="shared" si="106"/>
        <v>0</v>
      </c>
      <c r="T382" s="164">
        <f t="shared" si="107"/>
        <v>0</v>
      </c>
      <c r="U382" s="164">
        <f t="shared" si="108"/>
        <v>0</v>
      </c>
      <c r="V382" s="137" t="str">
        <f t="shared" si="109"/>
        <v/>
      </c>
      <c r="W382" s="137" t="str">
        <f t="shared" si="110"/>
        <v/>
      </c>
      <c r="X382" s="137" t="str">
        <f t="shared" si="111"/>
        <v/>
      </c>
    </row>
    <row r="383" spans="2:24" ht="15" thickBot="1" x14ac:dyDescent="0.4">
      <c r="B383" s="1146"/>
      <c r="C383" s="36">
        <f>'Combustão Móvel'!B465</f>
        <v>0</v>
      </c>
      <c r="D383" s="148" t="str">
        <f>'Combustão Móvel'!Q465</f>
        <v/>
      </c>
      <c r="E383" s="162">
        <f>'Combustão Móvel'!H465</f>
        <v>0</v>
      </c>
      <c r="F383" s="153">
        <f t="shared" si="98"/>
        <v>0</v>
      </c>
      <c r="G383" s="153">
        <f t="shared" si="99"/>
        <v>0</v>
      </c>
      <c r="H383" s="153">
        <f t="shared" si="100"/>
        <v>0</v>
      </c>
      <c r="I383" s="153">
        <f t="shared" si="101"/>
        <v>0</v>
      </c>
      <c r="J383" s="153">
        <f t="shared" si="102"/>
        <v>0</v>
      </c>
      <c r="K383" s="154">
        <f t="shared" si="103"/>
        <v>0</v>
      </c>
      <c r="L383" s="66">
        <f>'Combustão Móvel'!H465</f>
        <v>0</v>
      </c>
      <c r="M383" s="67">
        <f>'Combustão Móvel'!I465</f>
        <v>0</v>
      </c>
      <c r="N383" s="153"/>
      <c r="O383" s="153">
        <f t="shared" si="104"/>
        <v>0</v>
      </c>
      <c r="P383" s="153"/>
      <c r="Q383" s="153"/>
      <c r="R383" s="153">
        <f t="shared" si="105"/>
        <v>0</v>
      </c>
      <c r="S383" s="153">
        <f t="shared" si="106"/>
        <v>0</v>
      </c>
      <c r="T383" s="164">
        <f t="shared" si="107"/>
        <v>0</v>
      </c>
      <c r="U383" s="164">
        <f t="shared" si="108"/>
        <v>0</v>
      </c>
      <c r="V383" s="137" t="str">
        <f t="shared" si="109"/>
        <v/>
      </c>
      <c r="W383" s="137" t="str">
        <f t="shared" si="110"/>
        <v/>
      </c>
      <c r="X383" s="137" t="str">
        <f t="shared" si="111"/>
        <v/>
      </c>
    </row>
    <row r="384" spans="2:24" ht="15" thickBot="1" x14ac:dyDescent="0.4">
      <c r="B384" s="1146"/>
      <c r="C384" s="36">
        <f>'Combustão Móvel'!B466</f>
        <v>0</v>
      </c>
      <c r="D384" s="148" t="str">
        <f>'Combustão Móvel'!Q466</f>
        <v/>
      </c>
      <c r="E384" s="162">
        <f>'Combustão Móvel'!H466</f>
        <v>0</v>
      </c>
      <c r="F384" s="153">
        <f t="shared" si="98"/>
        <v>0</v>
      </c>
      <c r="G384" s="153">
        <f t="shared" si="99"/>
        <v>0</v>
      </c>
      <c r="H384" s="153">
        <f t="shared" si="100"/>
        <v>0</v>
      </c>
      <c r="I384" s="153">
        <f t="shared" si="101"/>
        <v>0</v>
      </c>
      <c r="J384" s="153">
        <f t="shared" si="102"/>
        <v>0</v>
      </c>
      <c r="K384" s="154">
        <f t="shared" si="103"/>
        <v>0</v>
      </c>
      <c r="L384" s="66">
        <f>'Combustão Móvel'!H466</f>
        <v>0</v>
      </c>
      <c r="M384" s="67">
        <f>'Combustão Móvel'!I466</f>
        <v>0</v>
      </c>
      <c r="N384" s="153"/>
      <c r="O384" s="153">
        <f t="shared" si="104"/>
        <v>0</v>
      </c>
      <c r="P384" s="153"/>
      <c r="Q384" s="153"/>
      <c r="R384" s="153">
        <f t="shared" si="105"/>
        <v>0</v>
      </c>
      <c r="S384" s="153">
        <f t="shared" si="106"/>
        <v>0</v>
      </c>
      <c r="T384" s="164">
        <f t="shared" si="107"/>
        <v>0</v>
      </c>
      <c r="U384" s="164">
        <f t="shared" si="108"/>
        <v>0</v>
      </c>
      <c r="V384" s="137" t="str">
        <f t="shared" si="109"/>
        <v/>
      </c>
      <c r="W384" s="137" t="str">
        <f t="shared" si="110"/>
        <v/>
      </c>
      <c r="X384" s="137" t="str">
        <f t="shared" si="111"/>
        <v/>
      </c>
    </row>
    <row r="385" spans="2:24" ht="15" thickBot="1" x14ac:dyDescent="0.4">
      <c r="B385" s="1146"/>
      <c r="C385" s="36">
        <f>'Combustão Móvel'!B467</f>
        <v>0</v>
      </c>
      <c r="D385" s="148" t="str">
        <f>'Combustão Móvel'!Q467</f>
        <v/>
      </c>
      <c r="E385" s="162">
        <f>'Combustão Móvel'!H467</f>
        <v>0</v>
      </c>
      <c r="F385" s="153">
        <f t="shared" si="98"/>
        <v>0</v>
      </c>
      <c r="G385" s="153">
        <f t="shared" si="99"/>
        <v>0</v>
      </c>
      <c r="H385" s="153">
        <f t="shared" si="100"/>
        <v>0</v>
      </c>
      <c r="I385" s="153">
        <f t="shared" si="101"/>
        <v>0</v>
      </c>
      <c r="J385" s="153">
        <f t="shared" si="102"/>
        <v>0</v>
      </c>
      <c r="K385" s="154">
        <f t="shared" si="103"/>
        <v>0</v>
      </c>
      <c r="L385" s="66">
        <f>'Combustão Móvel'!H467</f>
        <v>0</v>
      </c>
      <c r="M385" s="67">
        <f>'Combustão Móvel'!I467</f>
        <v>0</v>
      </c>
      <c r="N385" s="153"/>
      <c r="O385" s="153">
        <f t="shared" si="104"/>
        <v>0</v>
      </c>
      <c r="P385" s="153"/>
      <c r="Q385" s="153"/>
      <c r="R385" s="153">
        <f t="shared" si="105"/>
        <v>0</v>
      </c>
      <c r="S385" s="153">
        <f t="shared" si="106"/>
        <v>0</v>
      </c>
      <c r="T385" s="164">
        <f t="shared" si="107"/>
        <v>0</v>
      </c>
      <c r="U385" s="164">
        <f t="shared" si="108"/>
        <v>0</v>
      </c>
      <c r="V385" s="137" t="str">
        <f t="shared" si="109"/>
        <v/>
      </c>
      <c r="W385" s="137" t="str">
        <f t="shared" si="110"/>
        <v/>
      </c>
      <c r="X385" s="137" t="str">
        <f t="shared" si="111"/>
        <v/>
      </c>
    </row>
    <row r="386" spans="2:24" ht="15" thickBot="1" x14ac:dyDescent="0.4">
      <c r="B386" s="1146"/>
      <c r="C386" s="36">
        <f>'Combustão Móvel'!B468</f>
        <v>0</v>
      </c>
      <c r="D386" s="148" t="str">
        <f>'Combustão Móvel'!Q468</f>
        <v/>
      </c>
      <c r="E386" s="162">
        <f>'Combustão Móvel'!H468</f>
        <v>0</v>
      </c>
      <c r="F386" s="153">
        <f t="shared" ref="F386:F420" si="112">IF(C386=$F$20,D386,0)</f>
        <v>0</v>
      </c>
      <c r="G386" s="153">
        <f t="shared" ref="G386:G420" si="113">IF(C386=$G$20,D386,0)</f>
        <v>0</v>
      </c>
      <c r="H386" s="153">
        <f t="shared" ref="H386:H420" si="114">IF(C386=$H$20,D386,0)</f>
        <v>0</v>
      </c>
      <c r="I386" s="153">
        <f t="shared" ref="I386:I420" si="115">IF(C386=$I$20,E386,0)</f>
        <v>0</v>
      </c>
      <c r="J386" s="153">
        <f t="shared" ref="J386:J420" si="116">IF(C386=$J$20,E386,0)</f>
        <v>0</v>
      </c>
      <c r="K386" s="154">
        <f t="shared" ref="K386:K420" si="117">IF(C386=$K$20,E386,0)</f>
        <v>0</v>
      </c>
      <c r="L386" s="66">
        <f>'Combustão Móvel'!H468</f>
        <v>0</v>
      </c>
      <c r="M386" s="67">
        <f>'Combustão Móvel'!I468</f>
        <v>0</v>
      </c>
      <c r="N386" s="153"/>
      <c r="O386" s="153">
        <f t="shared" si="104"/>
        <v>0</v>
      </c>
      <c r="P386" s="153"/>
      <c r="Q386" s="153"/>
      <c r="R386" s="153">
        <f t="shared" si="105"/>
        <v>0</v>
      </c>
      <c r="S386" s="153">
        <f t="shared" si="106"/>
        <v>0</v>
      </c>
      <c r="T386" s="164">
        <f t="shared" si="107"/>
        <v>0</v>
      </c>
      <c r="U386" s="164">
        <f t="shared" si="108"/>
        <v>0</v>
      </c>
      <c r="V386" s="137" t="str">
        <f t="shared" si="109"/>
        <v/>
      </c>
      <c r="W386" s="137" t="str">
        <f t="shared" si="110"/>
        <v/>
      </c>
      <c r="X386" s="137" t="str">
        <f t="shared" si="111"/>
        <v/>
      </c>
    </row>
    <row r="387" spans="2:24" ht="15" thickBot="1" x14ac:dyDescent="0.4">
      <c r="B387" s="1146"/>
      <c r="C387" s="36">
        <f>'Combustão Móvel'!B469</f>
        <v>0</v>
      </c>
      <c r="D387" s="148" t="str">
        <f>'Combustão Móvel'!Q469</f>
        <v/>
      </c>
      <c r="E387" s="162">
        <f>'Combustão Móvel'!H469</f>
        <v>0</v>
      </c>
      <c r="F387" s="153">
        <f t="shared" si="112"/>
        <v>0</v>
      </c>
      <c r="G387" s="153">
        <f t="shared" si="113"/>
        <v>0</v>
      </c>
      <c r="H387" s="153">
        <f t="shared" si="114"/>
        <v>0</v>
      </c>
      <c r="I387" s="153">
        <f t="shared" si="115"/>
        <v>0</v>
      </c>
      <c r="J387" s="153">
        <f t="shared" si="116"/>
        <v>0</v>
      </c>
      <c r="K387" s="154">
        <f t="shared" si="117"/>
        <v>0</v>
      </c>
      <c r="L387" s="66">
        <f>'Combustão Móvel'!H469</f>
        <v>0</v>
      </c>
      <c r="M387" s="67">
        <f>'Combustão Móvel'!I469</f>
        <v>0</v>
      </c>
      <c r="N387" s="153"/>
      <c r="O387" s="153">
        <f t="shared" si="104"/>
        <v>0</v>
      </c>
      <c r="P387" s="153"/>
      <c r="Q387" s="153"/>
      <c r="R387" s="153">
        <f t="shared" si="105"/>
        <v>0</v>
      </c>
      <c r="S387" s="153">
        <f t="shared" si="106"/>
        <v>0</v>
      </c>
      <c r="T387" s="164">
        <f t="shared" si="107"/>
        <v>0</v>
      </c>
      <c r="U387" s="164">
        <f t="shared" si="108"/>
        <v>0</v>
      </c>
      <c r="V387" s="137" t="str">
        <f t="shared" si="109"/>
        <v/>
      </c>
      <c r="W387" s="137" t="str">
        <f t="shared" si="110"/>
        <v/>
      </c>
      <c r="X387" s="137" t="str">
        <f t="shared" si="111"/>
        <v/>
      </c>
    </row>
    <row r="388" spans="2:24" ht="15" thickBot="1" x14ac:dyDescent="0.4">
      <c r="B388" s="1146"/>
      <c r="C388" s="36">
        <f>'Combustão Móvel'!B470</f>
        <v>0</v>
      </c>
      <c r="D388" s="148" t="str">
        <f>'Combustão Móvel'!Q470</f>
        <v/>
      </c>
      <c r="E388" s="162">
        <f>'Combustão Móvel'!H470</f>
        <v>0</v>
      </c>
      <c r="F388" s="153">
        <f t="shared" si="112"/>
        <v>0</v>
      </c>
      <c r="G388" s="153">
        <f t="shared" si="113"/>
        <v>0</v>
      </c>
      <c r="H388" s="153">
        <f t="shared" si="114"/>
        <v>0</v>
      </c>
      <c r="I388" s="153">
        <f t="shared" si="115"/>
        <v>0</v>
      </c>
      <c r="J388" s="153">
        <f t="shared" si="116"/>
        <v>0</v>
      </c>
      <c r="K388" s="154">
        <f t="shared" si="117"/>
        <v>0</v>
      </c>
      <c r="L388" s="66">
        <f>'Combustão Móvel'!H470</f>
        <v>0</v>
      </c>
      <c r="M388" s="67">
        <f>'Combustão Móvel'!I470</f>
        <v>0</v>
      </c>
      <c r="N388" s="153"/>
      <c r="O388" s="153">
        <f t="shared" si="104"/>
        <v>0</v>
      </c>
      <c r="P388" s="153"/>
      <c r="Q388" s="153"/>
      <c r="R388" s="153">
        <f t="shared" si="105"/>
        <v>0</v>
      </c>
      <c r="S388" s="153">
        <f t="shared" si="106"/>
        <v>0</v>
      </c>
      <c r="T388" s="164">
        <f t="shared" si="107"/>
        <v>0</v>
      </c>
      <c r="U388" s="164">
        <f t="shared" si="108"/>
        <v>0</v>
      </c>
      <c r="V388" s="137" t="str">
        <f t="shared" si="109"/>
        <v/>
      </c>
      <c r="W388" s="137" t="str">
        <f t="shared" si="110"/>
        <v/>
      </c>
      <c r="X388" s="137" t="str">
        <f t="shared" si="111"/>
        <v/>
      </c>
    </row>
    <row r="389" spans="2:24" ht="15" thickBot="1" x14ac:dyDescent="0.4">
      <c r="B389" s="1146"/>
      <c r="C389" s="36">
        <f>'Combustão Móvel'!B471</f>
        <v>0</v>
      </c>
      <c r="D389" s="148" t="str">
        <f>'Combustão Móvel'!Q471</f>
        <v/>
      </c>
      <c r="E389" s="162">
        <f>'Combustão Móvel'!H471</f>
        <v>0</v>
      </c>
      <c r="F389" s="153">
        <f t="shared" si="112"/>
        <v>0</v>
      </c>
      <c r="G389" s="153">
        <f t="shared" si="113"/>
        <v>0</v>
      </c>
      <c r="H389" s="153">
        <f t="shared" si="114"/>
        <v>0</v>
      </c>
      <c r="I389" s="153">
        <f t="shared" si="115"/>
        <v>0</v>
      </c>
      <c r="J389" s="153">
        <f t="shared" si="116"/>
        <v>0</v>
      </c>
      <c r="K389" s="154">
        <f t="shared" si="117"/>
        <v>0</v>
      </c>
      <c r="L389" s="66">
        <f>'Combustão Móvel'!H471</f>
        <v>0</v>
      </c>
      <c r="M389" s="67">
        <f>'Combustão Móvel'!I471</f>
        <v>0</v>
      </c>
      <c r="N389" s="153"/>
      <c r="O389" s="153">
        <f t="shared" si="104"/>
        <v>0</v>
      </c>
      <c r="P389" s="153"/>
      <c r="Q389" s="153"/>
      <c r="R389" s="153">
        <f t="shared" si="105"/>
        <v>0</v>
      </c>
      <c r="S389" s="153">
        <f t="shared" si="106"/>
        <v>0</v>
      </c>
      <c r="T389" s="164">
        <f t="shared" si="107"/>
        <v>0</v>
      </c>
      <c r="U389" s="164">
        <f t="shared" si="108"/>
        <v>0</v>
      </c>
      <c r="V389" s="137" t="str">
        <f t="shared" si="109"/>
        <v/>
      </c>
      <c r="W389" s="137" t="str">
        <f t="shared" si="110"/>
        <v/>
      </c>
      <c r="X389" s="137" t="str">
        <f t="shared" si="111"/>
        <v/>
      </c>
    </row>
    <row r="390" spans="2:24" ht="15" thickBot="1" x14ac:dyDescent="0.4">
      <c r="B390" s="1146"/>
      <c r="C390" s="36">
        <f>'Combustão Móvel'!B472</f>
        <v>0</v>
      </c>
      <c r="D390" s="148" t="str">
        <f>'Combustão Móvel'!Q472</f>
        <v/>
      </c>
      <c r="E390" s="162">
        <f>'Combustão Móvel'!H472</f>
        <v>0</v>
      </c>
      <c r="F390" s="153">
        <f t="shared" si="112"/>
        <v>0</v>
      </c>
      <c r="G390" s="153">
        <f t="shared" si="113"/>
        <v>0</v>
      </c>
      <c r="H390" s="153">
        <f t="shared" si="114"/>
        <v>0</v>
      </c>
      <c r="I390" s="153">
        <f t="shared" si="115"/>
        <v>0</v>
      </c>
      <c r="J390" s="153">
        <f t="shared" si="116"/>
        <v>0</v>
      </c>
      <c r="K390" s="154">
        <f t="shared" si="117"/>
        <v>0</v>
      </c>
      <c r="L390" s="66">
        <f>'Combustão Móvel'!H472</f>
        <v>0</v>
      </c>
      <c r="M390" s="67">
        <f>'Combustão Móvel'!I472</f>
        <v>0</v>
      </c>
      <c r="N390" s="153"/>
      <c r="O390" s="153">
        <f t="shared" si="104"/>
        <v>0</v>
      </c>
      <c r="P390" s="153"/>
      <c r="Q390" s="153"/>
      <c r="R390" s="153">
        <f t="shared" si="105"/>
        <v>0</v>
      </c>
      <c r="S390" s="153">
        <f t="shared" si="106"/>
        <v>0</v>
      </c>
      <c r="T390" s="164">
        <f t="shared" si="107"/>
        <v>0</v>
      </c>
      <c r="U390" s="164">
        <f t="shared" si="108"/>
        <v>0</v>
      </c>
      <c r="V390" s="137" t="str">
        <f t="shared" si="109"/>
        <v/>
      </c>
      <c r="W390" s="137" t="str">
        <f t="shared" si="110"/>
        <v/>
      </c>
      <c r="X390" s="137" t="str">
        <f t="shared" si="111"/>
        <v/>
      </c>
    </row>
    <row r="391" spans="2:24" ht="15" thickBot="1" x14ac:dyDescent="0.4">
      <c r="B391" s="1146"/>
      <c r="C391" s="36">
        <f>'Combustão Móvel'!B473</f>
        <v>0</v>
      </c>
      <c r="D391" s="148" t="str">
        <f>'Combustão Móvel'!Q473</f>
        <v/>
      </c>
      <c r="E391" s="162">
        <f>'Combustão Móvel'!H473</f>
        <v>0</v>
      </c>
      <c r="F391" s="153">
        <f t="shared" si="112"/>
        <v>0</v>
      </c>
      <c r="G391" s="153">
        <f t="shared" si="113"/>
        <v>0</v>
      </c>
      <c r="H391" s="153">
        <f t="shared" si="114"/>
        <v>0</v>
      </c>
      <c r="I391" s="153">
        <f t="shared" si="115"/>
        <v>0</v>
      </c>
      <c r="J391" s="153">
        <f t="shared" si="116"/>
        <v>0</v>
      </c>
      <c r="K391" s="154">
        <f t="shared" si="117"/>
        <v>0</v>
      </c>
      <c r="L391" s="66">
        <f>'Combustão Móvel'!H473</f>
        <v>0</v>
      </c>
      <c r="M391" s="67">
        <f>'Combustão Móvel'!I473</f>
        <v>0</v>
      </c>
      <c r="N391" s="153"/>
      <c r="O391" s="153">
        <f t="shared" si="104"/>
        <v>0</v>
      </c>
      <c r="P391" s="153"/>
      <c r="Q391" s="153"/>
      <c r="R391" s="153">
        <f t="shared" si="105"/>
        <v>0</v>
      </c>
      <c r="S391" s="153">
        <f t="shared" si="106"/>
        <v>0</v>
      </c>
      <c r="T391" s="164">
        <f t="shared" si="107"/>
        <v>0</v>
      </c>
      <c r="U391" s="164">
        <f t="shared" si="108"/>
        <v>0</v>
      </c>
      <c r="V391" s="137" t="str">
        <f t="shared" si="109"/>
        <v/>
      </c>
      <c r="W391" s="137" t="str">
        <f t="shared" si="110"/>
        <v/>
      </c>
      <c r="X391" s="137" t="str">
        <f t="shared" si="111"/>
        <v/>
      </c>
    </row>
    <row r="392" spans="2:24" ht="15" thickBot="1" x14ac:dyDescent="0.4">
      <c r="B392" s="1146"/>
      <c r="C392" s="36">
        <f>'Combustão Móvel'!B474</f>
        <v>0</v>
      </c>
      <c r="D392" s="148" t="str">
        <f>'Combustão Móvel'!Q474</f>
        <v/>
      </c>
      <c r="E392" s="162">
        <f>'Combustão Móvel'!H474</f>
        <v>0</v>
      </c>
      <c r="F392" s="153">
        <f t="shared" si="112"/>
        <v>0</v>
      </c>
      <c r="G392" s="153">
        <f t="shared" si="113"/>
        <v>0</v>
      </c>
      <c r="H392" s="153">
        <f t="shared" si="114"/>
        <v>0</v>
      </c>
      <c r="I392" s="153">
        <f t="shared" si="115"/>
        <v>0</v>
      </c>
      <c r="J392" s="153">
        <f t="shared" si="116"/>
        <v>0</v>
      </c>
      <c r="K392" s="154">
        <f t="shared" si="117"/>
        <v>0</v>
      </c>
      <c r="L392" s="66">
        <f>'Combustão Móvel'!H474</f>
        <v>0</v>
      </c>
      <c r="M392" s="67">
        <f>'Combustão Móvel'!I474</f>
        <v>0</v>
      </c>
      <c r="N392" s="153"/>
      <c r="O392" s="153">
        <f t="shared" si="104"/>
        <v>0</v>
      </c>
      <c r="P392" s="153"/>
      <c r="Q392" s="153"/>
      <c r="R392" s="153">
        <f t="shared" si="105"/>
        <v>0</v>
      </c>
      <c r="S392" s="153">
        <f t="shared" si="106"/>
        <v>0</v>
      </c>
      <c r="T392" s="164">
        <f t="shared" si="107"/>
        <v>0</v>
      </c>
      <c r="U392" s="164">
        <f t="shared" si="108"/>
        <v>0</v>
      </c>
      <c r="V392" s="137" t="str">
        <f t="shared" si="109"/>
        <v/>
      </c>
      <c r="W392" s="137" t="str">
        <f t="shared" si="110"/>
        <v/>
      </c>
      <c r="X392" s="137" t="str">
        <f t="shared" si="111"/>
        <v/>
      </c>
    </row>
    <row r="393" spans="2:24" ht="15" thickBot="1" x14ac:dyDescent="0.4">
      <c r="B393" s="1146"/>
      <c r="C393" s="36">
        <f>'Combustão Móvel'!B475</f>
        <v>0</v>
      </c>
      <c r="D393" s="148" t="str">
        <f>'Combustão Móvel'!Q475</f>
        <v/>
      </c>
      <c r="E393" s="162">
        <f>'Combustão Móvel'!H475</f>
        <v>0</v>
      </c>
      <c r="F393" s="153">
        <f t="shared" si="112"/>
        <v>0</v>
      </c>
      <c r="G393" s="153">
        <f t="shared" si="113"/>
        <v>0</v>
      </c>
      <c r="H393" s="153">
        <f t="shared" si="114"/>
        <v>0</v>
      </c>
      <c r="I393" s="153">
        <f t="shared" si="115"/>
        <v>0</v>
      </c>
      <c r="J393" s="153">
        <f t="shared" si="116"/>
        <v>0</v>
      </c>
      <c r="K393" s="154">
        <f t="shared" si="117"/>
        <v>0</v>
      </c>
      <c r="L393" s="66">
        <f>'Combustão Móvel'!H475</f>
        <v>0</v>
      </c>
      <c r="M393" s="67">
        <f>'Combustão Móvel'!I475</f>
        <v>0</v>
      </c>
      <c r="N393" s="153"/>
      <c r="O393" s="153">
        <f t="shared" si="104"/>
        <v>0</v>
      </c>
      <c r="P393" s="153"/>
      <c r="Q393" s="153"/>
      <c r="R393" s="153">
        <f t="shared" si="105"/>
        <v>0</v>
      </c>
      <c r="S393" s="153">
        <f t="shared" si="106"/>
        <v>0</v>
      </c>
      <c r="T393" s="164">
        <f t="shared" si="107"/>
        <v>0</v>
      </c>
      <c r="U393" s="164">
        <f t="shared" si="108"/>
        <v>0</v>
      </c>
      <c r="V393" s="137" t="str">
        <f t="shared" si="109"/>
        <v/>
      </c>
      <c r="W393" s="137" t="str">
        <f t="shared" si="110"/>
        <v/>
      </c>
      <c r="X393" s="137" t="str">
        <f t="shared" si="111"/>
        <v/>
      </c>
    </row>
    <row r="394" spans="2:24" ht="15" thickBot="1" x14ac:dyDescent="0.4">
      <c r="B394" s="1146"/>
      <c r="C394" s="36">
        <f>'Combustão Móvel'!B476</f>
        <v>0</v>
      </c>
      <c r="D394" s="148" t="str">
        <f>'Combustão Móvel'!Q476</f>
        <v/>
      </c>
      <c r="E394" s="162">
        <f>'Combustão Móvel'!H476</f>
        <v>0</v>
      </c>
      <c r="F394" s="153">
        <f t="shared" si="112"/>
        <v>0</v>
      </c>
      <c r="G394" s="153">
        <f t="shared" si="113"/>
        <v>0</v>
      </c>
      <c r="H394" s="153">
        <f t="shared" si="114"/>
        <v>0</v>
      </c>
      <c r="I394" s="153">
        <f t="shared" si="115"/>
        <v>0</v>
      </c>
      <c r="J394" s="153">
        <f t="shared" si="116"/>
        <v>0</v>
      </c>
      <c r="K394" s="154">
        <f t="shared" si="117"/>
        <v>0</v>
      </c>
      <c r="L394" s="66">
        <f>'Combustão Móvel'!H476</f>
        <v>0</v>
      </c>
      <c r="M394" s="67">
        <f>'Combustão Móvel'!I476</f>
        <v>0</v>
      </c>
      <c r="N394" s="153"/>
      <c r="O394" s="153">
        <f t="shared" si="104"/>
        <v>0</v>
      </c>
      <c r="P394" s="153"/>
      <c r="Q394" s="153"/>
      <c r="R394" s="153">
        <f t="shared" si="105"/>
        <v>0</v>
      </c>
      <c r="S394" s="153">
        <f t="shared" si="106"/>
        <v>0</v>
      </c>
      <c r="T394" s="164">
        <f t="shared" si="107"/>
        <v>0</v>
      </c>
      <c r="U394" s="164">
        <f t="shared" si="108"/>
        <v>0</v>
      </c>
      <c r="V394" s="137" t="str">
        <f t="shared" si="109"/>
        <v/>
      </c>
      <c r="W394" s="137" t="str">
        <f t="shared" si="110"/>
        <v/>
      </c>
      <c r="X394" s="137" t="str">
        <f t="shared" si="111"/>
        <v/>
      </c>
    </row>
    <row r="395" spans="2:24" ht="15" thickBot="1" x14ac:dyDescent="0.4">
      <c r="B395" s="1146"/>
      <c r="C395" s="36">
        <f>'Combustão Móvel'!B477</f>
        <v>0</v>
      </c>
      <c r="D395" s="148" t="str">
        <f>'Combustão Móvel'!Q477</f>
        <v/>
      </c>
      <c r="E395" s="162">
        <f>'Combustão Móvel'!H477</f>
        <v>0</v>
      </c>
      <c r="F395" s="153">
        <f t="shared" si="112"/>
        <v>0</v>
      </c>
      <c r="G395" s="153">
        <f t="shared" si="113"/>
        <v>0</v>
      </c>
      <c r="H395" s="153">
        <f t="shared" si="114"/>
        <v>0</v>
      </c>
      <c r="I395" s="153">
        <f t="shared" si="115"/>
        <v>0</v>
      </c>
      <c r="J395" s="153">
        <f t="shared" si="116"/>
        <v>0</v>
      </c>
      <c r="K395" s="154">
        <f t="shared" si="117"/>
        <v>0</v>
      </c>
      <c r="L395" s="66">
        <f>'Combustão Móvel'!H477</f>
        <v>0</v>
      </c>
      <c r="M395" s="67">
        <f>'Combustão Móvel'!I477</f>
        <v>0</v>
      </c>
      <c r="N395" s="153"/>
      <c r="O395" s="153">
        <f t="shared" si="104"/>
        <v>0</v>
      </c>
      <c r="P395" s="153"/>
      <c r="Q395" s="153"/>
      <c r="R395" s="153">
        <f t="shared" si="105"/>
        <v>0</v>
      </c>
      <c r="S395" s="153">
        <f t="shared" si="106"/>
        <v>0</v>
      </c>
      <c r="T395" s="164">
        <f t="shared" si="107"/>
        <v>0</v>
      </c>
      <c r="U395" s="164">
        <f t="shared" si="108"/>
        <v>0</v>
      </c>
      <c r="V395" s="137" t="str">
        <f t="shared" si="109"/>
        <v/>
      </c>
      <c r="W395" s="137" t="str">
        <f t="shared" si="110"/>
        <v/>
      </c>
      <c r="X395" s="137" t="str">
        <f t="shared" si="111"/>
        <v/>
      </c>
    </row>
    <row r="396" spans="2:24" ht="15" thickBot="1" x14ac:dyDescent="0.4">
      <c r="B396" s="1146"/>
      <c r="C396" s="36">
        <f>'Combustão Móvel'!B478</f>
        <v>0</v>
      </c>
      <c r="D396" s="148" t="str">
        <f>'Combustão Móvel'!Q478</f>
        <v/>
      </c>
      <c r="E396" s="162">
        <f>'Combustão Móvel'!H478</f>
        <v>0</v>
      </c>
      <c r="F396" s="153">
        <f t="shared" si="112"/>
        <v>0</v>
      </c>
      <c r="G396" s="153">
        <f t="shared" si="113"/>
        <v>0</v>
      </c>
      <c r="H396" s="153">
        <f t="shared" si="114"/>
        <v>0</v>
      </c>
      <c r="I396" s="153">
        <f t="shared" si="115"/>
        <v>0</v>
      </c>
      <c r="J396" s="153">
        <f t="shared" si="116"/>
        <v>0</v>
      </c>
      <c r="K396" s="154">
        <f t="shared" si="117"/>
        <v>0</v>
      </c>
      <c r="L396" s="66">
        <f>'Combustão Móvel'!H478</f>
        <v>0</v>
      </c>
      <c r="M396" s="67">
        <f>'Combustão Móvel'!I478</f>
        <v>0</v>
      </c>
      <c r="N396" s="153"/>
      <c r="O396" s="153">
        <f t="shared" si="104"/>
        <v>0</v>
      </c>
      <c r="P396" s="153"/>
      <c r="Q396" s="153"/>
      <c r="R396" s="153">
        <f t="shared" si="105"/>
        <v>0</v>
      </c>
      <c r="S396" s="153">
        <f t="shared" si="106"/>
        <v>0</v>
      </c>
      <c r="T396" s="164">
        <f t="shared" si="107"/>
        <v>0</v>
      </c>
      <c r="U396" s="164">
        <f t="shared" si="108"/>
        <v>0</v>
      </c>
      <c r="V396" s="137" t="str">
        <f t="shared" si="109"/>
        <v/>
      </c>
      <c r="W396" s="137" t="str">
        <f t="shared" si="110"/>
        <v/>
      </c>
      <c r="X396" s="137" t="str">
        <f t="shared" si="111"/>
        <v/>
      </c>
    </row>
    <row r="397" spans="2:24" ht="15" thickBot="1" x14ac:dyDescent="0.4">
      <c r="B397" s="1146"/>
      <c r="C397" s="36">
        <f>'Combustão Móvel'!B479</f>
        <v>0</v>
      </c>
      <c r="D397" s="148" t="str">
        <f>'Combustão Móvel'!Q479</f>
        <v/>
      </c>
      <c r="E397" s="162">
        <f>'Combustão Móvel'!H479</f>
        <v>0</v>
      </c>
      <c r="F397" s="153">
        <f t="shared" si="112"/>
        <v>0</v>
      </c>
      <c r="G397" s="153">
        <f t="shared" si="113"/>
        <v>0</v>
      </c>
      <c r="H397" s="153">
        <f t="shared" si="114"/>
        <v>0</v>
      </c>
      <c r="I397" s="153">
        <f t="shared" si="115"/>
        <v>0</v>
      </c>
      <c r="J397" s="153">
        <f t="shared" si="116"/>
        <v>0</v>
      </c>
      <c r="K397" s="154">
        <f t="shared" si="117"/>
        <v>0</v>
      </c>
      <c r="L397" s="66">
        <f>'Combustão Móvel'!H479</f>
        <v>0</v>
      </c>
      <c r="M397" s="67">
        <f>'Combustão Móvel'!I479</f>
        <v>0</v>
      </c>
      <c r="N397" s="153"/>
      <c r="O397" s="153">
        <f t="shared" si="104"/>
        <v>0</v>
      </c>
      <c r="P397" s="153"/>
      <c r="Q397" s="153"/>
      <c r="R397" s="153">
        <f t="shared" si="105"/>
        <v>0</v>
      </c>
      <c r="S397" s="153">
        <f t="shared" si="106"/>
        <v>0</v>
      </c>
      <c r="T397" s="164">
        <f t="shared" si="107"/>
        <v>0</v>
      </c>
      <c r="U397" s="164">
        <f t="shared" si="108"/>
        <v>0</v>
      </c>
      <c r="V397" s="137" t="str">
        <f t="shared" si="109"/>
        <v/>
      </c>
      <c r="W397" s="137" t="str">
        <f t="shared" si="110"/>
        <v/>
      </c>
      <c r="X397" s="137" t="str">
        <f t="shared" si="111"/>
        <v/>
      </c>
    </row>
    <row r="398" spans="2:24" ht="15" thickBot="1" x14ac:dyDescent="0.4">
      <c r="B398" s="1146"/>
      <c r="C398" s="36">
        <f>'Combustão Móvel'!B480</f>
        <v>0</v>
      </c>
      <c r="D398" s="148" t="str">
        <f>'Combustão Móvel'!Q480</f>
        <v/>
      </c>
      <c r="E398" s="162">
        <f>'Combustão Móvel'!H480</f>
        <v>0</v>
      </c>
      <c r="F398" s="153">
        <f t="shared" si="112"/>
        <v>0</v>
      </c>
      <c r="G398" s="153">
        <f t="shared" si="113"/>
        <v>0</v>
      </c>
      <c r="H398" s="153">
        <f t="shared" si="114"/>
        <v>0</v>
      </c>
      <c r="I398" s="153">
        <f t="shared" si="115"/>
        <v>0</v>
      </c>
      <c r="J398" s="153">
        <f t="shared" si="116"/>
        <v>0</v>
      </c>
      <c r="K398" s="154">
        <f t="shared" si="117"/>
        <v>0</v>
      </c>
      <c r="L398" s="66">
        <f>'Combustão Móvel'!H480</f>
        <v>0</v>
      </c>
      <c r="M398" s="67">
        <f>'Combustão Móvel'!I480</f>
        <v>0</v>
      </c>
      <c r="N398" s="153"/>
      <c r="O398" s="153">
        <f t="shared" si="104"/>
        <v>0</v>
      </c>
      <c r="P398" s="153"/>
      <c r="Q398" s="153"/>
      <c r="R398" s="153">
        <f t="shared" si="105"/>
        <v>0</v>
      </c>
      <c r="S398" s="153">
        <f t="shared" si="106"/>
        <v>0</v>
      </c>
      <c r="T398" s="164">
        <f t="shared" si="107"/>
        <v>0</v>
      </c>
      <c r="U398" s="164">
        <f t="shared" si="108"/>
        <v>0</v>
      </c>
      <c r="V398" s="137" t="str">
        <f t="shared" si="109"/>
        <v/>
      </c>
      <c r="W398" s="137" t="str">
        <f t="shared" si="110"/>
        <v/>
      </c>
      <c r="X398" s="137" t="str">
        <f t="shared" si="111"/>
        <v/>
      </c>
    </row>
    <row r="399" spans="2:24" ht="15" thickBot="1" x14ac:dyDescent="0.4">
      <c r="B399" s="1146"/>
      <c r="C399" s="36">
        <f>'Combustão Móvel'!B481</f>
        <v>0</v>
      </c>
      <c r="D399" s="148" t="str">
        <f>'Combustão Móvel'!Q481</f>
        <v/>
      </c>
      <c r="E399" s="162">
        <f>'Combustão Móvel'!H481</f>
        <v>0</v>
      </c>
      <c r="F399" s="153">
        <f t="shared" si="112"/>
        <v>0</v>
      </c>
      <c r="G399" s="153">
        <f t="shared" si="113"/>
        <v>0</v>
      </c>
      <c r="H399" s="153">
        <f t="shared" si="114"/>
        <v>0</v>
      </c>
      <c r="I399" s="153">
        <f t="shared" si="115"/>
        <v>0</v>
      </c>
      <c r="J399" s="153">
        <f t="shared" si="116"/>
        <v>0</v>
      </c>
      <c r="K399" s="154">
        <f t="shared" si="117"/>
        <v>0</v>
      </c>
      <c r="L399" s="66">
        <f>'Combustão Móvel'!H481</f>
        <v>0</v>
      </c>
      <c r="M399" s="67">
        <f>'Combustão Móvel'!I481</f>
        <v>0</v>
      </c>
      <c r="N399" s="153"/>
      <c r="O399" s="153">
        <f t="shared" si="104"/>
        <v>0</v>
      </c>
      <c r="P399" s="153"/>
      <c r="Q399" s="153"/>
      <c r="R399" s="153">
        <f t="shared" si="105"/>
        <v>0</v>
      </c>
      <c r="S399" s="153">
        <f t="shared" si="106"/>
        <v>0</v>
      </c>
      <c r="T399" s="164">
        <f t="shared" si="107"/>
        <v>0</v>
      </c>
      <c r="U399" s="164">
        <f t="shared" si="108"/>
        <v>0</v>
      </c>
      <c r="V399" s="137" t="str">
        <f t="shared" si="109"/>
        <v/>
      </c>
      <c r="W399" s="137" t="str">
        <f t="shared" si="110"/>
        <v/>
      </c>
      <c r="X399" s="137" t="str">
        <f t="shared" si="111"/>
        <v/>
      </c>
    </row>
    <row r="400" spans="2:24" ht="15" thickBot="1" x14ac:dyDescent="0.4">
      <c r="B400" s="1146"/>
      <c r="C400" s="36">
        <f>'Combustão Móvel'!B482</f>
        <v>0</v>
      </c>
      <c r="D400" s="148" t="str">
        <f>'Combustão Móvel'!Q482</f>
        <v/>
      </c>
      <c r="E400" s="162">
        <f>'Combustão Móvel'!H482</f>
        <v>0</v>
      </c>
      <c r="F400" s="153">
        <f t="shared" si="112"/>
        <v>0</v>
      </c>
      <c r="G400" s="153">
        <f t="shared" si="113"/>
        <v>0</v>
      </c>
      <c r="H400" s="153">
        <f t="shared" si="114"/>
        <v>0</v>
      </c>
      <c r="I400" s="153">
        <f t="shared" si="115"/>
        <v>0</v>
      </c>
      <c r="J400" s="153">
        <f t="shared" si="116"/>
        <v>0</v>
      </c>
      <c r="K400" s="154">
        <f t="shared" si="117"/>
        <v>0</v>
      </c>
      <c r="L400" s="66">
        <f>'Combustão Móvel'!H482</f>
        <v>0</v>
      </c>
      <c r="M400" s="67">
        <f>'Combustão Móvel'!I482</f>
        <v>0</v>
      </c>
      <c r="N400" s="153"/>
      <c r="O400" s="153">
        <f t="shared" si="104"/>
        <v>0</v>
      </c>
      <c r="P400" s="153"/>
      <c r="Q400" s="153"/>
      <c r="R400" s="153">
        <f t="shared" si="105"/>
        <v>0</v>
      </c>
      <c r="S400" s="153">
        <f t="shared" si="106"/>
        <v>0</v>
      </c>
      <c r="T400" s="164">
        <f t="shared" si="107"/>
        <v>0</v>
      </c>
      <c r="U400" s="164">
        <f t="shared" si="108"/>
        <v>0</v>
      </c>
      <c r="V400" s="137" t="str">
        <f t="shared" si="109"/>
        <v/>
      </c>
      <c r="W400" s="137" t="str">
        <f t="shared" si="110"/>
        <v/>
      </c>
      <c r="X400" s="137" t="str">
        <f t="shared" si="111"/>
        <v/>
      </c>
    </row>
    <row r="401" spans="2:24" ht="15" thickBot="1" x14ac:dyDescent="0.4">
      <c r="B401" s="1146"/>
      <c r="C401" s="36">
        <f>'Combustão Móvel'!B483</f>
        <v>0</v>
      </c>
      <c r="D401" s="148" t="str">
        <f>'Combustão Móvel'!Q483</f>
        <v/>
      </c>
      <c r="E401" s="162">
        <f>'Combustão Móvel'!H483</f>
        <v>0</v>
      </c>
      <c r="F401" s="153">
        <f t="shared" si="112"/>
        <v>0</v>
      </c>
      <c r="G401" s="153">
        <f t="shared" si="113"/>
        <v>0</v>
      </c>
      <c r="H401" s="153">
        <f t="shared" si="114"/>
        <v>0</v>
      </c>
      <c r="I401" s="153">
        <f t="shared" si="115"/>
        <v>0</v>
      </c>
      <c r="J401" s="153">
        <f t="shared" si="116"/>
        <v>0</v>
      </c>
      <c r="K401" s="154">
        <f t="shared" si="117"/>
        <v>0</v>
      </c>
      <c r="L401" s="66">
        <f>'Combustão Móvel'!H483</f>
        <v>0</v>
      </c>
      <c r="M401" s="67">
        <f>'Combustão Móvel'!I483</f>
        <v>0</v>
      </c>
      <c r="N401" s="153"/>
      <c r="O401" s="153">
        <f t="shared" si="104"/>
        <v>0</v>
      </c>
      <c r="P401" s="153"/>
      <c r="Q401" s="153"/>
      <c r="R401" s="153">
        <f t="shared" si="105"/>
        <v>0</v>
      </c>
      <c r="S401" s="153">
        <f t="shared" si="106"/>
        <v>0</v>
      </c>
      <c r="T401" s="164">
        <f t="shared" si="107"/>
        <v>0</v>
      </c>
      <c r="U401" s="164">
        <f t="shared" si="108"/>
        <v>0</v>
      </c>
      <c r="V401" s="137" t="str">
        <f t="shared" si="109"/>
        <v/>
      </c>
      <c r="W401" s="137" t="str">
        <f t="shared" si="110"/>
        <v/>
      </c>
      <c r="X401" s="137" t="str">
        <f t="shared" si="111"/>
        <v/>
      </c>
    </row>
    <row r="402" spans="2:24" ht="15" thickBot="1" x14ac:dyDescent="0.4">
      <c r="B402" s="1146"/>
      <c r="C402" s="36">
        <f>'Combustão Móvel'!B484</f>
        <v>0</v>
      </c>
      <c r="D402" s="148" t="str">
        <f>'Combustão Móvel'!Q484</f>
        <v/>
      </c>
      <c r="E402" s="162">
        <f>'Combustão Móvel'!H484</f>
        <v>0</v>
      </c>
      <c r="F402" s="153">
        <f t="shared" si="112"/>
        <v>0</v>
      </c>
      <c r="G402" s="153">
        <f t="shared" si="113"/>
        <v>0</v>
      </c>
      <c r="H402" s="153">
        <f t="shared" si="114"/>
        <v>0</v>
      </c>
      <c r="I402" s="153">
        <f t="shared" si="115"/>
        <v>0</v>
      </c>
      <c r="J402" s="153">
        <f t="shared" si="116"/>
        <v>0</v>
      </c>
      <c r="K402" s="154">
        <f t="shared" si="117"/>
        <v>0</v>
      </c>
      <c r="L402" s="66">
        <f>'Combustão Móvel'!H484</f>
        <v>0</v>
      </c>
      <c r="M402" s="67">
        <f>'Combustão Móvel'!I484</f>
        <v>0</v>
      </c>
      <c r="N402" s="153"/>
      <c r="O402" s="153">
        <f t="shared" si="104"/>
        <v>0</v>
      </c>
      <c r="P402" s="153"/>
      <c r="Q402" s="153"/>
      <c r="R402" s="153">
        <f t="shared" si="105"/>
        <v>0</v>
      </c>
      <c r="S402" s="153">
        <f t="shared" si="106"/>
        <v>0</v>
      </c>
      <c r="T402" s="164">
        <f t="shared" si="107"/>
        <v>0</v>
      </c>
      <c r="U402" s="164">
        <f t="shared" si="108"/>
        <v>0</v>
      </c>
      <c r="V402" s="137" t="str">
        <f t="shared" si="109"/>
        <v/>
      </c>
      <c r="W402" s="137" t="str">
        <f t="shared" si="110"/>
        <v/>
      </c>
      <c r="X402" s="137" t="str">
        <f t="shared" si="111"/>
        <v/>
      </c>
    </row>
    <row r="403" spans="2:24" ht="15" thickBot="1" x14ac:dyDescent="0.4">
      <c r="B403" s="1146"/>
      <c r="C403" s="36">
        <f>'Combustão Móvel'!B485</f>
        <v>0</v>
      </c>
      <c r="D403" s="148" t="str">
        <f>'Combustão Móvel'!Q485</f>
        <v/>
      </c>
      <c r="E403" s="162">
        <f>'Combustão Móvel'!H485</f>
        <v>0</v>
      </c>
      <c r="F403" s="153">
        <f t="shared" si="112"/>
        <v>0</v>
      </c>
      <c r="G403" s="153">
        <f t="shared" si="113"/>
        <v>0</v>
      </c>
      <c r="H403" s="153">
        <f t="shared" si="114"/>
        <v>0</v>
      </c>
      <c r="I403" s="153">
        <f t="shared" si="115"/>
        <v>0</v>
      </c>
      <c r="J403" s="153">
        <f t="shared" si="116"/>
        <v>0</v>
      </c>
      <c r="K403" s="154">
        <f t="shared" si="117"/>
        <v>0</v>
      </c>
      <c r="L403" s="66">
        <f>'Combustão Móvel'!H485</f>
        <v>0</v>
      </c>
      <c r="M403" s="67">
        <f>'Combustão Móvel'!I485</f>
        <v>0</v>
      </c>
      <c r="N403" s="153"/>
      <c r="O403" s="153">
        <f t="shared" si="104"/>
        <v>0</v>
      </c>
      <c r="P403" s="153"/>
      <c r="Q403" s="153"/>
      <c r="R403" s="153">
        <f t="shared" si="105"/>
        <v>0</v>
      </c>
      <c r="S403" s="153">
        <f t="shared" si="106"/>
        <v>0</v>
      </c>
      <c r="T403" s="164">
        <f t="shared" si="107"/>
        <v>0</v>
      </c>
      <c r="U403" s="164">
        <f t="shared" si="108"/>
        <v>0</v>
      </c>
      <c r="V403" s="137" t="str">
        <f t="shared" si="109"/>
        <v/>
      </c>
      <c r="W403" s="137" t="str">
        <f t="shared" si="110"/>
        <v/>
      </c>
      <c r="X403" s="137" t="str">
        <f t="shared" si="111"/>
        <v/>
      </c>
    </row>
    <row r="404" spans="2:24" ht="15" thickBot="1" x14ac:dyDescent="0.4">
      <c r="B404" s="1146"/>
      <c r="C404" s="36">
        <f>'Combustão Móvel'!B486</f>
        <v>0</v>
      </c>
      <c r="D404" s="148" t="str">
        <f>'Combustão Móvel'!Q486</f>
        <v/>
      </c>
      <c r="E404" s="162">
        <f>'Combustão Móvel'!H486</f>
        <v>0</v>
      </c>
      <c r="F404" s="153">
        <f t="shared" si="112"/>
        <v>0</v>
      </c>
      <c r="G404" s="153">
        <f t="shared" si="113"/>
        <v>0</v>
      </c>
      <c r="H404" s="153">
        <f t="shared" si="114"/>
        <v>0</v>
      </c>
      <c r="I404" s="153">
        <f t="shared" si="115"/>
        <v>0</v>
      </c>
      <c r="J404" s="153">
        <f t="shared" si="116"/>
        <v>0</v>
      </c>
      <c r="K404" s="154">
        <f t="shared" si="117"/>
        <v>0</v>
      </c>
      <c r="L404" s="66">
        <f>'Combustão Móvel'!H486</f>
        <v>0</v>
      </c>
      <c r="M404" s="67">
        <f>'Combustão Móvel'!I486</f>
        <v>0</v>
      </c>
      <c r="N404" s="153"/>
      <c r="O404" s="153">
        <f t="shared" si="104"/>
        <v>0</v>
      </c>
      <c r="P404" s="153"/>
      <c r="Q404" s="153"/>
      <c r="R404" s="153">
        <f t="shared" si="105"/>
        <v>0</v>
      </c>
      <c r="S404" s="153">
        <f t="shared" si="106"/>
        <v>0</v>
      </c>
      <c r="T404" s="164">
        <f t="shared" si="107"/>
        <v>0</v>
      </c>
      <c r="U404" s="164">
        <f t="shared" si="108"/>
        <v>0</v>
      </c>
      <c r="V404" s="137" t="str">
        <f t="shared" si="109"/>
        <v/>
      </c>
      <c r="W404" s="137" t="str">
        <f t="shared" si="110"/>
        <v/>
      </c>
      <c r="X404" s="137" t="str">
        <f t="shared" si="111"/>
        <v/>
      </c>
    </row>
    <row r="405" spans="2:24" ht="15" thickBot="1" x14ac:dyDescent="0.4">
      <c r="B405" s="1146"/>
      <c r="C405" s="36">
        <f>'Combustão Móvel'!B487</f>
        <v>0</v>
      </c>
      <c r="D405" s="148" t="str">
        <f>'Combustão Móvel'!Q487</f>
        <v/>
      </c>
      <c r="E405" s="162">
        <f>'Combustão Móvel'!H487</f>
        <v>0</v>
      </c>
      <c r="F405" s="153">
        <f t="shared" si="112"/>
        <v>0</v>
      </c>
      <c r="G405" s="153">
        <f t="shared" si="113"/>
        <v>0</v>
      </c>
      <c r="H405" s="153">
        <f t="shared" si="114"/>
        <v>0</v>
      </c>
      <c r="I405" s="153">
        <f t="shared" si="115"/>
        <v>0</v>
      </c>
      <c r="J405" s="153">
        <f t="shared" si="116"/>
        <v>0</v>
      </c>
      <c r="K405" s="154">
        <f t="shared" si="117"/>
        <v>0</v>
      </c>
      <c r="L405" s="66">
        <f>'Combustão Móvel'!H487</f>
        <v>0</v>
      </c>
      <c r="M405" s="67">
        <f>'Combustão Móvel'!I487</f>
        <v>0</v>
      </c>
      <c r="N405" s="153"/>
      <c r="O405" s="153">
        <f t="shared" si="104"/>
        <v>0</v>
      </c>
      <c r="P405" s="153"/>
      <c r="Q405" s="153"/>
      <c r="R405" s="153">
        <f t="shared" si="105"/>
        <v>0</v>
      </c>
      <c r="S405" s="153">
        <f t="shared" si="106"/>
        <v>0</v>
      </c>
      <c r="T405" s="164">
        <f t="shared" si="107"/>
        <v>0</v>
      </c>
      <c r="U405" s="164">
        <f t="shared" si="108"/>
        <v>0</v>
      </c>
      <c r="V405" s="137" t="str">
        <f t="shared" si="109"/>
        <v/>
      </c>
      <c r="W405" s="137" t="str">
        <f t="shared" si="110"/>
        <v/>
      </c>
      <c r="X405" s="137" t="str">
        <f t="shared" si="111"/>
        <v/>
      </c>
    </row>
    <row r="406" spans="2:24" ht="15" thickBot="1" x14ac:dyDescent="0.4">
      <c r="B406" s="1146"/>
      <c r="C406" s="36">
        <f>'Combustão Móvel'!B488</f>
        <v>0</v>
      </c>
      <c r="D406" s="148" t="str">
        <f>'Combustão Móvel'!Q488</f>
        <v/>
      </c>
      <c r="E406" s="162">
        <f>'Combustão Móvel'!H488</f>
        <v>0</v>
      </c>
      <c r="F406" s="153">
        <f t="shared" si="112"/>
        <v>0</v>
      </c>
      <c r="G406" s="153">
        <f t="shared" si="113"/>
        <v>0</v>
      </c>
      <c r="H406" s="153">
        <f t="shared" si="114"/>
        <v>0</v>
      </c>
      <c r="I406" s="153">
        <f t="shared" si="115"/>
        <v>0</v>
      </c>
      <c r="J406" s="153">
        <f t="shared" si="116"/>
        <v>0</v>
      </c>
      <c r="K406" s="154">
        <f t="shared" si="117"/>
        <v>0</v>
      </c>
      <c r="L406" s="66">
        <f>'Combustão Móvel'!H488</f>
        <v>0</v>
      </c>
      <c r="M406" s="67">
        <f>'Combustão Móvel'!I488</f>
        <v>0</v>
      </c>
      <c r="N406" s="153"/>
      <c r="O406" s="153">
        <f t="shared" ref="O406:O420" si="118">IF($M406=$O$19,IF($L406=$B$14,$D406,0),0)</f>
        <v>0</v>
      </c>
      <c r="P406" s="153"/>
      <c r="Q406" s="153"/>
      <c r="R406" s="153">
        <f t="shared" ref="R406:R420" si="119">IF($M406=$R$19,IF($L406=$B$14,$D406,0),0)</f>
        <v>0</v>
      </c>
      <c r="S406" s="153">
        <f t="shared" ref="S406:S420" si="120">IF($M406=$S$19,IF($L406=$B$14,$D406,0),0)</f>
        <v>0</v>
      </c>
      <c r="T406" s="164">
        <f t="shared" ref="T406:T420" si="121">IF($L406=$T$20,$D406,0)</f>
        <v>0</v>
      </c>
      <c r="U406" s="164">
        <f t="shared" ref="U406:U420" si="122">IF($L406=$U$20,$D406,0)</f>
        <v>0</v>
      </c>
      <c r="V406" s="137" t="str">
        <f t="shared" si="109"/>
        <v/>
      </c>
      <c r="W406" s="137" t="str">
        <f t="shared" si="110"/>
        <v/>
      </c>
      <c r="X406" s="137" t="str">
        <f t="shared" si="111"/>
        <v/>
      </c>
    </row>
    <row r="407" spans="2:24" ht="15" thickBot="1" x14ac:dyDescent="0.4">
      <c r="B407" s="1146"/>
      <c r="C407" s="36">
        <f>'Combustão Móvel'!B489</f>
        <v>0</v>
      </c>
      <c r="D407" s="148" t="str">
        <f>'Combustão Móvel'!Q489</f>
        <v/>
      </c>
      <c r="E407" s="162">
        <f>'Combustão Móvel'!H489</f>
        <v>0</v>
      </c>
      <c r="F407" s="153">
        <f t="shared" si="112"/>
        <v>0</v>
      </c>
      <c r="G407" s="153">
        <f t="shared" si="113"/>
        <v>0</v>
      </c>
      <c r="H407" s="153">
        <f t="shared" si="114"/>
        <v>0</v>
      </c>
      <c r="I407" s="153">
        <f t="shared" si="115"/>
        <v>0</v>
      </c>
      <c r="J407" s="153">
        <f t="shared" si="116"/>
        <v>0</v>
      </c>
      <c r="K407" s="154">
        <f t="shared" si="117"/>
        <v>0</v>
      </c>
      <c r="L407" s="66">
        <f>'Combustão Móvel'!H489</f>
        <v>0</v>
      </c>
      <c r="M407" s="67">
        <f>'Combustão Móvel'!I489</f>
        <v>0</v>
      </c>
      <c r="N407" s="153"/>
      <c r="O407" s="153">
        <f t="shared" si="118"/>
        <v>0</v>
      </c>
      <c r="P407" s="153"/>
      <c r="Q407" s="153"/>
      <c r="R407" s="153">
        <f t="shared" si="119"/>
        <v>0</v>
      </c>
      <c r="S407" s="153">
        <f t="shared" si="120"/>
        <v>0</v>
      </c>
      <c r="T407" s="164">
        <f t="shared" si="121"/>
        <v>0</v>
      </c>
      <c r="U407" s="164">
        <f t="shared" si="122"/>
        <v>0</v>
      </c>
      <c r="V407" s="137" t="str">
        <f t="shared" si="109"/>
        <v/>
      </c>
      <c r="W407" s="137" t="str">
        <f t="shared" si="110"/>
        <v/>
      </c>
      <c r="X407" s="137" t="str">
        <f t="shared" si="111"/>
        <v/>
      </c>
    </row>
    <row r="408" spans="2:24" ht="15" thickBot="1" x14ac:dyDescent="0.4">
      <c r="B408" s="1146"/>
      <c r="C408" s="36">
        <f>'Combustão Móvel'!B490</f>
        <v>0</v>
      </c>
      <c r="D408" s="148" t="str">
        <f>'Combustão Móvel'!Q490</f>
        <v/>
      </c>
      <c r="E408" s="162">
        <f>'Combustão Móvel'!H490</f>
        <v>0</v>
      </c>
      <c r="F408" s="153">
        <f t="shared" si="112"/>
        <v>0</v>
      </c>
      <c r="G408" s="153">
        <f t="shared" si="113"/>
        <v>0</v>
      </c>
      <c r="H408" s="153">
        <f t="shared" si="114"/>
        <v>0</v>
      </c>
      <c r="I408" s="153">
        <f t="shared" si="115"/>
        <v>0</v>
      </c>
      <c r="J408" s="153">
        <f t="shared" si="116"/>
        <v>0</v>
      </c>
      <c r="K408" s="154">
        <f t="shared" si="117"/>
        <v>0</v>
      </c>
      <c r="L408" s="66">
        <f>'Combustão Móvel'!H490</f>
        <v>0</v>
      </c>
      <c r="M408" s="67">
        <f>'Combustão Móvel'!I490</f>
        <v>0</v>
      </c>
      <c r="N408" s="153"/>
      <c r="O408" s="153">
        <f t="shared" si="118"/>
        <v>0</v>
      </c>
      <c r="P408" s="153"/>
      <c r="Q408" s="153"/>
      <c r="R408" s="153">
        <f t="shared" si="119"/>
        <v>0</v>
      </c>
      <c r="S408" s="153">
        <f t="shared" si="120"/>
        <v>0</v>
      </c>
      <c r="T408" s="164">
        <f t="shared" si="121"/>
        <v>0</v>
      </c>
      <c r="U408" s="164">
        <f t="shared" si="122"/>
        <v>0</v>
      </c>
      <c r="V408" s="137" t="str">
        <f t="shared" si="109"/>
        <v/>
      </c>
      <c r="W408" s="137" t="str">
        <f t="shared" si="110"/>
        <v/>
      </c>
      <c r="X408" s="137" t="str">
        <f t="shared" si="111"/>
        <v/>
      </c>
    </row>
    <row r="409" spans="2:24" ht="15" thickBot="1" x14ac:dyDescent="0.4">
      <c r="B409" s="1146"/>
      <c r="C409" s="36">
        <f>'Combustão Móvel'!B491</f>
        <v>0</v>
      </c>
      <c r="D409" s="148" t="str">
        <f>'Combustão Móvel'!Q491</f>
        <v/>
      </c>
      <c r="E409" s="162">
        <f>'Combustão Móvel'!H491</f>
        <v>0</v>
      </c>
      <c r="F409" s="153">
        <f t="shared" si="112"/>
        <v>0</v>
      </c>
      <c r="G409" s="153">
        <f t="shared" si="113"/>
        <v>0</v>
      </c>
      <c r="H409" s="153">
        <f t="shared" si="114"/>
        <v>0</v>
      </c>
      <c r="I409" s="153">
        <f t="shared" si="115"/>
        <v>0</v>
      </c>
      <c r="J409" s="153">
        <f t="shared" si="116"/>
        <v>0</v>
      </c>
      <c r="K409" s="154">
        <f t="shared" si="117"/>
        <v>0</v>
      </c>
      <c r="L409" s="66">
        <f>'Combustão Móvel'!H491</f>
        <v>0</v>
      </c>
      <c r="M409" s="67">
        <f>'Combustão Móvel'!I491</f>
        <v>0</v>
      </c>
      <c r="N409" s="153"/>
      <c r="O409" s="153">
        <f t="shared" si="118"/>
        <v>0</v>
      </c>
      <c r="P409" s="153"/>
      <c r="Q409" s="153"/>
      <c r="R409" s="153">
        <f t="shared" si="119"/>
        <v>0</v>
      </c>
      <c r="S409" s="153">
        <f t="shared" si="120"/>
        <v>0</v>
      </c>
      <c r="T409" s="164">
        <f t="shared" si="121"/>
        <v>0</v>
      </c>
      <c r="U409" s="164">
        <f t="shared" si="122"/>
        <v>0</v>
      </c>
      <c r="V409" s="137" t="str">
        <f t="shared" ref="V409:V420" si="123">IF($L409="Não",F409,"")</f>
        <v/>
      </c>
      <c r="W409" s="137" t="str">
        <f t="shared" ref="W409:W420" si="124">IF($L409="Não",G409,"")</f>
        <v/>
      </c>
      <c r="X409" s="137" t="str">
        <f t="shared" ref="X409:X420" si="125">IF($L409="Não",H409,"")</f>
        <v/>
      </c>
    </row>
    <row r="410" spans="2:24" ht="15" thickBot="1" x14ac:dyDescent="0.4">
      <c r="B410" s="1146"/>
      <c r="C410" s="36">
        <f>'Combustão Móvel'!B492</f>
        <v>0</v>
      </c>
      <c r="D410" s="148" t="str">
        <f>'Combustão Móvel'!Q492</f>
        <v/>
      </c>
      <c r="E410" s="162">
        <f>'Combustão Móvel'!H492</f>
        <v>0</v>
      </c>
      <c r="F410" s="153">
        <f t="shared" si="112"/>
        <v>0</v>
      </c>
      <c r="G410" s="153">
        <f t="shared" si="113"/>
        <v>0</v>
      </c>
      <c r="H410" s="153">
        <f t="shared" si="114"/>
        <v>0</v>
      </c>
      <c r="I410" s="153">
        <f t="shared" si="115"/>
        <v>0</v>
      </c>
      <c r="J410" s="153">
        <f t="shared" si="116"/>
        <v>0</v>
      </c>
      <c r="K410" s="154">
        <f t="shared" si="117"/>
        <v>0</v>
      </c>
      <c r="L410" s="66">
        <f>'Combustão Móvel'!H492</f>
        <v>0</v>
      </c>
      <c r="M410" s="67">
        <f>'Combustão Móvel'!I492</f>
        <v>0</v>
      </c>
      <c r="N410" s="153"/>
      <c r="O410" s="153">
        <f t="shared" si="118"/>
        <v>0</v>
      </c>
      <c r="P410" s="153"/>
      <c r="Q410" s="153"/>
      <c r="R410" s="153">
        <f t="shared" si="119"/>
        <v>0</v>
      </c>
      <c r="S410" s="153">
        <f t="shared" si="120"/>
        <v>0</v>
      </c>
      <c r="T410" s="164">
        <f t="shared" si="121"/>
        <v>0</v>
      </c>
      <c r="U410" s="164">
        <f t="shared" si="122"/>
        <v>0</v>
      </c>
      <c r="V410" s="137" t="str">
        <f t="shared" si="123"/>
        <v/>
      </c>
      <c r="W410" s="137" t="str">
        <f t="shared" si="124"/>
        <v/>
      </c>
      <c r="X410" s="137" t="str">
        <f t="shared" si="125"/>
        <v/>
      </c>
    </row>
    <row r="411" spans="2:24" ht="15" thickBot="1" x14ac:dyDescent="0.4">
      <c r="B411" s="1146"/>
      <c r="C411" s="36">
        <f>'Combustão Móvel'!B493</f>
        <v>0</v>
      </c>
      <c r="D411" s="148" t="str">
        <f>'Combustão Móvel'!Q493</f>
        <v/>
      </c>
      <c r="E411" s="162">
        <f>'Combustão Móvel'!H493</f>
        <v>0</v>
      </c>
      <c r="F411" s="153">
        <f t="shared" si="112"/>
        <v>0</v>
      </c>
      <c r="G411" s="153">
        <f t="shared" si="113"/>
        <v>0</v>
      </c>
      <c r="H411" s="153">
        <f t="shared" si="114"/>
        <v>0</v>
      </c>
      <c r="I411" s="153">
        <f t="shared" si="115"/>
        <v>0</v>
      </c>
      <c r="J411" s="153">
        <f t="shared" si="116"/>
        <v>0</v>
      </c>
      <c r="K411" s="154">
        <f t="shared" si="117"/>
        <v>0</v>
      </c>
      <c r="L411" s="66">
        <f>'Combustão Móvel'!H493</f>
        <v>0</v>
      </c>
      <c r="M411" s="67">
        <f>'Combustão Móvel'!I493</f>
        <v>0</v>
      </c>
      <c r="N411" s="153"/>
      <c r="O411" s="153">
        <f t="shared" si="118"/>
        <v>0</v>
      </c>
      <c r="P411" s="153"/>
      <c r="Q411" s="153"/>
      <c r="R411" s="153">
        <f t="shared" si="119"/>
        <v>0</v>
      </c>
      <c r="S411" s="153">
        <f t="shared" si="120"/>
        <v>0</v>
      </c>
      <c r="T411" s="164">
        <f t="shared" si="121"/>
        <v>0</v>
      </c>
      <c r="U411" s="164">
        <f t="shared" si="122"/>
        <v>0</v>
      </c>
      <c r="V411" s="137" t="str">
        <f t="shared" si="123"/>
        <v/>
      </c>
      <c r="W411" s="137" t="str">
        <f t="shared" si="124"/>
        <v/>
      </c>
      <c r="X411" s="137" t="str">
        <f t="shared" si="125"/>
        <v/>
      </c>
    </row>
    <row r="412" spans="2:24" ht="15" thickBot="1" x14ac:dyDescent="0.4">
      <c r="B412" s="1146"/>
      <c r="C412" s="36">
        <f>'Combustão Móvel'!B494</f>
        <v>0</v>
      </c>
      <c r="D412" s="148" t="str">
        <f>'Combustão Móvel'!Q494</f>
        <v/>
      </c>
      <c r="E412" s="162">
        <f>'Combustão Móvel'!H494</f>
        <v>0</v>
      </c>
      <c r="F412" s="153">
        <f t="shared" si="112"/>
        <v>0</v>
      </c>
      <c r="G412" s="153">
        <f t="shared" si="113"/>
        <v>0</v>
      </c>
      <c r="H412" s="153">
        <f t="shared" si="114"/>
        <v>0</v>
      </c>
      <c r="I412" s="153">
        <f t="shared" si="115"/>
        <v>0</v>
      </c>
      <c r="J412" s="153">
        <f t="shared" si="116"/>
        <v>0</v>
      </c>
      <c r="K412" s="154">
        <f t="shared" si="117"/>
        <v>0</v>
      </c>
      <c r="L412" s="66">
        <f>'Combustão Móvel'!H494</f>
        <v>0</v>
      </c>
      <c r="M412" s="67">
        <f>'Combustão Móvel'!I494</f>
        <v>0</v>
      </c>
      <c r="N412" s="153"/>
      <c r="O412" s="153">
        <f t="shared" si="118"/>
        <v>0</v>
      </c>
      <c r="P412" s="153"/>
      <c r="Q412" s="153"/>
      <c r="R412" s="153">
        <f t="shared" si="119"/>
        <v>0</v>
      </c>
      <c r="S412" s="153">
        <f t="shared" si="120"/>
        <v>0</v>
      </c>
      <c r="T412" s="164">
        <f t="shared" si="121"/>
        <v>0</v>
      </c>
      <c r="U412" s="164">
        <f t="shared" si="122"/>
        <v>0</v>
      </c>
      <c r="V412" s="137" t="str">
        <f t="shared" si="123"/>
        <v/>
      </c>
      <c r="W412" s="137" t="str">
        <f t="shared" si="124"/>
        <v/>
      </c>
      <c r="X412" s="137" t="str">
        <f t="shared" si="125"/>
        <v/>
      </c>
    </row>
    <row r="413" spans="2:24" ht="15" thickBot="1" x14ac:dyDescent="0.4">
      <c r="B413" s="1146"/>
      <c r="C413" s="36">
        <f>'Combustão Móvel'!B495</f>
        <v>0</v>
      </c>
      <c r="D413" s="148" t="str">
        <f>'Combustão Móvel'!Q495</f>
        <v/>
      </c>
      <c r="E413" s="162">
        <f>'Combustão Móvel'!H495</f>
        <v>0</v>
      </c>
      <c r="F413" s="153">
        <f t="shared" si="112"/>
        <v>0</v>
      </c>
      <c r="G413" s="153">
        <f t="shared" si="113"/>
        <v>0</v>
      </c>
      <c r="H413" s="153">
        <f t="shared" si="114"/>
        <v>0</v>
      </c>
      <c r="I413" s="153">
        <f t="shared" si="115"/>
        <v>0</v>
      </c>
      <c r="J413" s="153">
        <f t="shared" si="116"/>
        <v>0</v>
      </c>
      <c r="K413" s="154">
        <f t="shared" si="117"/>
        <v>0</v>
      </c>
      <c r="L413" s="66">
        <f>'Combustão Móvel'!H495</f>
        <v>0</v>
      </c>
      <c r="M413" s="67">
        <f>'Combustão Móvel'!I495</f>
        <v>0</v>
      </c>
      <c r="N413" s="153"/>
      <c r="O413" s="153">
        <f t="shared" si="118"/>
        <v>0</v>
      </c>
      <c r="P413" s="153"/>
      <c r="Q413" s="153"/>
      <c r="R413" s="153">
        <f t="shared" si="119"/>
        <v>0</v>
      </c>
      <c r="S413" s="153">
        <f t="shared" si="120"/>
        <v>0</v>
      </c>
      <c r="T413" s="164">
        <f t="shared" si="121"/>
        <v>0</v>
      </c>
      <c r="U413" s="164">
        <f t="shared" si="122"/>
        <v>0</v>
      </c>
      <c r="V413" s="137" t="str">
        <f t="shared" si="123"/>
        <v/>
      </c>
      <c r="W413" s="137" t="str">
        <f t="shared" si="124"/>
        <v/>
      </c>
      <c r="X413" s="137" t="str">
        <f t="shared" si="125"/>
        <v/>
      </c>
    </row>
    <row r="414" spans="2:24" ht="15" thickBot="1" x14ac:dyDescent="0.4">
      <c r="B414" s="1146"/>
      <c r="C414" s="36">
        <f>'Combustão Móvel'!B496</f>
        <v>0</v>
      </c>
      <c r="D414" s="148" t="str">
        <f>'Combustão Móvel'!Q496</f>
        <v/>
      </c>
      <c r="E414" s="162">
        <f>'Combustão Móvel'!H496</f>
        <v>0</v>
      </c>
      <c r="F414" s="153">
        <f t="shared" si="112"/>
        <v>0</v>
      </c>
      <c r="G414" s="153">
        <f t="shared" si="113"/>
        <v>0</v>
      </c>
      <c r="H414" s="153">
        <f t="shared" si="114"/>
        <v>0</v>
      </c>
      <c r="I414" s="153">
        <f t="shared" si="115"/>
        <v>0</v>
      </c>
      <c r="J414" s="153">
        <f t="shared" si="116"/>
        <v>0</v>
      </c>
      <c r="K414" s="154">
        <f t="shared" si="117"/>
        <v>0</v>
      </c>
      <c r="L414" s="66">
        <f>'Combustão Móvel'!H496</f>
        <v>0</v>
      </c>
      <c r="M414" s="67">
        <f>'Combustão Móvel'!I496</f>
        <v>0</v>
      </c>
      <c r="N414" s="153"/>
      <c r="O414" s="153">
        <f t="shared" si="118"/>
        <v>0</v>
      </c>
      <c r="P414" s="153"/>
      <c r="Q414" s="153"/>
      <c r="R414" s="153">
        <f t="shared" si="119"/>
        <v>0</v>
      </c>
      <c r="S414" s="153">
        <f t="shared" si="120"/>
        <v>0</v>
      </c>
      <c r="T414" s="164">
        <f t="shared" si="121"/>
        <v>0</v>
      </c>
      <c r="U414" s="164">
        <f t="shared" si="122"/>
        <v>0</v>
      </c>
      <c r="V414" s="137" t="str">
        <f t="shared" si="123"/>
        <v/>
      </c>
      <c r="W414" s="137" t="str">
        <f t="shared" si="124"/>
        <v/>
      </c>
      <c r="X414" s="137" t="str">
        <f t="shared" si="125"/>
        <v/>
      </c>
    </row>
    <row r="415" spans="2:24" ht="15" thickBot="1" x14ac:dyDescent="0.4">
      <c r="B415" s="1146"/>
      <c r="C415" s="36">
        <f>'Combustão Móvel'!B497</f>
        <v>0</v>
      </c>
      <c r="D415" s="148" t="str">
        <f>'Combustão Móvel'!Q497</f>
        <v/>
      </c>
      <c r="E415" s="162">
        <f>'Combustão Móvel'!H497</f>
        <v>0</v>
      </c>
      <c r="F415" s="153">
        <f t="shared" si="112"/>
        <v>0</v>
      </c>
      <c r="G415" s="153">
        <f t="shared" si="113"/>
        <v>0</v>
      </c>
      <c r="H415" s="153">
        <f t="shared" si="114"/>
        <v>0</v>
      </c>
      <c r="I415" s="153">
        <f t="shared" si="115"/>
        <v>0</v>
      </c>
      <c r="J415" s="153">
        <f t="shared" si="116"/>
        <v>0</v>
      </c>
      <c r="K415" s="154">
        <f t="shared" si="117"/>
        <v>0</v>
      </c>
      <c r="L415" s="66">
        <f>'Combustão Móvel'!H497</f>
        <v>0</v>
      </c>
      <c r="M415" s="67">
        <f>'Combustão Móvel'!I497</f>
        <v>0</v>
      </c>
      <c r="N415" s="153"/>
      <c r="O415" s="153">
        <f t="shared" si="118"/>
        <v>0</v>
      </c>
      <c r="P415" s="153"/>
      <c r="Q415" s="153"/>
      <c r="R415" s="153">
        <f t="shared" si="119"/>
        <v>0</v>
      </c>
      <c r="S415" s="153">
        <f t="shared" si="120"/>
        <v>0</v>
      </c>
      <c r="T415" s="164">
        <f t="shared" si="121"/>
        <v>0</v>
      </c>
      <c r="U415" s="164">
        <f t="shared" si="122"/>
        <v>0</v>
      </c>
      <c r="V415" s="137" t="str">
        <f t="shared" si="123"/>
        <v/>
      </c>
      <c r="W415" s="137" t="str">
        <f t="shared" si="124"/>
        <v/>
      </c>
      <c r="X415" s="137" t="str">
        <f t="shared" si="125"/>
        <v/>
      </c>
    </row>
    <row r="416" spans="2:24" ht="15" thickBot="1" x14ac:dyDescent="0.4">
      <c r="B416" s="1146"/>
      <c r="C416" s="36">
        <f>'Combustão Móvel'!B498</f>
        <v>0</v>
      </c>
      <c r="D416" s="148" t="str">
        <f>'Combustão Móvel'!Q498</f>
        <v/>
      </c>
      <c r="E416" s="162">
        <f>'Combustão Móvel'!H498</f>
        <v>0</v>
      </c>
      <c r="F416" s="153">
        <f>IF(C416=$F$20,D416,0)</f>
        <v>0</v>
      </c>
      <c r="G416" s="153">
        <f t="shared" si="113"/>
        <v>0</v>
      </c>
      <c r="H416" s="153">
        <f t="shared" si="114"/>
        <v>0</v>
      </c>
      <c r="I416" s="153">
        <f t="shared" si="115"/>
        <v>0</v>
      </c>
      <c r="J416" s="153">
        <f t="shared" si="116"/>
        <v>0</v>
      </c>
      <c r="K416" s="154">
        <f t="shared" si="117"/>
        <v>0</v>
      </c>
      <c r="L416" s="66">
        <f>'Combustão Móvel'!H498</f>
        <v>0</v>
      </c>
      <c r="M416" s="67">
        <f>'Combustão Móvel'!I498</f>
        <v>0</v>
      </c>
      <c r="N416" s="153"/>
      <c r="O416" s="153">
        <f t="shared" si="118"/>
        <v>0</v>
      </c>
      <c r="P416" s="153"/>
      <c r="Q416" s="153"/>
      <c r="R416" s="153">
        <f t="shared" si="119"/>
        <v>0</v>
      </c>
      <c r="S416" s="153">
        <f t="shared" si="120"/>
        <v>0</v>
      </c>
      <c r="T416" s="164">
        <f t="shared" si="121"/>
        <v>0</v>
      </c>
      <c r="U416" s="164">
        <f t="shared" si="122"/>
        <v>0</v>
      </c>
      <c r="V416" s="137" t="str">
        <f t="shared" si="123"/>
        <v/>
      </c>
      <c r="W416" s="137" t="str">
        <f t="shared" si="124"/>
        <v/>
      </c>
      <c r="X416" s="137" t="str">
        <f t="shared" si="125"/>
        <v/>
      </c>
    </row>
    <row r="417" spans="2:24" ht="15" thickBot="1" x14ac:dyDescent="0.4">
      <c r="B417" s="1146"/>
      <c r="C417" s="36">
        <f>'Combustão Móvel'!B499</f>
        <v>0</v>
      </c>
      <c r="D417" s="148" t="str">
        <f>'Combustão Móvel'!Q499</f>
        <v/>
      </c>
      <c r="E417" s="162">
        <f>'Combustão Móvel'!H499</f>
        <v>0</v>
      </c>
      <c r="F417" s="153">
        <f t="shared" si="112"/>
        <v>0</v>
      </c>
      <c r="G417" s="153">
        <f t="shared" si="113"/>
        <v>0</v>
      </c>
      <c r="H417" s="153">
        <f t="shared" si="114"/>
        <v>0</v>
      </c>
      <c r="I417" s="153">
        <f t="shared" si="115"/>
        <v>0</v>
      </c>
      <c r="J417" s="153">
        <f t="shared" si="116"/>
        <v>0</v>
      </c>
      <c r="K417" s="154">
        <f t="shared" si="117"/>
        <v>0</v>
      </c>
      <c r="L417" s="66">
        <f>'Combustão Móvel'!H499</f>
        <v>0</v>
      </c>
      <c r="M417" s="67">
        <f>'Combustão Móvel'!I499</f>
        <v>0</v>
      </c>
      <c r="N417" s="153"/>
      <c r="O417" s="153">
        <f t="shared" si="118"/>
        <v>0</v>
      </c>
      <c r="P417" s="153"/>
      <c r="Q417" s="153"/>
      <c r="R417" s="153">
        <f t="shared" si="119"/>
        <v>0</v>
      </c>
      <c r="S417" s="153">
        <f t="shared" si="120"/>
        <v>0</v>
      </c>
      <c r="T417" s="164">
        <f t="shared" si="121"/>
        <v>0</v>
      </c>
      <c r="U417" s="164">
        <f t="shared" si="122"/>
        <v>0</v>
      </c>
      <c r="V417" s="137" t="str">
        <f t="shared" si="123"/>
        <v/>
      </c>
      <c r="W417" s="137" t="str">
        <f t="shared" si="124"/>
        <v/>
      </c>
      <c r="X417" s="137" t="str">
        <f t="shared" si="125"/>
        <v/>
      </c>
    </row>
    <row r="418" spans="2:24" ht="15" thickBot="1" x14ac:dyDescent="0.4">
      <c r="B418" s="1146"/>
      <c r="C418" s="36">
        <f>'Combustão Móvel'!B500</f>
        <v>0</v>
      </c>
      <c r="D418" s="148" t="str">
        <f>'Combustão Móvel'!Q500</f>
        <v/>
      </c>
      <c r="E418" s="162">
        <f>'Combustão Móvel'!H500</f>
        <v>0</v>
      </c>
      <c r="F418" s="153">
        <f t="shared" si="112"/>
        <v>0</v>
      </c>
      <c r="G418" s="153">
        <f t="shared" si="113"/>
        <v>0</v>
      </c>
      <c r="H418" s="153">
        <f t="shared" si="114"/>
        <v>0</v>
      </c>
      <c r="I418" s="153">
        <f t="shared" si="115"/>
        <v>0</v>
      </c>
      <c r="J418" s="153">
        <f t="shared" si="116"/>
        <v>0</v>
      </c>
      <c r="K418" s="154">
        <f t="shared" si="117"/>
        <v>0</v>
      </c>
      <c r="L418" s="66">
        <f>'Combustão Móvel'!H500</f>
        <v>0</v>
      </c>
      <c r="M418" s="67">
        <f>'Combustão Móvel'!I500</f>
        <v>0</v>
      </c>
      <c r="N418" s="153"/>
      <c r="O418" s="153">
        <f t="shared" si="118"/>
        <v>0</v>
      </c>
      <c r="P418" s="153"/>
      <c r="Q418" s="153"/>
      <c r="R418" s="153">
        <f t="shared" si="119"/>
        <v>0</v>
      </c>
      <c r="S418" s="153">
        <f t="shared" si="120"/>
        <v>0</v>
      </c>
      <c r="T418" s="164">
        <f t="shared" si="121"/>
        <v>0</v>
      </c>
      <c r="U418" s="164">
        <f t="shared" si="122"/>
        <v>0</v>
      </c>
      <c r="V418" s="137" t="str">
        <f t="shared" si="123"/>
        <v/>
      </c>
      <c r="W418" s="137" t="str">
        <f t="shared" si="124"/>
        <v/>
      </c>
      <c r="X418" s="137" t="str">
        <f t="shared" si="125"/>
        <v/>
      </c>
    </row>
    <row r="419" spans="2:24" ht="15" thickBot="1" x14ac:dyDescent="0.4">
      <c r="B419" s="1146"/>
      <c r="C419" s="36">
        <f>'Combustão Móvel'!B501</f>
        <v>0</v>
      </c>
      <c r="D419" s="148" t="str">
        <f>'Combustão Móvel'!Q501</f>
        <v/>
      </c>
      <c r="E419" s="162">
        <f>'Combustão Móvel'!H501</f>
        <v>0</v>
      </c>
      <c r="F419" s="153">
        <f t="shared" si="112"/>
        <v>0</v>
      </c>
      <c r="G419" s="153">
        <f t="shared" si="113"/>
        <v>0</v>
      </c>
      <c r="H419" s="153">
        <f t="shared" si="114"/>
        <v>0</v>
      </c>
      <c r="I419" s="153">
        <f t="shared" si="115"/>
        <v>0</v>
      </c>
      <c r="J419" s="153">
        <f t="shared" si="116"/>
        <v>0</v>
      </c>
      <c r="K419" s="154">
        <f t="shared" si="117"/>
        <v>0</v>
      </c>
      <c r="L419" s="66">
        <f>'Combustão Móvel'!H501</f>
        <v>0</v>
      </c>
      <c r="M419" s="67">
        <f>'Combustão Móvel'!I501</f>
        <v>0</v>
      </c>
      <c r="N419" s="153"/>
      <c r="O419" s="153">
        <f t="shared" si="118"/>
        <v>0</v>
      </c>
      <c r="P419" s="153"/>
      <c r="Q419" s="153"/>
      <c r="R419" s="153">
        <f t="shared" si="119"/>
        <v>0</v>
      </c>
      <c r="S419" s="153">
        <f t="shared" si="120"/>
        <v>0</v>
      </c>
      <c r="T419" s="164">
        <f t="shared" si="121"/>
        <v>0</v>
      </c>
      <c r="U419" s="164">
        <f t="shared" si="122"/>
        <v>0</v>
      </c>
      <c r="V419" s="137" t="str">
        <f t="shared" si="123"/>
        <v/>
      </c>
      <c r="W419" s="137" t="str">
        <f t="shared" si="124"/>
        <v/>
      </c>
      <c r="X419" s="137" t="str">
        <f t="shared" si="125"/>
        <v/>
      </c>
    </row>
    <row r="420" spans="2:24" ht="15" thickBot="1" x14ac:dyDescent="0.4">
      <c r="B420" s="1147"/>
      <c r="C420" s="36">
        <f>'Combustão Móvel'!B502</f>
        <v>0</v>
      </c>
      <c r="D420" s="148" t="str">
        <f>'Combustão Móvel'!Q502</f>
        <v/>
      </c>
      <c r="E420" s="163">
        <f>'Combustão Móvel'!H502</f>
        <v>0</v>
      </c>
      <c r="F420" s="156">
        <f t="shared" si="112"/>
        <v>0</v>
      </c>
      <c r="G420" s="156">
        <f t="shared" si="113"/>
        <v>0</v>
      </c>
      <c r="H420" s="156">
        <f t="shared" si="114"/>
        <v>0</v>
      </c>
      <c r="I420" s="156">
        <f t="shared" si="115"/>
        <v>0</v>
      </c>
      <c r="J420" s="156">
        <f t="shared" si="116"/>
        <v>0</v>
      </c>
      <c r="K420" s="157">
        <f t="shared" si="117"/>
        <v>0</v>
      </c>
      <c r="L420" s="66">
        <f>'Combustão Móvel'!H502</f>
        <v>0</v>
      </c>
      <c r="M420" s="67">
        <f>'Combustão Móvel'!I502</f>
        <v>0</v>
      </c>
      <c r="N420" s="153"/>
      <c r="O420" s="153">
        <f t="shared" si="118"/>
        <v>0</v>
      </c>
      <c r="P420" s="153"/>
      <c r="Q420" s="153"/>
      <c r="R420" s="153">
        <f t="shared" si="119"/>
        <v>0</v>
      </c>
      <c r="S420" s="153">
        <f t="shared" si="120"/>
        <v>0</v>
      </c>
      <c r="T420" s="164">
        <f t="shared" si="121"/>
        <v>0</v>
      </c>
      <c r="U420" s="164">
        <f t="shared" si="122"/>
        <v>0</v>
      </c>
      <c r="V420" s="137" t="str">
        <f t="shared" si="123"/>
        <v/>
      </c>
      <c r="W420" s="137" t="str">
        <f t="shared" si="124"/>
        <v/>
      </c>
      <c r="X420" s="137" t="str">
        <f t="shared" si="125"/>
        <v/>
      </c>
    </row>
    <row r="421" spans="2:24" ht="15" thickBot="1" x14ac:dyDescent="0.4">
      <c r="F421" s="86">
        <f>SUMIF($C21:$C420,"Construção", $D21:$D420)</f>
        <v>0</v>
      </c>
      <c r="G421" s="86">
        <f>SUMIF($C21:$C420,"Exploração", $D21:$D420)</f>
        <v>0</v>
      </c>
      <c r="H421" s="86">
        <f>SUMIF($C21:$C420,"Desativação", $D21:$D420)</f>
        <v>0</v>
      </c>
      <c r="I421" s="68">
        <f>SUM(I21:I420)</f>
        <v>0</v>
      </c>
      <c r="J421" s="68">
        <f>SUM(J21:J420)</f>
        <v>0</v>
      </c>
      <c r="K421" s="69">
        <f>SUM(K21:K420)</f>
        <v>0</v>
      </c>
      <c r="N421" s="138"/>
      <c r="O421" s="138">
        <f t="shared" ref="O421:U421" si="126">SUM(O21:O420)</f>
        <v>0</v>
      </c>
      <c r="P421" s="138"/>
      <c r="Q421" s="138"/>
      <c r="R421" s="138">
        <f t="shared" si="126"/>
        <v>0</v>
      </c>
      <c r="S421" s="138">
        <f t="shared" si="126"/>
        <v>0</v>
      </c>
      <c r="T421" s="138">
        <f t="shared" si="126"/>
        <v>0</v>
      </c>
      <c r="U421" s="138">
        <f t="shared" si="126"/>
        <v>0</v>
      </c>
    </row>
    <row r="422" spans="2:24" x14ac:dyDescent="0.35">
      <c r="F422" s="1148" t="s">
        <v>46</v>
      </c>
      <c r="G422" s="1149"/>
      <c r="H422" s="1150"/>
      <c r="I422" s="1148" t="s">
        <v>45</v>
      </c>
      <c r="J422" s="1149"/>
      <c r="K422" s="1149"/>
      <c r="N422" s="1137"/>
      <c r="O422" s="1137" t="s">
        <v>545</v>
      </c>
      <c r="P422" s="1137"/>
      <c r="Q422" s="1137"/>
      <c r="R422" s="1138" t="s">
        <v>547</v>
      </c>
      <c r="S422" s="1138" t="s">
        <v>548</v>
      </c>
      <c r="T422" s="3" t="s">
        <v>541</v>
      </c>
      <c r="U422" s="3" t="s">
        <v>542</v>
      </c>
    </row>
    <row r="423" spans="2:24" ht="20" x14ac:dyDescent="0.35">
      <c r="F423" s="13" t="s">
        <v>25</v>
      </c>
      <c r="G423" s="14" t="s">
        <v>36</v>
      </c>
      <c r="H423" s="15" t="s">
        <v>255</v>
      </c>
      <c r="I423" s="13" t="s">
        <v>25</v>
      </c>
      <c r="J423" s="14" t="s">
        <v>36</v>
      </c>
      <c r="K423" s="15" t="s">
        <v>255</v>
      </c>
      <c r="N423" s="1135"/>
      <c r="O423" s="1135"/>
      <c r="P423" s="1135"/>
      <c r="Q423" s="1135"/>
      <c r="R423" s="1137"/>
      <c r="S423" s="1137"/>
    </row>
  </sheetData>
  <mergeCells count="23">
    <mergeCell ref="B321:B420"/>
    <mergeCell ref="F422:H422"/>
    <mergeCell ref="I422:K422"/>
    <mergeCell ref="B21:B120"/>
    <mergeCell ref="B121:B220"/>
    <mergeCell ref="B221:B320"/>
    <mergeCell ref="L19:L20"/>
    <mergeCell ref="M19:M20"/>
    <mergeCell ref="N19:N20"/>
    <mergeCell ref="F19:H19"/>
    <mergeCell ref="I19:K19"/>
    <mergeCell ref="T18:U19"/>
    <mergeCell ref="O19:O20"/>
    <mergeCell ref="P19:P20"/>
    <mergeCell ref="Q19:Q20"/>
    <mergeCell ref="N422:N423"/>
    <mergeCell ref="O422:O423"/>
    <mergeCell ref="P422:P423"/>
    <mergeCell ref="Q422:Q423"/>
    <mergeCell ref="R19:R20"/>
    <mergeCell ref="S19:S20"/>
    <mergeCell ref="R422:R423"/>
    <mergeCell ref="S422:S4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843D3-586B-4AE6-9CF4-5EBF4A0B7A74}">
  <sheetPr codeName="Folha11">
    <tabColor rgb="FF02A39C"/>
  </sheetPr>
  <dimension ref="A1:XFC224"/>
  <sheetViews>
    <sheetView showGridLines="0" topLeftCell="A143" zoomScale="55" zoomScaleNormal="55" workbookViewId="0">
      <selection activeCell="H85" sqref="H85"/>
    </sheetView>
  </sheetViews>
  <sheetFormatPr defaultColWidth="0" defaultRowHeight="15.5" zeroHeight="1" outlineLevelRow="2" x14ac:dyDescent="0.35"/>
  <cols>
    <col min="1" max="1" width="13.26953125" style="169" customWidth="1"/>
    <col min="2" max="2" width="20.81640625" style="169" customWidth="1"/>
    <col min="3" max="3" width="37.26953125" style="169" customWidth="1"/>
    <col min="4" max="4" width="21.81640625" style="171" customWidth="1"/>
    <col min="5" max="5" width="35.54296875" style="169" customWidth="1"/>
    <col min="6" max="6" width="18.7265625" style="169" customWidth="1"/>
    <col min="7" max="7" width="18.81640625" style="169" customWidth="1"/>
    <col min="8" max="8" width="19.7265625" style="169" customWidth="1"/>
    <col min="9" max="9" width="23.54296875" style="169" customWidth="1"/>
    <col min="10" max="10" width="17.7265625" style="169" customWidth="1"/>
    <col min="11" max="11" width="15.453125" style="169" customWidth="1"/>
    <col min="12" max="13" width="8.7265625" style="169" customWidth="1"/>
    <col min="14" max="14" width="3.54296875" style="169" customWidth="1"/>
    <col min="15" max="15" width="4.81640625" style="169" customWidth="1"/>
    <col min="16" max="16" width="5.26953125" style="169" customWidth="1"/>
    <col min="17" max="17" width="5" style="169" customWidth="1"/>
    <col min="18" max="16383" width="8.7265625" style="169" hidden="1"/>
    <col min="16384" max="16384" width="8.81640625" style="169" customWidth="1"/>
  </cols>
  <sheetData>
    <row r="1" spans="2:14" x14ac:dyDescent="0.35">
      <c r="D1" s="169"/>
    </row>
    <row r="2" spans="2:14" x14ac:dyDescent="0.35">
      <c r="D2" s="169"/>
    </row>
    <row r="3" spans="2:14" x14ac:dyDescent="0.35">
      <c r="D3" s="169"/>
    </row>
    <row r="4" spans="2:14" x14ac:dyDescent="0.35">
      <c r="D4" s="169"/>
    </row>
    <row r="5" spans="2:14" x14ac:dyDescent="0.35">
      <c r="D5" s="169"/>
    </row>
    <row r="6" spans="2:14" x14ac:dyDescent="0.35">
      <c r="C6" s="171"/>
      <c r="I6" s="171"/>
      <c r="J6" s="171"/>
    </row>
    <row r="7" spans="2:14" ht="18.5" x14ac:dyDescent="0.45">
      <c r="D7" s="1131" t="str">
        <f>IF(Triagem!C31="", "Não indicou na TRIAGEM se esta folha de adequa ao projeto", IF(Triagem!C31="Não", "Não necessita de preencher esta folha", "Folha a ser preenchida"))</f>
        <v>Não indicou na TRIAGEM se esta folha de adequa ao projeto</v>
      </c>
      <c r="E7" s="1131"/>
      <c r="F7" s="1131"/>
      <c r="G7" s="1131"/>
      <c r="H7" s="1131"/>
    </row>
    <row r="8" spans="2:14" x14ac:dyDescent="0.35">
      <c r="D8" s="376"/>
      <c r="E8" s="376"/>
      <c r="F8" s="376"/>
      <c r="G8" s="376"/>
      <c r="H8" s="376"/>
    </row>
    <row r="9" spans="2:14" ht="54.65" customHeight="1" outlineLevel="1" x14ac:dyDescent="0.35">
      <c r="B9" s="1165" t="s">
        <v>1320</v>
      </c>
      <c r="C9" s="1165"/>
      <c r="D9" s="1165"/>
      <c r="E9" s="1165"/>
      <c r="F9" s="1165"/>
      <c r="G9" s="1165"/>
      <c r="H9" s="1165"/>
      <c r="I9" s="1165"/>
      <c r="J9" s="1165"/>
      <c r="K9" s="1165"/>
      <c r="L9" s="1165"/>
      <c r="M9" s="1165"/>
      <c r="N9" s="1165"/>
    </row>
    <row r="10" spans="2:14" outlineLevel="1" x14ac:dyDescent="0.35">
      <c r="D10" s="169"/>
    </row>
    <row r="11" spans="2:14" outlineLevel="1" x14ac:dyDescent="0.35">
      <c r="B11" s="167" t="s">
        <v>0</v>
      </c>
      <c r="C11" s="172"/>
      <c r="D11" s="172"/>
      <c r="E11" s="172"/>
      <c r="F11" s="172"/>
      <c r="G11" s="172"/>
      <c r="H11" s="172"/>
      <c r="I11" s="172"/>
      <c r="J11" s="172"/>
      <c r="K11" s="172"/>
      <c r="L11" s="172"/>
      <c r="M11" s="172"/>
      <c r="N11" s="172"/>
    </row>
    <row r="12" spans="2:14" ht="13.9" customHeight="1" outlineLevel="1" x14ac:dyDescent="0.35">
      <c r="B12" s="1159" t="s">
        <v>719</v>
      </c>
      <c r="C12" s="1159"/>
      <c r="D12" s="1159"/>
      <c r="E12" s="1159"/>
      <c r="F12" s="1159"/>
      <c r="G12" s="1159"/>
      <c r="H12" s="1159"/>
      <c r="I12" s="1159"/>
      <c r="J12" s="1159"/>
      <c r="K12" s="1159"/>
      <c r="L12" s="1159"/>
      <c r="M12" s="1159"/>
      <c r="N12" s="1159"/>
    </row>
    <row r="13" spans="2:14" outlineLevel="1" x14ac:dyDescent="0.35">
      <c r="B13" s="1159"/>
      <c r="C13" s="1159"/>
      <c r="D13" s="1159"/>
      <c r="E13" s="1159"/>
      <c r="F13" s="1159"/>
      <c r="G13" s="1159"/>
      <c r="H13" s="1159"/>
      <c r="I13" s="1159"/>
      <c r="J13" s="1159"/>
      <c r="K13" s="1159"/>
      <c r="L13" s="1159"/>
      <c r="M13" s="1159"/>
      <c r="N13" s="1159"/>
    </row>
    <row r="14" spans="2:14" outlineLevel="1" x14ac:dyDescent="0.35">
      <c r="B14" s="924" t="s">
        <v>1074</v>
      </c>
      <c r="C14" s="229"/>
      <c r="D14" s="229"/>
      <c r="E14" s="229"/>
      <c r="F14" s="229"/>
      <c r="G14" s="229"/>
      <c r="H14" s="229"/>
      <c r="I14" s="229"/>
      <c r="J14" s="229"/>
      <c r="K14" s="229"/>
      <c r="L14" s="229"/>
      <c r="M14" s="229"/>
      <c r="N14" s="229"/>
    </row>
    <row r="15" spans="2:14" outlineLevel="1" x14ac:dyDescent="0.35">
      <c r="B15" s="925" t="s">
        <v>720</v>
      </c>
      <c r="C15" s="229"/>
      <c r="D15" s="229"/>
      <c r="E15" s="229"/>
      <c r="F15" s="229"/>
      <c r="G15" s="229"/>
      <c r="H15" s="229"/>
      <c r="I15" s="229"/>
      <c r="J15" s="229"/>
      <c r="K15" s="229"/>
      <c r="L15" s="229"/>
      <c r="M15" s="229"/>
      <c r="N15" s="229"/>
    </row>
    <row r="16" spans="2:14" outlineLevel="1" x14ac:dyDescent="0.35">
      <c r="B16" s="924" t="s">
        <v>721</v>
      </c>
      <c r="C16" s="229"/>
      <c r="D16" s="229"/>
      <c r="E16" s="229"/>
      <c r="F16" s="229"/>
      <c r="G16" s="229"/>
      <c r="H16" s="229"/>
      <c r="I16" s="229"/>
      <c r="J16" s="229"/>
      <c r="K16" s="229"/>
      <c r="L16" s="229"/>
      <c r="M16" s="229"/>
      <c r="N16" s="229"/>
    </row>
    <row r="17" spans="2:16" ht="27.65" customHeight="1" outlineLevel="1" x14ac:dyDescent="0.35">
      <c r="B17" s="926" t="s">
        <v>1319</v>
      </c>
      <c r="C17" s="229"/>
      <c r="D17" s="229"/>
      <c r="E17" s="229"/>
      <c r="F17" s="229"/>
      <c r="G17" s="229"/>
      <c r="H17" s="229"/>
      <c r="I17" s="229"/>
      <c r="J17" s="229"/>
      <c r="K17" s="229"/>
      <c r="L17" s="229"/>
      <c r="M17" s="229"/>
      <c r="N17" s="229"/>
    </row>
    <row r="18" spans="2:16" outlineLevel="1" x14ac:dyDescent="0.35">
      <c r="B18" s="177" t="s">
        <v>179</v>
      </c>
      <c r="C18" s="229"/>
      <c r="D18" s="229"/>
      <c r="E18" s="229"/>
      <c r="F18" s="229"/>
      <c r="G18" s="229"/>
      <c r="H18" s="229"/>
      <c r="I18" s="229"/>
      <c r="J18" s="229"/>
      <c r="K18" s="229"/>
      <c r="L18" s="229"/>
      <c r="M18" s="229"/>
      <c r="N18" s="229"/>
    </row>
    <row r="19" spans="2:16" outlineLevel="1" x14ac:dyDescent="0.35">
      <c r="B19" s="177" t="s">
        <v>605</v>
      </c>
      <c r="C19" s="229"/>
      <c r="D19" s="229"/>
      <c r="E19" s="229"/>
      <c r="F19" s="229"/>
      <c r="G19" s="229"/>
      <c r="H19" s="229"/>
      <c r="I19" s="229"/>
      <c r="J19" s="229"/>
      <c r="K19" s="229"/>
      <c r="L19" s="229"/>
      <c r="M19" s="229"/>
      <c r="N19" s="229"/>
    </row>
    <row r="20" spans="2:16" outlineLevel="1" x14ac:dyDescent="0.35">
      <c r="B20" s="345" t="s">
        <v>1294</v>
      </c>
      <c r="C20" s="229"/>
      <c r="D20" s="229"/>
      <c r="E20" s="229"/>
      <c r="F20" s="229"/>
      <c r="G20" s="229"/>
      <c r="H20" s="229"/>
      <c r="I20" s="229"/>
      <c r="J20" s="229"/>
      <c r="K20" s="229"/>
      <c r="L20" s="229"/>
      <c r="M20" s="229"/>
      <c r="N20" s="229"/>
    </row>
    <row r="21" spans="2:16" s="176" customFormat="1" outlineLevel="1" x14ac:dyDescent="0.35">
      <c r="B21" s="172" t="s">
        <v>724</v>
      </c>
      <c r="C21" s="177"/>
      <c r="D21" s="177"/>
      <c r="E21" s="177"/>
      <c r="F21" s="177"/>
      <c r="G21" s="177"/>
      <c r="H21" s="177"/>
      <c r="I21" s="177"/>
      <c r="J21" s="177"/>
      <c r="K21" s="177"/>
      <c r="L21" s="177"/>
      <c r="M21" s="177"/>
      <c r="N21" s="177"/>
    </row>
    <row r="22" spans="2:16" s="176" customFormat="1" ht="17.5" outlineLevel="1" x14ac:dyDescent="0.35">
      <c r="B22" s="345" t="s">
        <v>1306</v>
      </c>
      <c r="C22" s="177"/>
      <c r="D22" s="177"/>
      <c r="E22" s="177"/>
      <c r="F22" s="177"/>
      <c r="G22" s="177"/>
      <c r="H22" s="177"/>
      <c r="I22" s="177"/>
      <c r="J22" s="177"/>
      <c r="K22" s="177"/>
      <c r="L22" s="177"/>
      <c r="M22" s="177"/>
      <c r="N22" s="177"/>
    </row>
    <row r="23" spans="2:16" outlineLevel="1" x14ac:dyDescent="0.35">
      <c r="D23" s="169"/>
    </row>
    <row r="24" spans="2:16" s="538" customFormat="1" ht="30" customHeight="1" x14ac:dyDescent="0.35">
      <c r="B24" s="296" t="s">
        <v>722</v>
      </c>
    </row>
    <row r="25" spans="2:16" x14ac:dyDescent="0.35">
      <c r="D25" s="169"/>
    </row>
    <row r="26" spans="2:16" outlineLevel="1" x14ac:dyDescent="0.35">
      <c r="B26" s="167" t="s">
        <v>27</v>
      </c>
      <c r="C26" s="172"/>
      <c r="D26" s="172"/>
      <c r="E26" s="172"/>
      <c r="F26" s="172"/>
      <c r="G26" s="172"/>
      <c r="H26" s="172"/>
      <c r="I26" s="172"/>
      <c r="J26" s="172"/>
      <c r="K26" s="172"/>
      <c r="L26" s="172"/>
      <c r="M26" s="172"/>
      <c r="N26" s="172"/>
    </row>
    <row r="27" spans="2:16" outlineLevel="1" x14ac:dyDescent="0.35">
      <c r="B27" s="172" t="s">
        <v>900</v>
      </c>
      <c r="C27" s="172"/>
      <c r="D27" s="172"/>
      <c r="E27" s="172"/>
      <c r="F27" s="172"/>
      <c r="G27" s="172"/>
      <c r="H27" s="172"/>
      <c r="I27" s="172"/>
      <c r="J27" s="172"/>
      <c r="K27" s="172"/>
      <c r="L27" s="172"/>
      <c r="M27" s="172"/>
      <c r="N27" s="172"/>
    </row>
    <row r="28" spans="2:16" outlineLevel="1" x14ac:dyDescent="0.35">
      <c r="B28" s="425" t="s">
        <v>606</v>
      </c>
      <c r="C28" s="172"/>
      <c r="D28" s="172"/>
      <c r="E28" s="172"/>
      <c r="F28" s="172"/>
      <c r="G28" s="172"/>
      <c r="H28" s="172"/>
      <c r="I28" s="172"/>
      <c r="J28" s="172"/>
      <c r="K28" s="172"/>
      <c r="L28" s="172"/>
      <c r="M28" s="172"/>
      <c r="N28" s="172"/>
    </row>
    <row r="29" spans="2:16" outlineLevel="1" x14ac:dyDescent="0.35">
      <c r="B29" s="425" t="s">
        <v>1052</v>
      </c>
      <c r="C29" s="172"/>
      <c r="D29" s="172"/>
      <c r="E29" s="172"/>
      <c r="F29" s="172"/>
      <c r="G29" s="172"/>
      <c r="H29" s="172"/>
      <c r="I29" s="172"/>
      <c r="J29" s="927"/>
      <c r="K29" s="185"/>
      <c r="L29" s="185"/>
      <c r="M29" s="185"/>
      <c r="N29" s="185"/>
      <c r="O29" s="304"/>
      <c r="P29" s="304"/>
    </row>
    <row r="30" spans="2:16" outlineLevel="1" x14ac:dyDescent="0.35">
      <c r="B30" s="425" t="s">
        <v>181</v>
      </c>
      <c r="C30" s="172"/>
      <c r="D30" s="172"/>
      <c r="E30" s="172"/>
      <c r="F30" s="172"/>
      <c r="G30" s="172"/>
      <c r="H30" s="172"/>
      <c r="I30" s="172"/>
      <c r="J30" s="185"/>
      <c r="K30" s="185"/>
      <c r="L30" s="185"/>
      <c r="M30" s="185"/>
      <c r="N30" s="185"/>
      <c r="O30" s="304"/>
      <c r="P30" s="304"/>
    </row>
    <row r="31" spans="2:16" outlineLevel="1" x14ac:dyDescent="0.35">
      <c r="B31" s="172"/>
      <c r="C31" s="185" t="s">
        <v>760</v>
      </c>
      <c r="D31" s="172"/>
      <c r="E31" s="172"/>
      <c r="F31" s="172"/>
      <c r="G31" s="172"/>
      <c r="H31" s="172"/>
      <c r="I31" s="172"/>
      <c r="J31" s="185"/>
      <c r="K31" s="185"/>
      <c r="L31" s="185"/>
      <c r="M31" s="185"/>
      <c r="N31" s="185"/>
      <c r="O31" s="304"/>
      <c r="P31" s="304"/>
    </row>
    <row r="32" spans="2:16" outlineLevel="1" x14ac:dyDescent="0.35">
      <c r="B32" s="425"/>
      <c r="C32" s="425" t="s">
        <v>759</v>
      </c>
      <c r="D32" s="172"/>
      <c r="E32" s="172"/>
      <c r="F32" s="172"/>
      <c r="G32" s="172"/>
      <c r="H32" s="172"/>
      <c r="I32" s="172"/>
      <c r="J32" s="185"/>
      <c r="K32" s="185"/>
      <c r="L32" s="185"/>
      <c r="M32" s="185"/>
      <c r="N32" s="185"/>
      <c r="O32" s="304"/>
      <c r="P32" s="304"/>
    </row>
    <row r="33" spans="1:16" outlineLevel="1" x14ac:dyDescent="0.35">
      <c r="B33" s="425"/>
      <c r="C33" s="425" t="s">
        <v>1307</v>
      </c>
      <c r="D33" s="172"/>
      <c r="E33" s="172"/>
      <c r="F33" s="172"/>
      <c r="G33" s="172"/>
      <c r="H33" s="172"/>
      <c r="I33" s="172"/>
      <c r="J33" s="185"/>
      <c r="K33" s="185"/>
      <c r="L33" s="185"/>
      <c r="M33" s="185"/>
      <c r="N33" s="185"/>
      <c r="O33" s="304"/>
      <c r="P33" s="304"/>
    </row>
    <row r="34" spans="1:16" outlineLevel="1" x14ac:dyDescent="0.35">
      <c r="B34" s="172"/>
      <c r="C34" s="425" t="s">
        <v>1308</v>
      </c>
      <c r="D34" s="172"/>
      <c r="E34" s="172"/>
      <c r="F34" s="172"/>
      <c r="G34" s="172"/>
      <c r="H34" s="172"/>
      <c r="I34" s="172"/>
      <c r="J34" s="185"/>
      <c r="K34" s="185"/>
      <c r="L34" s="185"/>
      <c r="M34" s="185"/>
      <c r="N34" s="185"/>
      <c r="O34" s="304"/>
      <c r="P34" s="304"/>
    </row>
    <row r="35" spans="1:16" outlineLevel="1" x14ac:dyDescent="0.35">
      <c r="B35" s="172"/>
      <c r="C35" s="425" t="s">
        <v>1309</v>
      </c>
      <c r="D35" s="172"/>
      <c r="E35" s="172"/>
      <c r="F35" s="172"/>
      <c r="G35" s="172"/>
      <c r="H35" s="172"/>
      <c r="I35" s="172"/>
      <c r="J35" s="185"/>
      <c r="K35" s="185"/>
      <c r="L35" s="185"/>
      <c r="M35" s="185"/>
      <c r="N35" s="185"/>
      <c r="O35" s="304"/>
      <c r="P35" s="304"/>
    </row>
    <row r="36" spans="1:16" outlineLevel="1" x14ac:dyDescent="0.35">
      <c r="B36" s="172"/>
      <c r="C36" s="425" t="s">
        <v>1310</v>
      </c>
      <c r="D36" s="172"/>
      <c r="E36" s="172"/>
      <c r="F36" s="172"/>
      <c r="G36" s="172"/>
      <c r="H36" s="172"/>
      <c r="I36" s="172"/>
      <c r="J36" s="185"/>
      <c r="K36" s="185"/>
      <c r="L36" s="185"/>
      <c r="M36" s="185"/>
      <c r="N36" s="185"/>
      <c r="O36" s="304"/>
      <c r="P36" s="304"/>
    </row>
    <row r="37" spans="1:16" s="613" customFormat="1" ht="25.9" customHeight="1" outlineLevel="1" x14ac:dyDescent="0.35">
      <c r="B37" s="928"/>
      <c r="C37" s="929" t="s">
        <v>758</v>
      </c>
      <c r="D37" s="928"/>
      <c r="E37" s="928"/>
      <c r="F37" s="928"/>
      <c r="G37" s="928"/>
      <c r="H37" s="928"/>
      <c r="I37" s="928"/>
      <c r="J37" s="930"/>
      <c r="K37" s="930"/>
      <c r="L37" s="930"/>
      <c r="M37" s="930"/>
      <c r="N37" s="930"/>
      <c r="O37" s="614"/>
      <c r="P37" s="614"/>
    </row>
    <row r="38" spans="1:16" outlineLevel="1" x14ac:dyDescent="0.35">
      <c r="H38" s="171"/>
      <c r="J38" s="304"/>
      <c r="K38" s="304"/>
      <c r="L38" s="304"/>
      <c r="M38" s="304"/>
      <c r="N38" s="304"/>
      <c r="O38" s="304"/>
      <c r="P38" s="304"/>
    </row>
    <row r="39" spans="1:16" outlineLevel="1" x14ac:dyDescent="0.35">
      <c r="B39" s="169" t="s">
        <v>1053</v>
      </c>
      <c r="H39" s="171"/>
    </row>
    <row r="40" spans="1:16" ht="21.4" customHeight="1" outlineLevel="1" x14ac:dyDescent="0.35">
      <c r="B40" s="1089" t="s">
        <v>691</v>
      </c>
      <c r="C40" s="1160" t="s">
        <v>182</v>
      </c>
      <c r="D40" s="1158" t="s">
        <v>728</v>
      </c>
      <c r="E40" s="1158"/>
      <c r="F40" s="1101" t="s">
        <v>725</v>
      </c>
      <c r="G40" s="1166" t="s">
        <v>726</v>
      </c>
      <c r="H40" s="1167"/>
      <c r="I40" s="1101" t="s">
        <v>731</v>
      </c>
      <c r="J40" s="1172" t="s">
        <v>727</v>
      </c>
      <c r="K40" s="1089" t="s">
        <v>1311</v>
      </c>
    </row>
    <row r="41" spans="1:16" ht="32.65" customHeight="1" outlineLevel="1" x14ac:dyDescent="0.35">
      <c r="B41" s="1090"/>
      <c r="C41" s="1175"/>
      <c r="D41" s="923" t="s">
        <v>729</v>
      </c>
      <c r="E41" s="923" t="s">
        <v>730</v>
      </c>
      <c r="F41" s="1102"/>
      <c r="G41" s="1168"/>
      <c r="H41" s="1169"/>
      <c r="I41" s="1102"/>
      <c r="J41" s="1173"/>
      <c r="K41" s="1090"/>
    </row>
    <row r="42" spans="1:16" outlineLevel="1" x14ac:dyDescent="0.35">
      <c r="B42" s="1100"/>
      <c r="C42" s="1161"/>
      <c r="D42" s="362" t="s">
        <v>180</v>
      </c>
      <c r="E42" s="362" t="s">
        <v>180</v>
      </c>
      <c r="F42" s="1103"/>
      <c r="G42" s="1170"/>
      <c r="H42" s="1171"/>
      <c r="I42" s="1103"/>
      <c r="J42" s="1174"/>
      <c r="K42" s="1100"/>
    </row>
    <row r="43" spans="1:16" s="428" customFormat="1" ht="31" outlineLevel="1" x14ac:dyDescent="0.35">
      <c r="A43" s="317" t="s">
        <v>39</v>
      </c>
      <c r="B43" s="931" t="s">
        <v>1049</v>
      </c>
      <c r="C43" s="931" t="s">
        <v>183</v>
      </c>
      <c r="D43" s="1007">
        <f>VLOOKUP(C43,FAEF!$C$18:$K$26,7,FALSE)</f>
        <v>0.5</v>
      </c>
      <c r="E43" s="968"/>
      <c r="F43" s="932" t="s">
        <v>541</v>
      </c>
      <c r="G43" s="932" t="s">
        <v>732</v>
      </c>
      <c r="H43" s="933"/>
      <c r="I43" s="934">
        <v>1</v>
      </c>
      <c r="J43" s="935">
        <f>IF(F43="","",IF(F43="Sim",VLOOKUP(G43,'Fatores de Emissão'!$C$252:$E$363,3,FALSE),IF(H43=FAEF!$B$11,10,VLOOKUP(C43,FAEF!$C$18:$J$26,6,FALSE))))</f>
        <v>1</v>
      </c>
      <c r="K43" s="968">
        <v>0.20500000000000002</v>
      </c>
      <c r="N43" s="169"/>
    </row>
    <row r="44" spans="1:16" s="428" customFormat="1" outlineLevel="1" x14ac:dyDescent="0.35">
      <c r="B44" s="429"/>
      <c r="C44" s="429"/>
      <c r="D44" s="969" t="str">
        <f>IF(C44="","",VLOOKUP(C44,FAEF!$C$18:$J$26,7,FALSE))</f>
        <v/>
      </c>
      <c r="E44" s="970"/>
      <c r="F44" s="430"/>
      <c r="G44" s="430"/>
      <c r="H44" s="430"/>
      <c r="I44" s="441"/>
      <c r="J44" s="810" t="str">
        <f>IF(F44="","",IF(F44="Sim",VLOOKUP(G44,'Fatores de Emissão'!$C$252:$E$363,3,FALSE),IF(H44=FAEF!$B$11,10,VLOOKUP(C44,FAEF!$C$18:$J$26,8,FALSE))))</f>
        <v/>
      </c>
      <c r="K44" s="971" t="str">
        <f>FAEF!S31</f>
        <v/>
      </c>
      <c r="N44" s="169"/>
    </row>
    <row r="45" spans="1:16" s="428" customFormat="1" outlineLevel="1" x14ac:dyDescent="0.35">
      <c r="B45" s="429"/>
      <c r="C45" s="429"/>
      <c r="D45" s="969" t="str">
        <f>IF(C45="","",VLOOKUP(C45,FAEF!$C$18:$J$26,7,FALSE))</f>
        <v/>
      </c>
      <c r="E45" s="970"/>
      <c r="F45" s="430"/>
      <c r="G45" s="430"/>
      <c r="H45" s="430"/>
      <c r="I45" s="441"/>
      <c r="J45" s="810" t="str">
        <f>IF(F45="","",IF(F45="Sim",VLOOKUP(G45,'Fatores de Emissão'!$C$252:$E$363,3,FALSE),IF(H45=FAEF!$B$11,10,VLOOKUP(C45,FAEF!$C$18:$J$26,8,FALSE))))</f>
        <v/>
      </c>
      <c r="K45" s="971" t="str">
        <f>FAEF!S32</f>
        <v/>
      </c>
      <c r="N45" s="169"/>
    </row>
    <row r="46" spans="1:16" s="428" customFormat="1" outlineLevel="1" x14ac:dyDescent="0.35">
      <c r="B46" s="429"/>
      <c r="C46" s="429"/>
      <c r="D46" s="969" t="str">
        <f>IF(C46="","",VLOOKUP(C46,FAEF!$C$18:$J$26,7,FALSE))</f>
        <v/>
      </c>
      <c r="E46" s="970"/>
      <c r="F46" s="430"/>
      <c r="G46" s="430"/>
      <c r="H46" s="430"/>
      <c r="I46" s="441"/>
      <c r="J46" s="810" t="str">
        <f>IF(F46="","",IF(F46="Sim",VLOOKUP(G46,'Fatores de Emissão'!$C$252:$E$363,3,FALSE),IF(H46=FAEF!$B$11,10,VLOOKUP(C46,FAEF!$C$18:$J$26,8,FALSE))))</f>
        <v/>
      </c>
      <c r="K46" s="971" t="str">
        <f>FAEF!S33</f>
        <v/>
      </c>
      <c r="N46" s="169"/>
    </row>
    <row r="47" spans="1:16" s="428" customFormat="1" outlineLevel="1" x14ac:dyDescent="0.35">
      <c r="B47" s="429"/>
      <c r="C47" s="429"/>
      <c r="D47" s="969" t="str">
        <f>IF(C47="","",VLOOKUP(C47,FAEF!$C$18:$J$26,7,FALSE))</f>
        <v/>
      </c>
      <c r="E47" s="970"/>
      <c r="F47" s="430"/>
      <c r="G47" s="430"/>
      <c r="H47" s="430"/>
      <c r="I47" s="441"/>
      <c r="J47" s="810" t="str">
        <f>IF(F47="","",IF(F47="Sim",VLOOKUP(G47,'Fatores de Emissão'!$C$252:$E$363,3,FALSE),IF(H47=FAEF!$B$11,10,VLOOKUP(C47,FAEF!$C$18:$J$26,8,FALSE))))</f>
        <v/>
      </c>
      <c r="K47" s="971" t="str">
        <f>FAEF!S34</f>
        <v/>
      </c>
      <c r="N47" s="169"/>
    </row>
    <row r="48" spans="1:16" s="428" customFormat="1" outlineLevel="1" x14ac:dyDescent="0.35">
      <c r="B48" s="429"/>
      <c r="C48" s="429"/>
      <c r="D48" s="969" t="str">
        <f>IF(C48="","",VLOOKUP(C48,FAEF!$C$18:$J$26,7,FALSE))</f>
        <v/>
      </c>
      <c r="E48" s="970"/>
      <c r="F48" s="430"/>
      <c r="G48" s="430"/>
      <c r="H48" s="430"/>
      <c r="I48" s="441"/>
      <c r="J48" s="810" t="str">
        <f>IF(F48="","",IF(F48="Sim",VLOOKUP(G48,'Fatores de Emissão'!$C$252:$E$363,3,FALSE),IF(H48=FAEF!$B$11,10,VLOOKUP(C48,FAEF!$C$18:$J$26,8,FALSE))))</f>
        <v/>
      </c>
      <c r="K48" s="971" t="str">
        <f>FAEF!S35</f>
        <v/>
      </c>
      <c r="N48" s="169"/>
    </row>
    <row r="49" spans="2:14" s="428" customFormat="1" outlineLevel="1" x14ac:dyDescent="0.35">
      <c r="B49" s="429"/>
      <c r="C49" s="429"/>
      <c r="D49" s="969" t="str">
        <f>IF(C49="","",VLOOKUP(C49,FAEF!$C$18:$J$26,7,FALSE))</f>
        <v/>
      </c>
      <c r="E49" s="970"/>
      <c r="F49" s="430"/>
      <c r="G49" s="430"/>
      <c r="H49" s="430"/>
      <c r="I49" s="441"/>
      <c r="J49" s="810" t="str">
        <f>IF(F49="","",IF(F49="Sim",VLOOKUP(G49,'Fatores de Emissão'!$C$252:$E$363,3,FALSE),IF(H49=FAEF!$B$11,10,VLOOKUP(C49,FAEF!$C$18:$J$26,8,FALSE))))</f>
        <v/>
      </c>
      <c r="K49" s="971" t="str">
        <f>FAEF!S36</f>
        <v/>
      </c>
      <c r="N49" s="169"/>
    </row>
    <row r="50" spans="2:14" s="428" customFormat="1" outlineLevel="1" x14ac:dyDescent="0.35">
      <c r="B50" s="429"/>
      <c r="C50" s="429"/>
      <c r="D50" s="969" t="str">
        <f>IF(C50="","",VLOOKUP(C50,FAEF!$C$18:$J$26,7,FALSE))</f>
        <v/>
      </c>
      <c r="E50" s="970"/>
      <c r="F50" s="430"/>
      <c r="G50" s="430"/>
      <c r="H50" s="430"/>
      <c r="I50" s="441"/>
      <c r="J50" s="810" t="str">
        <f>IF(F50="","",IF(F50="Sim",VLOOKUP(G50,'Fatores de Emissão'!$C$252:$E$363,3,FALSE),IF(H50=FAEF!$B$11,10,VLOOKUP(C50,FAEF!$C$18:$J$26,8,FALSE))))</f>
        <v/>
      </c>
      <c r="K50" s="971" t="str">
        <f>FAEF!S37</f>
        <v/>
      </c>
      <c r="N50" s="169"/>
    </row>
    <row r="51" spans="2:14" s="428" customFormat="1" outlineLevel="1" x14ac:dyDescent="0.35">
      <c r="B51" s="429"/>
      <c r="C51" s="429"/>
      <c r="D51" s="969" t="str">
        <f>IF(C51="","",VLOOKUP(C51,FAEF!$C$18:$J$26,7,FALSE))</f>
        <v/>
      </c>
      <c r="E51" s="970"/>
      <c r="F51" s="430"/>
      <c r="G51" s="430"/>
      <c r="H51" s="430"/>
      <c r="I51" s="441"/>
      <c r="J51" s="810" t="str">
        <f>IF(F51="","",IF(F51="Sim",VLOOKUP(G51,'Fatores de Emissão'!$C$252:$E$363,3,FALSE),IF(H51=FAEF!$B$11,10,VLOOKUP(C51,FAEF!$C$18:$J$26,8,FALSE))))</f>
        <v/>
      </c>
      <c r="K51" s="971" t="str">
        <f>FAEF!S38</f>
        <v/>
      </c>
      <c r="N51" s="169"/>
    </row>
    <row r="52" spans="2:14" s="428" customFormat="1" outlineLevel="1" x14ac:dyDescent="0.35">
      <c r="B52" s="429"/>
      <c r="C52" s="429"/>
      <c r="D52" s="969" t="str">
        <f>IF(C52="","",VLOOKUP(C52,FAEF!$C$18:$J$26,7,FALSE))</f>
        <v/>
      </c>
      <c r="E52" s="970"/>
      <c r="F52" s="430"/>
      <c r="G52" s="430"/>
      <c r="H52" s="430"/>
      <c r="I52" s="441"/>
      <c r="J52" s="810" t="str">
        <f>IF(F52="","",IF(F52="Sim",VLOOKUP(G52,'Fatores de Emissão'!$C$252:$E$363,3,FALSE),IF(H52=FAEF!$B$11,10,VLOOKUP(C52,FAEF!$C$18:$J$26,8,FALSE))))</f>
        <v/>
      </c>
      <c r="K52" s="971" t="str">
        <f>FAEF!S39</f>
        <v/>
      </c>
      <c r="N52" s="169"/>
    </row>
    <row r="53" spans="2:14" s="428" customFormat="1" outlineLevel="1" x14ac:dyDescent="0.35">
      <c r="B53" s="429"/>
      <c r="C53" s="429"/>
      <c r="D53" s="969" t="str">
        <f>IF(C53="","",VLOOKUP(C53,FAEF!$C$18:$J$26,7,FALSE))</f>
        <v/>
      </c>
      <c r="E53" s="970"/>
      <c r="F53" s="430"/>
      <c r="G53" s="430"/>
      <c r="H53" s="430"/>
      <c r="I53" s="441"/>
      <c r="J53" s="810" t="str">
        <f>IF(F53="","",IF(F53="Sim",VLOOKUP(G53,'Fatores de Emissão'!$C$252:$E$363,3,FALSE),IF(H53=FAEF!$B$11,10,VLOOKUP(C53,FAEF!$C$18:$J$26,8,FALSE))))</f>
        <v/>
      </c>
      <c r="K53" s="971" t="str">
        <f>FAEF!S40</f>
        <v/>
      </c>
      <c r="N53" s="169"/>
    </row>
    <row r="54" spans="2:14" s="428" customFormat="1" outlineLevel="1" x14ac:dyDescent="0.35">
      <c r="B54" s="429"/>
      <c r="C54" s="429"/>
      <c r="D54" s="969" t="str">
        <f>IF(C54="","",VLOOKUP(C54,FAEF!$C$18:$J$26,7,FALSE))</f>
        <v/>
      </c>
      <c r="E54" s="970"/>
      <c r="F54" s="430"/>
      <c r="G54" s="430"/>
      <c r="H54" s="430"/>
      <c r="I54" s="441"/>
      <c r="J54" s="810" t="str">
        <f>IF(F54="","",IF(F54="Sim",VLOOKUP(G54,'Fatores de Emissão'!$C$252:$E$363,3,FALSE),IF(H54=FAEF!$B$11,10,VLOOKUP(C54,FAEF!$C$18:$J$26,8,FALSE))))</f>
        <v/>
      </c>
      <c r="K54" s="971" t="str">
        <f>FAEF!S41</f>
        <v/>
      </c>
      <c r="N54" s="169"/>
    </row>
    <row r="55" spans="2:14" s="428" customFormat="1" outlineLevel="1" x14ac:dyDescent="0.35">
      <c r="B55" s="429"/>
      <c r="C55" s="429"/>
      <c r="D55" s="969" t="str">
        <f>IF(C55="","",VLOOKUP(C55,FAEF!$C$18:$J$26,7,FALSE))</f>
        <v/>
      </c>
      <c r="E55" s="970"/>
      <c r="F55" s="430"/>
      <c r="G55" s="430"/>
      <c r="H55" s="430"/>
      <c r="I55" s="441"/>
      <c r="J55" s="810" t="str">
        <f>IF(F55="","",IF(F55="Sim",VLOOKUP(G55,'Fatores de Emissão'!$C$252:$E$363,3,FALSE),IF(H55=FAEF!$B$11,10,VLOOKUP(C55,FAEF!$C$18:$J$26,8,FALSE))))</f>
        <v/>
      </c>
      <c r="K55" s="971" t="str">
        <f>FAEF!S42</f>
        <v/>
      </c>
      <c r="N55" s="169"/>
    </row>
    <row r="56" spans="2:14" s="428" customFormat="1" outlineLevel="1" x14ac:dyDescent="0.35">
      <c r="B56" s="429"/>
      <c r="C56" s="429"/>
      <c r="D56" s="969" t="str">
        <f>IF(C56="","",VLOOKUP(C56,FAEF!$C$18:$J$26,7,FALSE))</f>
        <v/>
      </c>
      <c r="E56" s="970"/>
      <c r="F56" s="430"/>
      <c r="G56" s="430"/>
      <c r="H56" s="430"/>
      <c r="I56" s="441"/>
      <c r="J56" s="810" t="str">
        <f>IF(F56="","",IF(F56="Sim",VLOOKUP(G56,'Fatores de Emissão'!$C$252:$E$363,3,FALSE),IF(H56=FAEF!$B$11,10,VLOOKUP(C56,FAEF!$C$18:$J$26,8,FALSE))))</f>
        <v/>
      </c>
      <c r="K56" s="971" t="str">
        <f>FAEF!S43</f>
        <v/>
      </c>
      <c r="N56" s="169"/>
    </row>
    <row r="57" spans="2:14" s="428" customFormat="1" outlineLevel="1" x14ac:dyDescent="0.35">
      <c r="B57" s="429"/>
      <c r="C57" s="429"/>
      <c r="D57" s="969" t="str">
        <f>IF(C57="","",VLOOKUP(C57,FAEF!$C$18:$J$26,7,FALSE))</f>
        <v/>
      </c>
      <c r="E57" s="970"/>
      <c r="F57" s="430"/>
      <c r="G57" s="430"/>
      <c r="H57" s="430"/>
      <c r="I57" s="441"/>
      <c r="J57" s="810" t="str">
        <f>IF(F57="","",IF(F57="Sim",VLOOKUP(G57,'Fatores de Emissão'!$C$252:$E$363,3,FALSE),IF(H57=FAEF!$B$11,10,VLOOKUP(C57,FAEF!$C$18:$J$26,8,FALSE))))</f>
        <v/>
      </c>
      <c r="K57" s="971" t="str">
        <f>FAEF!S44</f>
        <v/>
      </c>
      <c r="N57" s="169"/>
    </row>
    <row r="58" spans="2:14" s="428" customFormat="1" outlineLevel="1" x14ac:dyDescent="0.35">
      <c r="B58" s="429"/>
      <c r="C58" s="429"/>
      <c r="D58" s="969" t="str">
        <f>IF(C58="","",VLOOKUP(C58,FAEF!$C$18:$J$26,7,FALSE))</f>
        <v/>
      </c>
      <c r="E58" s="970"/>
      <c r="F58" s="430"/>
      <c r="G58" s="430"/>
      <c r="H58" s="430"/>
      <c r="I58" s="441"/>
      <c r="J58" s="810" t="str">
        <f>IF(F58="","",IF(F58="Sim",VLOOKUP(G58,'Fatores de Emissão'!$C$252:$E$363,3,FALSE),IF(H58=FAEF!$B$11,10,VLOOKUP(C58,FAEF!$C$18:$J$26,8,FALSE))))</f>
        <v/>
      </c>
      <c r="K58" s="971" t="str">
        <f>FAEF!S45</f>
        <v/>
      </c>
      <c r="N58" s="169"/>
    </row>
    <row r="59" spans="2:14" s="428" customFormat="1" outlineLevel="1" x14ac:dyDescent="0.35">
      <c r="B59" s="429"/>
      <c r="C59" s="429"/>
      <c r="D59" s="969" t="str">
        <f>IF(C59="","",VLOOKUP(C59,FAEF!$C$18:$J$26,7,FALSE))</f>
        <v/>
      </c>
      <c r="E59" s="970"/>
      <c r="F59" s="430"/>
      <c r="G59" s="430"/>
      <c r="H59" s="430"/>
      <c r="I59" s="441"/>
      <c r="J59" s="810" t="str">
        <f>IF(F59="","",IF(F59="Sim",VLOOKUP(G59,'Fatores de Emissão'!$C$252:$E$363,3,FALSE),IF(H59=FAEF!$B$11,10,VLOOKUP(C59,FAEF!$C$18:$J$26,8,FALSE))))</f>
        <v/>
      </c>
      <c r="K59" s="971" t="str">
        <f>FAEF!S46</f>
        <v/>
      </c>
      <c r="N59" s="169"/>
    </row>
    <row r="60" spans="2:14" s="428" customFormat="1" outlineLevel="1" x14ac:dyDescent="0.35">
      <c r="B60" s="429"/>
      <c r="C60" s="429"/>
      <c r="D60" s="969" t="str">
        <f>IF(C60="","",VLOOKUP(C60,FAEF!$C$18:$J$26,7,FALSE))</f>
        <v/>
      </c>
      <c r="E60" s="970"/>
      <c r="F60" s="430"/>
      <c r="G60" s="430"/>
      <c r="H60" s="430"/>
      <c r="I60" s="441"/>
      <c r="J60" s="810" t="str">
        <f>IF(F60="","",IF(F60="Sim",VLOOKUP(G60,'Fatores de Emissão'!$C$252:$E$363,3,FALSE),IF(H60=FAEF!$B$11,10,VLOOKUP(C60,FAEF!$C$18:$J$26,8,FALSE))))</f>
        <v/>
      </c>
      <c r="K60" s="971" t="str">
        <f>FAEF!S47</f>
        <v/>
      </c>
      <c r="N60" s="169"/>
    </row>
    <row r="61" spans="2:14" s="428" customFormat="1" outlineLevel="1" x14ac:dyDescent="0.35">
      <c r="B61" s="429"/>
      <c r="C61" s="429"/>
      <c r="D61" s="969" t="str">
        <f>IF(C61="","",VLOOKUP(C61,FAEF!$C$18:$J$26,7,FALSE))</f>
        <v/>
      </c>
      <c r="E61" s="970"/>
      <c r="F61" s="430"/>
      <c r="G61" s="430"/>
      <c r="H61" s="430"/>
      <c r="I61" s="441"/>
      <c r="J61" s="810" t="str">
        <f>IF(F61="","",IF(F61="Sim",VLOOKUP(G61,'Fatores de Emissão'!$C$252:$E$363,3,FALSE),IF(H61=FAEF!$B$11,10,VLOOKUP(C61,FAEF!$C$18:$J$26,8,FALSE))))</f>
        <v/>
      </c>
      <c r="K61" s="971" t="str">
        <f>FAEF!S48</f>
        <v/>
      </c>
      <c r="N61" s="169"/>
    </row>
    <row r="62" spans="2:14" s="428" customFormat="1" outlineLevel="1" x14ac:dyDescent="0.35">
      <c r="B62" s="429"/>
      <c r="C62" s="429"/>
      <c r="D62" s="969" t="str">
        <f>IF(C62="","",VLOOKUP(C62,FAEF!$C$18:$J$26,7,FALSE))</f>
        <v/>
      </c>
      <c r="E62" s="970"/>
      <c r="F62" s="430"/>
      <c r="G62" s="430"/>
      <c r="H62" s="430"/>
      <c r="I62" s="441"/>
      <c r="J62" s="810" t="str">
        <f>IF(F62="","",IF(F62="Sim",VLOOKUP(G62,'Fatores de Emissão'!$C$252:$E$363,3,FALSE),IF(H62=FAEF!$B$11,10,VLOOKUP(C62,FAEF!$C$18:$J$26,8,FALSE))))</f>
        <v/>
      </c>
      <c r="K62" s="971" t="str">
        <f>FAEF!S49</f>
        <v/>
      </c>
      <c r="N62" s="169"/>
    </row>
    <row r="63" spans="2:14" s="428" customFormat="1" outlineLevel="1" x14ac:dyDescent="0.35">
      <c r="B63" s="429"/>
      <c r="C63" s="429"/>
      <c r="D63" s="969" t="str">
        <f>IF(C63="","",VLOOKUP(C63,FAEF!$C$18:$J$26,7,FALSE))</f>
        <v/>
      </c>
      <c r="E63" s="970"/>
      <c r="F63" s="430"/>
      <c r="G63" s="430"/>
      <c r="H63" s="430"/>
      <c r="I63" s="441"/>
      <c r="J63" s="810" t="str">
        <f>IF(F63="","",IF(F63="Sim",VLOOKUP(G63,'Fatores de Emissão'!$C$252:$E$363,3,FALSE),IF(H63=FAEF!$B$11,10,VLOOKUP(C63,FAEF!$C$18:$J$26,8,FALSE))))</f>
        <v/>
      </c>
      <c r="K63" s="971" t="str">
        <f>FAEF!S50</f>
        <v/>
      </c>
      <c r="N63" s="169"/>
    </row>
    <row r="64" spans="2:14" s="428" customFormat="1" outlineLevel="1" x14ac:dyDescent="0.35">
      <c r="B64" s="429"/>
      <c r="C64" s="429"/>
      <c r="D64" s="969" t="str">
        <f>IF(C64="","",VLOOKUP(C64,FAEF!$C$18:$J$26,7,FALSE))</f>
        <v/>
      </c>
      <c r="E64" s="970"/>
      <c r="F64" s="430"/>
      <c r="G64" s="430"/>
      <c r="H64" s="430"/>
      <c r="I64" s="441"/>
      <c r="J64" s="810" t="str">
        <f>IF(F64="","",IF(F64="Sim",VLOOKUP(G64,'Fatores de Emissão'!$C$252:$E$363,3,FALSE),IF(H64=FAEF!$B$11,10,VLOOKUP(C64,FAEF!$C$18:$J$26,8,FALSE))))</f>
        <v/>
      </c>
      <c r="K64" s="971" t="str">
        <f>FAEF!S51</f>
        <v/>
      </c>
      <c r="N64" s="169"/>
    </row>
    <row r="65" spans="2:11" outlineLevel="1" x14ac:dyDescent="0.35">
      <c r="B65" s="278" t="s">
        <v>40</v>
      </c>
      <c r="C65" s="279"/>
      <c r="D65" s="279"/>
      <c r="E65" s="279"/>
      <c r="F65" s="279"/>
      <c r="G65" s="279"/>
      <c r="H65" s="279"/>
      <c r="I65" s="279"/>
      <c r="J65" s="811"/>
      <c r="K65" s="972">
        <f>SUM(K44:K64)</f>
        <v>0</v>
      </c>
    </row>
    <row r="66" spans="2:11" outlineLevel="1" x14ac:dyDescent="0.35">
      <c r="H66" s="171"/>
    </row>
    <row r="67" spans="2:11" outlineLevel="1" x14ac:dyDescent="0.35">
      <c r="H67" s="171"/>
    </row>
    <row r="68" spans="2:11" s="538" customFormat="1" ht="30" customHeight="1" x14ac:dyDescent="0.35">
      <c r="B68" s="296" t="s">
        <v>723</v>
      </c>
    </row>
    <row r="69" spans="2:11" x14ac:dyDescent="0.35">
      <c r="H69" s="171"/>
    </row>
    <row r="70" spans="2:11" outlineLevel="1" x14ac:dyDescent="0.35">
      <c r="B70" s="167" t="s">
        <v>27</v>
      </c>
      <c r="C70" s="172"/>
      <c r="D70" s="172"/>
      <c r="E70" s="172"/>
      <c r="F70" s="172"/>
      <c r="G70" s="172"/>
      <c r="H70" s="172"/>
      <c r="I70" s="172"/>
      <c r="J70" s="172"/>
    </row>
    <row r="71" spans="2:11" outlineLevel="1" x14ac:dyDescent="0.35">
      <c r="B71" s="172" t="s">
        <v>851</v>
      </c>
      <c r="C71" s="172"/>
      <c r="D71" s="172"/>
      <c r="E71" s="172"/>
      <c r="F71" s="172"/>
      <c r="G71" s="172"/>
      <c r="H71" s="172"/>
      <c r="I71" s="172"/>
      <c r="J71" s="172"/>
    </row>
    <row r="72" spans="2:11" outlineLevel="1" x14ac:dyDescent="0.35">
      <c r="B72" s="172" t="s">
        <v>1105</v>
      </c>
      <c r="C72" s="172"/>
      <c r="D72" s="172"/>
      <c r="E72" s="172"/>
      <c r="F72" s="172"/>
      <c r="G72" s="172"/>
      <c r="H72" s="172"/>
      <c r="I72" s="172"/>
      <c r="J72" s="172"/>
    </row>
    <row r="73" spans="2:11" outlineLevel="1" x14ac:dyDescent="0.35">
      <c r="B73" s="172" t="s">
        <v>1312</v>
      </c>
      <c r="C73" s="425"/>
      <c r="D73" s="172"/>
      <c r="E73" s="172"/>
      <c r="F73" s="172"/>
      <c r="G73" s="172"/>
      <c r="H73" s="172"/>
      <c r="I73" s="172"/>
      <c r="J73" s="172"/>
    </row>
    <row r="74" spans="2:11" ht="34.9" customHeight="1" outlineLevel="1" x14ac:dyDescent="0.35">
      <c r="B74" s="1162" t="s">
        <v>1075</v>
      </c>
      <c r="C74" s="1162"/>
      <c r="D74" s="1162"/>
      <c r="E74" s="1162"/>
      <c r="F74" s="1162"/>
      <c r="G74" s="1162"/>
      <c r="H74" s="1162"/>
      <c r="I74" s="1162"/>
      <c r="J74" s="1162"/>
    </row>
    <row r="75" spans="2:11" ht="21.65" customHeight="1" outlineLevel="1" x14ac:dyDescent="0.35">
      <c r="B75" s="1162" t="s">
        <v>1318</v>
      </c>
      <c r="C75" s="1162"/>
      <c r="D75" s="1162"/>
      <c r="E75" s="1162"/>
      <c r="F75" s="1162"/>
      <c r="G75" s="1162"/>
      <c r="H75" s="1162"/>
      <c r="I75" s="1162"/>
      <c r="J75" s="1162"/>
    </row>
    <row r="76" spans="2:11" ht="36" customHeight="1" outlineLevel="1" x14ac:dyDescent="0.35">
      <c r="B76" s="1162" t="s">
        <v>1313</v>
      </c>
      <c r="C76" s="1162"/>
      <c r="D76" s="1162"/>
      <c r="E76" s="1162"/>
      <c r="F76" s="1162"/>
      <c r="G76" s="1162"/>
      <c r="H76" s="1162"/>
      <c r="I76" s="1162"/>
      <c r="J76" s="1162"/>
    </row>
    <row r="77" spans="2:11" outlineLevel="1" x14ac:dyDescent="0.35">
      <c r="C77" s="431"/>
      <c r="H77" s="171"/>
    </row>
    <row r="78" spans="2:11" ht="17.5" outlineLevel="1" x14ac:dyDescent="0.45">
      <c r="B78" s="169" t="s">
        <v>1317</v>
      </c>
      <c r="H78" s="171"/>
    </row>
    <row r="79" spans="2:11" s="314" customFormat="1" ht="51.65" customHeight="1" outlineLevel="1" x14ac:dyDescent="0.35">
      <c r="B79" s="1089" t="s">
        <v>598</v>
      </c>
      <c r="C79" s="1160" t="s">
        <v>763</v>
      </c>
      <c r="D79" s="1157" t="s">
        <v>793</v>
      </c>
      <c r="E79" s="1157"/>
      <c r="F79" s="1157"/>
      <c r="G79" s="300" t="s">
        <v>901</v>
      </c>
      <c r="H79" s="1158" t="s">
        <v>827</v>
      </c>
      <c r="I79" s="1158"/>
      <c r="J79" s="1164" t="s">
        <v>1314</v>
      </c>
      <c r="K79" s="1163"/>
    </row>
    <row r="80" spans="2:11" s="314" customFormat="1" ht="35.5" customHeight="1" outlineLevel="1" x14ac:dyDescent="0.35">
      <c r="B80" s="1100"/>
      <c r="C80" s="1161"/>
      <c r="D80" s="237" t="s">
        <v>764</v>
      </c>
      <c r="E80" s="238" t="s">
        <v>765</v>
      </c>
      <c r="F80" s="237" t="s">
        <v>32</v>
      </c>
      <c r="G80" s="362" t="s">
        <v>513</v>
      </c>
      <c r="H80" s="238" t="s">
        <v>1577</v>
      </c>
      <c r="I80" s="237" t="s">
        <v>32</v>
      </c>
      <c r="J80" s="1164"/>
      <c r="K80" s="1163"/>
    </row>
    <row r="81" spans="1:11" s="357" customFormat="1" ht="40.9" customHeight="1" outlineLevel="1" x14ac:dyDescent="0.35">
      <c r="A81" s="317" t="s">
        <v>39</v>
      </c>
      <c r="B81" s="374" t="s">
        <v>1049</v>
      </c>
      <c r="C81" s="374" t="s">
        <v>785</v>
      </c>
      <c r="D81" s="488"/>
      <c r="E81" s="554"/>
      <c r="F81" s="432" t="str">
        <f>IF(C81=FAEF!$B$65,"kgCO2e/kg subst.",IF(C81=FAEF!$B$74,"kgCO2e/kg subst.",""))</f>
        <v/>
      </c>
      <c r="G81" s="559"/>
      <c r="H81" s="965">
        <v>100</v>
      </c>
      <c r="I81" s="488" t="s">
        <v>843</v>
      </c>
      <c r="J81" s="974">
        <v>5.0200000000000002E-2</v>
      </c>
      <c r="K81" s="433"/>
    </row>
    <row r="82" spans="1:11" outlineLevel="1" x14ac:dyDescent="0.35">
      <c r="B82" s="557"/>
      <c r="C82" s="557"/>
      <c r="D82" s="558"/>
      <c r="E82" s="1031"/>
      <c r="F82" s="548" t="str">
        <f>IF(C82=FAEF!$B$65,"kgCO2e/kg subst.",IF(C82=FAEF!$B$74,"kgCO2e/kg "&amp;D82,""))</f>
        <v/>
      </c>
      <c r="G82" s="560"/>
      <c r="H82" s="973"/>
      <c r="I82" s="548" t="str">
        <f>IFERROR(IF(VLOOKUP(C82,FAEF!$B$59:$E$74,4,FALSE)="","",VLOOKUP(C82,FAEF!$B$59:$E$74,4,FALSE)),"")</f>
        <v/>
      </c>
      <c r="J82" s="975" t="str">
        <f>IFERROR(IF(AND(G82="",H82=""),"",FAEF!X111/1000),"")</f>
        <v/>
      </c>
      <c r="K82" s="434"/>
    </row>
    <row r="83" spans="1:11" outlineLevel="1" x14ac:dyDescent="0.35">
      <c r="B83" s="557"/>
      <c r="C83" s="557"/>
      <c r="D83" s="558"/>
      <c r="E83" s="1031"/>
      <c r="F83" s="548" t="str">
        <f>IF(C83=FAEF!$B$65,"kgCO2e/kg subst.",IF(C83=FAEF!$B$74,"kgCO2e/kg "&amp;D83,""))</f>
        <v/>
      </c>
      <c r="G83" s="560"/>
      <c r="H83" s="973"/>
      <c r="I83" s="548" t="str">
        <f>IFERROR(IF(VLOOKUP(C83,FAEF!$B$59:$E$74,4,FALSE)="","",VLOOKUP(C83,FAEF!$B$59:$E$74,4,FALSE)),"")</f>
        <v/>
      </c>
      <c r="J83" s="975" t="str">
        <f>IFERROR(IF(AND(G83="",H83=""),"",FAEF!X112/1000),"")</f>
        <v/>
      </c>
      <c r="K83" s="434"/>
    </row>
    <row r="84" spans="1:11" outlineLevel="1" x14ac:dyDescent="0.35">
      <c r="B84" s="557"/>
      <c r="C84" s="557"/>
      <c r="D84" s="558"/>
      <c r="E84" s="1031"/>
      <c r="F84" s="548" t="str">
        <f>IF(C84=FAEF!$B$65,"kgCO2e/kg subst.",IF(C84=FAEF!$B$74,"kgCO2e/kg "&amp;D84,""))</f>
        <v/>
      </c>
      <c r="G84" s="560"/>
      <c r="H84" s="973"/>
      <c r="I84" s="548" t="str">
        <f>IFERROR(IF(VLOOKUP(C84,FAEF!$B$59:$E$74,4,FALSE)="","",VLOOKUP(C84,FAEF!$B$59:$E$74,4,FALSE)),"")</f>
        <v/>
      </c>
      <c r="J84" s="975" t="str">
        <f>IFERROR(IF(AND(G84="",H84=""),"",FAEF!X113/1000),"")</f>
        <v/>
      </c>
      <c r="K84" s="434"/>
    </row>
    <row r="85" spans="1:11" outlineLevel="1" x14ac:dyDescent="0.35">
      <c r="B85" s="557"/>
      <c r="C85" s="557"/>
      <c r="D85" s="558"/>
      <c r="E85" s="1031"/>
      <c r="F85" s="548" t="str">
        <f>IF(C85=FAEF!$B$65,"kgCO2e/kg subst.",IF(C85=FAEF!$B$74,"kgCO2e/kg "&amp;D85,""))</f>
        <v/>
      </c>
      <c r="G85" s="560"/>
      <c r="H85" s="973"/>
      <c r="I85" s="548" t="str">
        <f>IFERROR(IF(VLOOKUP(C85,FAEF!$B$59:$E$74,4,FALSE)="","",VLOOKUP(C85,FAEF!$B$59:$E$74,4,FALSE)),"")</f>
        <v/>
      </c>
      <c r="J85" s="975" t="str">
        <f>IFERROR(IF(AND(G85="",H85=""),"",FAEF!X114/1000),"")</f>
        <v/>
      </c>
      <c r="K85" s="434"/>
    </row>
    <row r="86" spans="1:11" outlineLevel="1" x14ac:dyDescent="0.35">
      <c r="B86" s="557"/>
      <c r="C86" s="557"/>
      <c r="D86" s="558"/>
      <c r="E86" s="1031"/>
      <c r="F86" s="548" t="str">
        <f>IF(C86=FAEF!$B$65,"kgCO2e/kg subst.",IF(C86=FAEF!$B$74,"kgCO2e/kg "&amp;D86,""))</f>
        <v/>
      </c>
      <c r="G86" s="560"/>
      <c r="H86" s="973"/>
      <c r="I86" s="548" t="str">
        <f>IFERROR(IF(VLOOKUP(C86,FAEF!$B$59:$E$74,4,FALSE)="","",VLOOKUP(C86,FAEF!$B$59:$E$74,4,FALSE)),"")</f>
        <v/>
      </c>
      <c r="J86" s="975" t="str">
        <f>IFERROR(IF(AND(G86="",H86=""),"",FAEF!X115/1000),"")</f>
        <v/>
      </c>
      <c r="K86" s="434"/>
    </row>
    <row r="87" spans="1:11" outlineLevel="1" x14ac:dyDescent="0.35">
      <c r="B87" s="557"/>
      <c r="C87" s="557"/>
      <c r="D87" s="558"/>
      <c r="E87" s="1031"/>
      <c r="F87" s="548" t="str">
        <f>IF(C87=FAEF!$B$65,"kgCO2e/kg subst.",IF(C87=FAEF!$B$74,"kgCO2e/kg "&amp;D87,""))</f>
        <v/>
      </c>
      <c r="G87" s="560"/>
      <c r="H87" s="973"/>
      <c r="I87" s="548" t="str">
        <f>IFERROR(IF(VLOOKUP(C87,FAEF!$B$59:$E$74,4,FALSE)="","",VLOOKUP(C87,FAEF!$B$59:$E$74,4,FALSE)),"")</f>
        <v/>
      </c>
      <c r="J87" s="975" t="str">
        <f>IFERROR(IF(AND(G87="",H87=""),"",FAEF!X116/1000),"")</f>
        <v/>
      </c>
      <c r="K87" s="434"/>
    </row>
    <row r="88" spans="1:11" outlineLevel="1" x14ac:dyDescent="0.35">
      <c r="B88" s="557"/>
      <c r="C88" s="557"/>
      <c r="D88" s="558"/>
      <c r="E88" s="1031"/>
      <c r="F88" s="548" t="str">
        <f>IF(C88=FAEF!$B$65,"kgCO2e/kg subst.",IF(C88=FAEF!$B$74,"kgCO2e/kg "&amp;D88,""))</f>
        <v/>
      </c>
      <c r="G88" s="560"/>
      <c r="H88" s="973"/>
      <c r="I88" s="548" t="str">
        <f>IFERROR(IF(VLOOKUP(C88,FAEF!$B$59:$E$74,4,FALSE)="","",VLOOKUP(C88,FAEF!$B$59:$E$74,4,FALSE)),"")</f>
        <v/>
      </c>
      <c r="J88" s="975" t="str">
        <f>IFERROR(IF(AND(G88="",H88=""),"",FAEF!X117/1000),"")</f>
        <v/>
      </c>
      <c r="K88" s="434"/>
    </row>
    <row r="89" spans="1:11" outlineLevel="1" x14ac:dyDescent="0.35">
      <c r="B89" s="557"/>
      <c r="C89" s="557"/>
      <c r="D89" s="558"/>
      <c r="E89" s="1031"/>
      <c r="F89" s="548" t="str">
        <f>IF(C89=FAEF!$B$65,"kgCO2e/kg subst.",IF(C89=FAEF!$B$74,"kgCO2e/kg "&amp;D89,""))</f>
        <v/>
      </c>
      <c r="G89" s="560"/>
      <c r="H89" s="973"/>
      <c r="I89" s="548" t="str">
        <f>IFERROR(IF(VLOOKUP(C89,FAEF!$B$59:$E$74,4,FALSE)="","",VLOOKUP(C89,FAEF!$B$59:$E$74,4,FALSE)),"")</f>
        <v/>
      </c>
      <c r="J89" s="975" t="str">
        <f>IFERROR(IF(AND(G89="",H89=""),"",FAEF!X118/1000),"")</f>
        <v/>
      </c>
      <c r="K89" s="434"/>
    </row>
    <row r="90" spans="1:11" outlineLevel="1" x14ac:dyDescent="0.35">
      <c r="B90" s="557"/>
      <c r="C90" s="557"/>
      <c r="D90" s="558"/>
      <c r="E90" s="1031"/>
      <c r="F90" s="548" t="str">
        <f>IF(C90=FAEF!$B$65,"kgCO2e/kg subst.",IF(C90=FAEF!$B$74,"kgCO2e/kg "&amp;D90,""))</f>
        <v/>
      </c>
      <c r="G90" s="560"/>
      <c r="H90" s="973"/>
      <c r="I90" s="548" t="str">
        <f>IFERROR(IF(VLOOKUP(C90,FAEF!$B$59:$E$74,4,FALSE)="","",VLOOKUP(C90,FAEF!$B$59:$E$74,4,FALSE)),"")</f>
        <v/>
      </c>
      <c r="J90" s="975" t="str">
        <f>IFERROR(IF(AND(G90="",H90=""),"",FAEF!X119/1000),"")</f>
        <v/>
      </c>
      <c r="K90" s="434"/>
    </row>
    <row r="91" spans="1:11" outlineLevel="1" x14ac:dyDescent="0.35">
      <c r="B91" s="557"/>
      <c r="C91" s="557"/>
      <c r="D91" s="558"/>
      <c r="E91" s="1031"/>
      <c r="F91" s="548" t="str">
        <f>IF(C91=FAEF!$B$65,"kgCO2e/kg subst.",IF(C91=FAEF!$B$74,"kgCO2e/kg "&amp;D91,""))</f>
        <v/>
      </c>
      <c r="G91" s="560"/>
      <c r="H91" s="973"/>
      <c r="I91" s="548" t="str">
        <f>IFERROR(IF(VLOOKUP(C91,FAEF!$B$59:$E$74,4,FALSE)="","",VLOOKUP(C91,FAEF!$B$59:$E$74,4,FALSE)),"")</f>
        <v/>
      </c>
      <c r="J91" s="975" t="str">
        <f>IFERROR(IF(AND(G91="",H91=""),"",FAEF!X120/1000),"")</f>
        <v/>
      </c>
      <c r="K91" s="434"/>
    </row>
    <row r="92" spans="1:11" outlineLevel="1" x14ac:dyDescent="0.35">
      <c r="B92" s="557"/>
      <c r="C92" s="557"/>
      <c r="D92" s="558"/>
      <c r="E92" s="1031"/>
      <c r="F92" s="548" t="str">
        <f>IF(C92=FAEF!$B$65,"kgCO2e/kg subst.",IF(C92=FAEF!$B$74,"kgCO2e/kg "&amp;D92,""))</f>
        <v/>
      </c>
      <c r="G92" s="560"/>
      <c r="H92" s="973"/>
      <c r="I92" s="548" t="str">
        <f>IFERROR(IF(VLOOKUP(C92,FAEF!$B$59:$E$74,4,FALSE)="","",VLOOKUP(C92,FAEF!$B$59:$E$74,4,FALSE)),"")</f>
        <v/>
      </c>
      <c r="J92" s="975" t="str">
        <f>IFERROR(IF(AND(G92="",H92=""),"",FAEF!X121/1000),"")</f>
        <v/>
      </c>
      <c r="K92" s="434"/>
    </row>
    <row r="93" spans="1:11" ht="17.5" customHeight="1" outlineLevel="2" x14ac:dyDescent="0.35">
      <c r="B93" s="557"/>
      <c r="C93" s="557"/>
      <c r="D93" s="558"/>
      <c r="E93" s="1031"/>
      <c r="F93" s="548" t="str">
        <f>IF(C93=FAEF!$B$65,"kgCO2e/kg subst.",IF(C93=FAEF!$B$74,"kgCO2e/kg "&amp;D93,""))</f>
        <v/>
      </c>
      <c r="G93" s="560"/>
      <c r="H93" s="973"/>
      <c r="I93" s="548" t="str">
        <f>IFERROR(IF(VLOOKUP(C93,FAEF!$B$59:$E$74,4,FALSE)="","",VLOOKUP(C93,FAEF!$B$59:$E$74,4,FALSE)),"")</f>
        <v/>
      </c>
      <c r="J93" s="975" t="str">
        <f>IFERROR(IF(AND(G93="",H93=""),"",FAEF!X122/1000),"")</f>
        <v/>
      </c>
      <c r="K93" s="434"/>
    </row>
    <row r="94" spans="1:11" ht="17.5" customHeight="1" outlineLevel="2" x14ac:dyDescent="0.35">
      <c r="B94" s="557"/>
      <c r="C94" s="557"/>
      <c r="D94" s="558"/>
      <c r="E94" s="1031"/>
      <c r="F94" s="548" t="str">
        <f>IF(C94=FAEF!$B$65,"kgCO2e/kg subst.",IF(C94=FAEF!$B$74,"kgCO2e/kg "&amp;D94,""))</f>
        <v/>
      </c>
      <c r="G94" s="560"/>
      <c r="H94" s="973"/>
      <c r="I94" s="548" t="str">
        <f>IFERROR(IF(VLOOKUP(C94,FAEF!$B$59:$E$74,4,FALSE)="","",VLOOKUP(C94,FAEF!$B$59:$E$74,4,FALSE)),"")</f>
        <v/>
      </c>
      <c r="J94" s="975" t="str">
        <f>IFERROR(IF(AND(G94="",H94=""),"",FAEF!X123/1000),"")</f>
        <v/>
      </c>
      <c r="K94" s="434"/>
    </row>
    <row r="95" spans="1:11" ht="17.5" customHeight="1" outlineLevel="2" x14ac:dyDescent="0.35">
      <c r="B95" s="557"/>
      <c r="C95" s="557"/>
      <c r="D95" s="558"/>
      <c r="E95" s="1031"/>
      <c r="F95" s="548" t="str">
        <f>IF(C95=FAEF!$B$65,"kgCO2e/kg subst.",IF(C95=FAEF!$B$74,"kgCO2e/kg "&amp;D95,""))</f>
        <v/>
      </c>
      <c r="G95" s="560"/>
      <c r="H95" s="973"/>
      <c r="I95" s="548" t="str">
        <f>IFERROR(IF(VLOOKUP(C95,FAEF!$B$59:$E$74,4,FALSE)="","",VLOOKUP(C95,FAEF!$B$59:$E$74,4,FALSE)),"")</f>
        <v/>
      </c>
      <c r="J95" s="975" t="str">
        <f>IFERROR(IF(AND(G95="",H95=""),"",FAEF!X124/1000),"")</f>
        <v/>
      </c>
      <c r="K95" s="434"/>
    </row>
    <row r="96" spans="1:11" ht="17.5" customHeight="1" outlineLevel="2" x14ac:dyDescent="0.35">
      <c r="B96" s="557"/>
      <c r="C96" s="557"/>
      <c r="D96" s="558"/>
      <c r="E96" s="1031"/>
      <c r="F96" s="548" t="str">
        <f>IF(C96=FAEF!$B$65,"kgCO2e/kg subst.",IF(C96=FAEF!$B$74,"kgCO2e/kg "&amp;D96,""))</f>
        <v/>
      </c>
      <c r="G96" s="560"/>
      <c r="H96" s="973"/>
      <c r="I96" s="548" t="str">
        <f>IFERROR(IF(VLOOKUP(C96,FAEF!$B$59:$E$74,4,FALSE)="","",VLOOKUP(C96,FAEF!$B$59:$E$74,4,FALSE)),"")</f>
        <v/>
      </c>
      <c r="J96" s="975" t="str">
        <f>IFERROR(IF(AND(G96="",H96=""),"",FAEF!X125/1000),"")</f>
        <v/>
      </c>
      <c r="K96" s="434"/>
    </row>
    <row r="97" spans="2:11" ht="17.5" customHeight="1" outlineLevel="2" x14ac:dyDescent="0.35">
      <c r="B97" s="557"/>
      <c r="C97" s="557"/>
      <c r="D97" s="558"/>
      <c r="E97" s="1031"/>
      <c r="F97" s="548" t="str">
        <f>IF(C97=FAEF!$B$65,"kgCO2e/kg subst.",IF(C97=FAEF!$B$74,"kgCO2e/kg "&amp;D97,""))</f>
        <v/>
      </c>
      <c r="G97" s="560"/>
      <c r="H97" s="973"/>
      <c r="I97" s="548" t="str">
        <f>IFERROR(IF(VLOOKUP(C97,FAEF!$B$59:$E$74,4,FALSE)="","",VLOOKUP(C97,FAEF!$B$59:$E$74,4,FALSE)),"")</f>
        <v/>
      </c>
      <c r="J97" s="975" t="str">
        <f>IFERROR(IF(AND(G97="",H97=""),"",FAEF!X126/1000),"")</f>
        <v/>
      </c>
      <c r="K97" s="434"/>
    </row>
    <row r="98" spans="2:11" ht="17.5" customHeight="1" outlineLevel="2" x14ac:dyDescent="0.35">
      <c r="B98" s="557"/>
      <c r="C98" s="557"/>
      <c r="D98" s="558"/>
      <c r="E98" s="1031"/>
      <c r="F98" s="548" t="str">
        <f>IF(C98=FAEF!$B$65,"kgCO2e/kg subst.",IF(C98=FAEF!$B$74,"kgCO2e/kg "&amp;D98,""))</f>
        <v/>
      </c>
      <c r="G98" s="560"/>
      <c r="H98" s="973"/>
      <c r="I98" s="548" t="str">
        <f>IFERROR(IF(VLOOKUP(C98,FAEF!$B$59:$E$74,4,FALSE)="","",VLOOKUP(C98,FAEF!$B$59:$E$74,4,FALSE)),"")</f>
        <v/>
      </c>
      <c r="J98" s="975" t="str">
        <f>IFERROR(IF(AND(G98="",H98=""),"",FAEF!X127/1000),"")</f>
        <v/>
      </c>
      <c r="K98" s="434"/>
    </row>
    <row r="99" spans="2:11" ht="17.5" customHeight="1" outlineLevel="2" x14ac:dyDescent="0.35">
      <c r="B99" s="557"/>
      <c r="C99" s="557"/>
      <c r="D99" s="558"/>
      <c r="E99" s="1031"/>
      <c r="F99" s="548" t="str">
        <f>IF(C99=FAEF!$B$65,"kgCO2e/kg subst.",IF(C99=FAEF!$B$74,"kgCO2e/kg "&amp;D99,""))</f>
        <v/>
      </c>
      <c r="G99" s="560"/>
      <c r="H99" s="973"/>
      <c r="I99" s="548" t="str">
        <f>IFERROR(IF(VLOOKUP(C99,FAEF!$B$59:$E$74,4,FALSE)="","",VLOOKUP(C99,FAEF!$B$59:$E$74,4,FALSE)),"")</f>
        <v/>
      </c>
      <c r="J99" s="975" t="str">
        <f>IFERROR(IF(AND(G99="",H99=""),"",FAEF!X128/1000),"")</f>
        <v/>
      </c>
      <c r="K99" s="434"/>
    </row>
    <row r="100" spans="2:11" ht="17.5" customHeight="1" outlineLevel="2" x14ac:dyDescent="0.35">
      <c r="B100" s="557"/>
      <c r="C100" s="557"/>
      <c r="D100" s="558"/>
      <c r="E100" s="1031"/>
      <c r="F100" s="548" t="str">
        <f>IF(C100=FAEF!$B$65,"kgCO2e/kg subst.",IF(C100=FAEF!$B$74,"kgCO2e/kg "&amp;D100,""))</f>
        <v/>
      </c>
      <c r="G100" s="560"/>
      <c r="H100" s="973"/>
      <c r="I100" s="548" t="str">
        <f>IFERROR(IF(VLOOKUP(C100,FAEF!$B$59:$E$74,4,FALSE)="","",VLOOKUP(C100,FAEF!$B$59:$E$74,4,FALSE)),"")</f>
        <v/>
      </c>
      <c r="J100" s="975" t="str">
        <f>IFERROR(IF(AND(G100="",H100=""),"",FAEF!X129/1000),"")</f>
        <v/>
      </c>
      <c r="K100" s="434"/>
    </row>
    <row r="101" spans="2:11" ht="17.5" customHeight="1" outlineLevel="2" x14ac:dyDescent="0.35">
      <c r="B101" s="557"/>
      <c r="C101" s="557"/>
      <c r="D101" s="558"/>
      <c r="E101" s="1031"/>
      <c r="F101" s="548" t="str">
        <f>IF(C101=FAEF!$B$65,"kgCO2e/kg subst.",IF(C101=FAEF!$B$74,"kgCO2e/kg "&amp;D101,""))</f>
        <v/>
      </c>
      <c r="G101" s="560"/>
      <c r="H101" s="973"/>
      <c r="I101" s="548" t="str">
        <f>IFERROR(IF(VLOOKUP(C101,FAEF!$B$59:$E$74,4,FALSE)="","",VLOOKUP(C101,FAEF!$B$59:$E$74,4,FALSE)),"")</f>
        <v/>
      </c>
      <c r="J101" s="975" t="str">
        <f>IFERROR(IF(AND(G101="",H101=""),"",FAEF!X130/1000),"")</f>
        <v/>
      </c>
      <c r="K101" s="434"/>
    </row>
    <row r="102" spans="2:11" ht="17.5" customHeight="1" outlineLevel="2" x14ac:dyDescent="0.35">
      <c r="B102" s="557"/>
      <c r="C102" s="557"/>
      <c r="D102" s="558"/>
      <c r="E102" s="1031"/>
      <c r="F102" s="548" t="str">
        <f>IF(C102=FAEF!$B$65,"kgCO2e/kg subst.",IF(C102=FAEF!$B$74,"kgCO2e/kg "&amp;D102,""))</f>
        <v/>
      </c>
      <c r="G102" s="560"/>
      <c r="H102" s="973"/>
      <c r="I102" s="548" t="str">
        <f>IFERROR(IF(VLOOKUP(C102,FAEF!$B$59:$E$74,4,FALSE)="","",VLOOKUP(C102,FAEF!$B$59:$E$74,4,FALSE)),"")</f>
        <v/>
      </c>
      <c r="J102" s="975" t="str">
        <f>IFERROR(IF(AND(G102="",H102=""),"",FAEF!X131/1000),"")</f>
        <v/>
      </c>
      <c r="K102" s="434"/>
    </row>
    <row r="103" spans="2:11" ht="17.5" customHeight="1" outlineLevel="2" x14ac:dyDescent="0.35">
      <c r="B103" s="557"/>
      <c r="C103" s="557"/>
      <c r="D103" s="558"/>
      <c r="E103" s="1031"/>
      <c r="F103" s="548" t="str">
        <f>IF(C103=FAEF!$B$65,"kgCO2e/kg subst.",IF(C103=FAEF!$B$74,"kgCO2e/kg "&amp;D103,""))</f>
        <v/>
      </c>
      <c r="G103" s="560"/>
      <c r="H103" s="973"/>
      <c r="I103" s="548" t="str">
        <f>IFERROR(IF(VLOOKUP(C103,FAEF!$B$59:$E$74,4,FALSE)="","",VLOOKUP(C103,FAEF!$B$59:$E$74,4,FALSE)),"")</f>
        <v/>
      </c>
      <c r="J103" s="975" t="str">
        <f>IFERROR(IF(AND(G103="",H103=""),"",FAEF!X132/1000),"")</f>
        <v/>
      </c>
      <c r="K103" s="434"/>
    </row>
    <row r="104" spans="2:11" ht="17.5" customHeight="1" outlineLevel="2" x14ac:dyDescent="0.35">
      <c r="B104" s="557"/>
      <c r="C104" s="557"/>
      <c r="D104" s="558"/>
      <c r="E104" s="1031"/>
      <c r="F104" s="548" t="str">
        <f>IF(C104=FAEF!$B$65,"kgCO2e/kg subst.",IF(C104=FAEF!$B$74,"kgCO2e/kg "&amp;D104,""))</f>
        <v/>
      </c>
      <c r="G104" s="560"/>
      <c r="H104" s="973"/>
      <c r="I104" s="548" t="str">
        <f>IFERROR(IF(VLOOKUP(C104,FAEF!$B$59:$E$74,4,FALSE)="","",VLOOKUP(C104,FAEF!$B$59:$E$74,4,FALSE)),"")</f>
        <v/>
      </c>
      <c r="J104" s="975" t="str">
        <f>IFERROR(IF(AND(G104="",H104=""),"",FAEF!X133/1000),"")</f>
        <v/>
      </c>
      <c r="K104" s="434"/>
    </row>
    <row r="105" spans="2:11" ht="17.5" customHeight="1" outlineLevel="2" x14ac:dyDescent="0.35">
      <c r="B105" s="557"/>
      <c r="C105" s="557"/>
      <c r="D105" s="558"/>
      <c r="E105" s="1031"/>
      <c r="F105" s="548" t="str">
        <f>IF(C105=FAEF!$B$65,"kgCO2e/kg subst.",IF(C105=FAEF!$B$74,"kgCO2e/kg "&amp;D105,""))</f>
        <v/>
      </c>
      <c r="G105" s="560"/>
      <c r="H105" s="973"/>
      <c r="I105" s="548" t="str">
        <f>IFERROR(IF(VLOOKUP(C105,FAEF!$B$59:$E$74,4,FALSE)="","",VLOOKUP(C105,FAEF!$B$59:$E$74,4,FALSE)),"")</f>
        <v/>
      </c>
      <c r="J105" s="975" t="str">
        <f>IFERROR(IF(AND(G105="",H105=""),"",FAEF!X134/1000),"")</f>
        <v/>
      </c>
      <c r="K105" s="434"/>
    </row>
    <row r="106" spans="2:11" ht="17.5" customHeight="1" outlineLevel="2" x14ac:dyDescent="0.35">
      <c r="B106" s="557"/>
      <c r="C106" s="557"/>
      <c r="D106" s="558"/>
      <c r="E106" s="1031"/>
      <c r="F106" s="548" t="str">
        <f>IF(C106=FAEF!$B$65,"kgCO2e/kg subst.",IF(C106=FAEF!$B$74,"kgCO2e/kg "&amp;D106,""))</f>
        <v/>
      </c>
      <c r="G106" s="560"/>
      <c r="H106" s="973"/>
      <c r="I106" s="548" t="str">
        <f>IFERROR(IF(VLOOKUP(C106,FAEF!$B$59:$E$74,4,FALSE)="","",VLOOKUP(C106,FAEF!$B$59:$E$74,4,FALSE)),"")</f>
        <v/>
      </c>
      <c r="J106" s="975" t="str">
        <f>IFERROR(IF(AND(G106="",H106=""),"",FAEF!X135/1000),"")</f>
        <v/>
      </c>
      <c r="K106" s="434"/>
    </row>
    <row r="107" spans="2:11" ht="17.5" customHeight="1" outlineLevel="2" x14ac:dyDescent="0.35">
      <c r="B107" s="557"/>
      <c r="C107" s="557"/>
      <c r="D107" s="558"/>
      <c r="E107" s="1031"/>
      <c r="F107" s="548" t="str">
        <f>IF(C107=FAEF!$B$65,"kgCO2e/kg subst.",IF(C107=FAEF!$B$74,"kgCO2e/kg "&amp;D107,""))</f>
        <v/>
      </c>
      <c r="G107" s="560"/>
      <c r="H107" s="973"/>
      <c r="I107" s="548" t="str">
        <f>IFERROR(IF(VLOOKUP(C107,FAEF!$B$59:$E$74,4,FALSE)="","",VLOOKUP(C107,FAEF!$B$59:$E$74,4,FALSE)),"")</f>
        <v/>
      </c>
      <c r="J107" s="975" t="str">
        <f>IFERROR(IF(AND(G107="",H107=""),"",FAEF!X136/1000),"")</f>
        <v/>
      </c>
      <c r="K107" s="434"/>
    </row>
    <row r="108" spans="2:11" ht="17.5" customHeight="1" outlineLevel="2" x14ac:dyDescent="0.35">
      <c r="B108" s="557"/>
      <c r="C108" s="557"/>
      <c r="D108" s="558"/>
      <c r="E108" s="1031"/>
      <c r="F108" s="548" t="str">
        <f>IF(C108=FAEF!$B$65,"kgCO2e/kg subst.",IF(C108=FAEF!$B$74,"kgCO2e/kg "&amp;D108,""))</f>
        <v/>
      </c>
      <c r="G108" s="560"/>
      <c r="H108" s="973"/>
      <c r="I108" s="548" t="str">
        <f>IFERROR(IF(VLOOKUP(C108,FAEF!$B$59:$E$74,4,FALSE)="","",VLOOKUP(C108,FAEF!$B$59:$E$74,4,FALSE)),"")</f>
        <v/>
      </c>
      <c r="J108" s="975" t="str">
        <f>IFERROR(IF(AND(G108="",H108=""),"",FAEF!X137/1000),"")</f>
        <v/>
      </c>
      <c r="K108" s="434"/>
    </row>
    <row r="109" spans="2:11" ht="17.5" customHeight="1" outlineLevel="2" x14ac:dyDescent="0.35">
      <c r="B109" s="557"/>
      <c r="C109" s="557"/>
      <c r="D109" s="558"/>
      <c r="E109" s="1031"/>
      <c r="F109" s="548" t="str">
        <f>IF(C109=FAEF!$B$65,"kgCO2e/kg subst.",IF(C109=FAEF!$B$74,"kgCO2e/kg "&amp;D109,""))</f>
        <v/>
      </c>
      <c r="G109" s="560"/>
      <c r="H109" s="973"/>
      <c r="I109" s="548" t="str">
        <f>IFERROR(IF(VLOOKUP(C109,FAEF!$B$59:$E$74,4,FALSE)="","",VLOOKUP(C109,FAEF!$B$59:$E$74,4,FALSE)),"")</f>
        <v/>
      </c>
      <c r="J109" s="975" t="str">
        <f>IFERROR(IF(AND(G109="",H109=""),"",FAEF!X138/1000),"")</f>
        <v/>
      </c>
      <c r="K109" s="434"/>
    </row>
    <row r="110" spans="2:11" ht="17.5" customHeight="1" outlineLevel="2" x14ac:dyDescent="0.35">
      <c r="B110" s="557"/>
      <c r="C110" s="557"/>
      <c r="D110" s="558"/>
      <c r="E110" s="1031"/>
      <c r="F110" s="548" t="str">
        <f>IF(C110=FAEF!$B$65,"kgCO2e/kg subst.",IF(C110=FAEF!$B$74,"kgCO2e/kg "&amp;D110,""))</f>
        <v/>
      </c>
      <c r="G110" s="560"/>
      <c r="H110" s="973"/>
      <c r="I110" s="548" t="str">
        <f>IFERROR(IF(VLOOKUP(C110,FAEF!$B$59:$E$74,4,FALSE)="","",VLOOKUP(C110,FAEF!$B$59:$E$74,4,FALSE)),"")</f>
        <v/>
      </c>
      <c r="J110" s="975" t="str">
        <f>IFERROR(IF(AND(G110="",H110=""),"",FAEF!X139/1000),"")</f>
        <v/>
      </c>
      <c r="K110" s="434"/>
    </row>
    <row r="111" spans="2:11" ht="17.5" customHeight="1" outlineLevel="2" x14ac:dyDescent="0.35">
      <c r="B111" s="557"/>
      <c r="C111" s="557"/>
      <c r="D111" s="558"/>
      <c r="E111" s="1031"/>
      <c r="F111" s="548" t="str">
        <f>IF(C111=FAEF!$B$65,"kgCO2e/kg subst.",IF(C111=FAEF!$B$74,"kgCO2e/kg "&amp;D111,""))</f>
        <v/>
      </c>
      <c r="G111" s="560"/>
      <c r="H111" s="973"/>
      <c r="I111" s="548" t="str">
        <f>IFERROR(IF(VLOOKUP(C111,FAEF!$B$59:$E$74,4,FALSE)="","",VLOOKUP(C111,FAEF!$B$59:$E$74,4,FALSE)),"")</f>
        <v/>
      </c>
      <c r="J111" s="975" t="str">
        <f>IFERROR(IF(AND(G111="",H111=""),"",FAEF!X140/1000),"")</f>
        <v/>
      </c>
      <c r="K111" s="434"/>
    </row>
    <row r="112" spans="2:11" ht="17.5" customHeight="1" outlineLevel="2" x14ac:dyDescent="0.35">
      <c r="B112" s="557"/>
      <c r="C112" s="557"/>
      <c r="D112" s="558"/>
      <c r="E112" s="1031"/>
      <c r="F112" s="548" t="str">
        <f>IF(C112=FAEF!$B$65,"kgCO2e/kg subst.",IF(C112=FAEF!$B$74,"kgCO2e/kg "&amp;D112,""))</f>
        <v/>
      </c>
      <c r="G112" s="560"/>
      <c r="H112" s="973"/>
      <c r="I112" s="548" t="str">
        <f>IFERROR(IF(VLOOKUP(C112,FAEF!$B$59:$E$74,4,FALSE)="","",VLOOKUP(C112,FAEF!$B$59:$E$74,4,FALSE)),"")</f>
        <v/>
      </c>
      <c r="J112" s="975" t="str">
        <f>IFERROR(IF(AND(G112="",H112=""),"",FAEF!X141/1000),"")</f>
        <v/>
      </c>
      <c r="K112" s="434"/>
    </row>
    <row r="113" spans="2:11" ht="17.5" customHeight="1" outlineLevel="2" x14ac:dyDescent="0.35">
      <c r="B113" s="557"/>
      <c r="C113" s="557"/>
      <c r="D113" s="558"/>
      <c r="E113" s="1031"/>
      <c r="F113" s="548" t="str">
        <f>IF(C113=FAEF!$B$65,"kgCO2e/kg subst.",IF(C113=FAEF!$B$74,"kgCO2e/kg "&amp;D113,""))</f>
        <v/>
      </c>
      <c r="G113" s="560"/>
      <c r="H113" s="973"/>
      <c r="I113" s="548" t="str">
        <f>IFERROR(IF(VLOOKUP(C113,FAEF!$B$59:$E$74,4,FALSE)="","",VLOOKUP(C113,FAEF!$B$59:$E$74,4,FALSE)),"")</f>
        <v/>
      </c>
      <c r="J113" s="975" t="str">
        <f>IFERROR(IF(AND(G113="",H113=""),"",FAEF!X142/1000),"")</f>
        <v/>
      </c>
      <c r="K113" s="434"/>
    </row>
    <row r="114" spans="2:11" ht="17.5" customHeight="1" outlineLevel="2" x14ac:dyDescent="0.35">
      <c r="B114" s="557"/>
      <c r="C114" s="557"/>
      <c r="D114" s="558"/>
      <c r="E114" s="1031"/>
      <c r="F114" s="548" t="str">
        <f>IF(C114=FAEF!$B$65,"kgCO2e/kg subst.",IF(C114=FAEF!$B$74,"kgCO2e/kg "&amp;D114,""))</f>
        <v/>
      </c>
      <c r="G114" s="560"/>
      <c r="H114" s="973"/>
      <c r="I114" s="548" t="str">
        <f>IFERROR(IF(VLOOKUP(C114,FAEF!$B$59:$E$74,4,FALSE)="","",VLOOKUP(C114,FAEF!$B$59:$E$74,4,FALSE)),"")</f>
        <v/>
      </c>
      <c r="J114" s="975" t="str">
        <f>IFERROR(IF(AND(G114="",H114=""),"",FAEF!X143/1000),"")</f>
        <v/>
      </c>
      <c r="K114" s="434"/>
    </row>
    <row r="115" spans="2:11" ht="17.5" customHeight="1" outlineLevel="2" x14ac:dyDescent="0.35">
      <c r="B115" s="557"/>
      <c r="C115" s="557"/>
      <c r="D115" s="558"/>
      <c r="E115" s="1031"/>
      <c r="F115" s="548" t="str">
        <f>IF(C115=FAEF!$B$65,"kgCO2e/kg subst.",IF(C115=FAEF!$B$74,"kgCO2e/kg "&amp;D115,""))</f>
        <v/>
      </c>
      <c r="G115" s="560"/>
      <c r="H115" s="973"/>
      <c r="I115" s="548" t="str">
        <f>IFERROR(IF(VLOOKUP(C115,FAEF!$B$59:$E$74,4,FALSE)="","",VLOOKUP(C115,FAEF!$B$59:$E$74,4,FALSE)),"")</f>
        <v/>
      </c>
      <c r="J115" s="975" t="str">
        <f>IFERROR(IF(AND(G115="",H115=""),"",FAEF!X144/1000),"")</f>
        <v/>
      </c>
      <c r="K115" s="434"/>
    </row>
    <row r="116" spans="2:11" ht="17.5" customHeight="1" outlineLevel="2" x14ac:dyDescent="0.35">
      <c r="B116" s="557"/>
      <c r="C116" s="557"/>
      <c r="D116" s="558"/>
      <c r="E116" s="1031"/>
      <c r="F116" s="548" t="str">
        <f>IF(C116=FAEF!$B$65,"kgCO2e/kg subst.",IF(C116=FAEF!$B$74,"kgCO2e/kg "&amp;D116,""))</f>
        <v/>
      </c>
      <c r="G116" s="560"/>
      <c r="H116" s="973"/>
      <c r="I116" s="548" t="str">
        <f>IFERROR(IF(VLOOKUP(C116,FAEF!$B$59:$E$74,4,FALSE)="","",VLOOKUP(C116,FAEF!$B$59:$E$74,4,FALSE)),"")</f>
        <v/>
      </c>
      <c r="J116" s="975" t="str">
        <f>IFERROR(IF(AND(G116="",H116=""),"",FAEF!X145/1000),"")</f>
        <v/>
      </c>
      <c r="K116" s="434"/>
    </row>
    <row r="117" spans="2:11" ht="17.5" customHeight="1" outlineLevel="2" x14ac:dyDescent="0.35">
      <c r="B117" s="557"/>
      <c r="C117" s="557"/>
      <c r="D117" s="558"/>
      <c r="E117" s="1031"/>
      <c r="F117" s="548" t="str">
        <f>IF(C117=FAEF!$B$65,"kgCO2e/kg subst.",IF(C117=FAEF!$B$74,"kgCO2e/kg "&amp;D117,""))</f>
        <v/>
      </c>
      <c r="G117" s="560"/>
      <c r="H117" s="973"/>
      <c r="I117" s="548" t="str">
        <f>IFERROR(IF(VLOOKUP(C117,FAEF!$B$59:$E$74,4,FALSE)="","",VLOOKUP(C117,FAEF!$B$59:$E$74,4,FALSE)),"")</f>
        <v/>
      </c>
      <c r="J117" s="975" t="str">
        <f>IFERROR(IF(AND(G117="",H117=""),"",FAEF!X146/1000),"")</f>
        <v/>
      </c>
      <c r="K117" s="434"/>
    </row>
    <row r="118" spans="2:11" ht="17.5" customHeight="1" outlineLevel="2" x14ac:dyDescent="0.35">
      <c r="B118" s="557"/>
      <c r="C118" s="557"/>
      <c r="D118" s="558"/>
      <c r="E118" s="1031"/>
      <c r="F118" s="548" t="str">
        <f>IF(C118=FAEF!$B$65,"kgCO2e/kg subst.",IF(C118=FAEF!$B$74,"kgCO2e/kg "&amp;D118,""))</f>
        <v/>
      </c>
      <c r="G118" s="560"/>
      <c r="H118" s="973"/>
      <c r="I118" s="548" t="str">
        <f>IFERROR(IF(VLOOKUP(C118,FAEF!$B$59:$E$74,4,FALSE)="","",VLOOKUP(C118,FAEF!$B$59:$E$74,4,FALSE)),"")</f>
        <v/>
      </c>
      <c r="J118" s="975" t="str">
        <f>IFERROR(IF(AND(G118="",H118=""),"",FAEF!X147/1000),"")</f>
        <v/>
      </c>
      <c r="K118" s="434"/>
    </row>
    <row r="119" spans="2:11" ht="17.5" customHeight="1" outlineLevel="2" x14ac:dyDescent="0.35">
      <c r="B119" s="557"/>
      <c r="C119" s="557"/>
      <c r="D119" s="558"/>
      <c r="E119" s="1031"/>
      <c r="F119" s="548" t="str">
        <f>IF(C119=FAEF!$B$65,"kgCO2e/kg subst.",IF(C119=FAEF!$B$74,"kgCO2e/kg "&amp;D119,""))</f>
        <v/>
      </c>
      <c r="G119" s="560"/>
      <c r="H119" s="973"/>
      <c r="I119" s="548" t="str">
        <f>IFERROR(IF(VLOOKUP(C119,FAEF!$B$59:$E$74,4,FALSE)="","",VLOOKUP(C119,FAEF!$B$59:$E$74,4,FALSE)),"")</f>
        <v/>
      </c>
      <c r="J119" s="975" t="str">
        <f>IFERROR(IF(AND(G119="",H119=""),"",FAEF!X148/1000),"")</f>
        <v/>
      </c>
      <c r="K119" s="434"/>
    </row>
    <row r="120" spans="2:11" ht="27.65" customHeight="1" outlineLevel="2" x14ac:dyDescent="0.35">
      <c r="B120" s="557"/>
      <c r="C120" s="557"/>
      <c r="D120" s="558"/>
      <c r="E120" s="1031"/>
      <c r="F120" s="548" t="str">
        <f>IF(C120=FAEF!$B$65,"kgCO2e/kg subst.",IF(C120=FAEF!$B$74,"kgCO2e/kg "&amp;D120,""))</f>
        <v/>
      </c>
      <c r="G120" s="560"/>
      <c r="H120" s="973"/>
      <c r="I120" s="548" t="str">
        <f>IFERROR(IF(VLOOKUP(C120,FAEF!$B$59:$E$74,4,FALSE)="","",VLOOKUP(C120,FAEF!$B$59:$E$74,4,FALSE)),"")</f>
        <v/>
      </c>
      <c r="J120" s="975" t="str">
        <f>IFERROR(IF(AND(G120="",H120=""),"",FAEF!X149/1000),"")</f>
        <v/>
      </c>
      <c r="K120" s="434"/>
    </row>
    <row r="121" spans="2:11" ht="17.5" customHeight="1" outlineLevel="2" x14ac:dyDescent="0.35">
      <c r="B121" s="557"/>
      <c r="C121" s="557"/>
      <c r="D121" s="558"/>
      <c r="E121" s="1031"/>
      <c r="F121" s="548" t="str">
        <f>IF(C121=FAEF!$B$65,"kgCO2e/kg subst.",IF(C121=FAEF!$B$74,"kgCO2e/kg "&amp;D121,""))</f>
        <v/>
      </c>
      <c r="G121" s="560"/>
      <c r="H121" s="973"/>
      <c r="I121" s="548" t="str">
        <f>IFERROR(IF(VLOOKUP(C121,FAEF!$B$59:$E$74,4,FALSE)="","",VLOOKUP(C121,FAEF!$B$59:$E$74,4,FALSE)),"")</f>
        <v/>
      </c>
      <c r="J121" s="975" t="str">
        <f>IFERROR(IF(AND(G121="",H121=""),"",FAEF!X150/1000),"")</f>
        <v/>
      </c>
      <c r="K121" s="434"/>
    </row>
    <row r="122" spans="2:11" ht="17.5" customHeight="1" outlineLevel="2" x14ac:dyDescent="0.35">
      <c r="B122" s="557"/>
      <c r="C122" s="557"/>
      <c r="D122" s="558"/>
      <c r="E122" s="1031"/>
      <c r="F122" s="548" t="str">
        <f>IF(C122=FAEF!$B$65,"kgCO2e/kg subst.",IF(C122=FAEF!$B$74,"kgCO2e/kg "&amp;D122,""))</f>
        <v/>
      </c>
      <c r="G122" s="560"/>
      <c r="H122" s="973"/>
      <c r="I122" s="548" t="str">
        <f>IFERROR(IF(VLOOKUP(C122,FAEF!$B$59:$E$74,4,FALSE)="","",VLOOKUP(C122,FAEF!$B$59:$E$74,4,FALSE)),"")</f>
        <v/>
      </c>
      <c r="J122" s="975" t="str">
        <f>IFERROR(IF(AND(G122="",H122=""),"",FAEF!X151/1000),"")</f>
        <v/>
      </c>
      <c r="K122" s="434"/>
    </row>
    <row r="123" spans="2:11" ht="17.5" customHeight="1" outlineLevel="2" x14ac:dyDescent="0.35">
      <c r="B123" s="557"/>
      <c r="C123" s="557"/>
      <c r="D123" s="558"/>
      <c r="E123" s="1031"/>
      <c r="F123" s="548" t="str">
        <f>IF(C123=FAEF!$B$65,"kgCO2e/kg subst.",IF(C123=FAEF!$B$74,"kgCO2e/kg "&amp;D123,""))</f>
        <v/>
      </c>
      <c r="G123" s="560"/>
      <c r="H123" s="973"/>
      <c r="I123" s="548" t="str">
        <f>IFERROR(IF(VLOOKUP(C123,FAEF!$B$59:$E$74,4,FALSE)="","",VLOOKUP(C123,FAEF!$B$59:$E$74,4,FALSE)),"")</f>
        <v/>
      </c>
      <c r="J123" s="975" t="str">
        <f>IFERROR(IF(AND(G123="",H123=""),"",FAEF!X152/1000),"")</f>
        <v/>
      </c>
      <c r="K123" s="434"/>
    </row>
    <row r="124" spans="2:11" ht="17.5" customHeight="1" outlineLevel="2" x14ac:dyDescent="0.35">
      <c r="B124" s="557"/>
      <c r="C124" s="557"/>
      <c r="D124" s="558"/>
      <c r="E124" s="1031"/>
      <c r="F124" s="548" t="str">
        <f>IF(C124=FAEF!$B$65,"kgCO2e/kg subst.",IF(C124=FAEF!$B$74,"kgCO2e/kg "&amp;D124,""))</f>
        <v/>
      </c>
      <c r="G124" s="560"/>
      <c r="H124" s="973"/>
      <c r="I124" s="548" t="str">
        <f>IFERROR(IF(VLOOKUP(C124,FAEF!$B$59:$E$74,4,FALSE)="","",VLOOKUP(C124,FAEF!$B$59:$E$74,4,FALSE)),"")</f>
        <v/>
      </c>
      <c r="J124" s="975" t="str">
        <f>IFERROR(IF(AND(G124="",H124=""),"",FAEF!X153/1000),"")</f>
        <v/>
      </c>
      <c r="K124" s="434"/>
    </row>
    <row r="125" spans="2:11" ht="17.5" customHeight="1" outlineLevel="2" x14ac:dyDescent="0.35">
      <c r="B125" s="557"/>
      <c r="C125" s="557"/>
      <c r="D125" s="558"/>
      <c r="E125" s="1031"/>
      <c r="F125" s="548" t="str">
        <f>IF(C125=FAEF!$B$65,"kgCO2e/kg subst.",IF(C125=FAEF!$B$74,"kgCO2e/kg "&amp;D125,""))</f>
        <v/>
      </c>
      <c r="G125" s="560"/>
      <c r="H125" s="973"/>
      <c r="I125" s="548" t="str">
        <f>IFERROR(IF(VLOOKUP(C125,FAEF!$B$59:$E$74,4,FALSE)="","",VLOOKUP(C125,FAEF!$B$59:$E$74,4,FALSE)),"")</f>
        <v/>
      </c>
      <c r="J125" s="975" t="str">
        <f>IFERROR(IF(AND(G125="",H125=""),"",FAEF!X154/1000),"")</f>
        <v/>
      </c>
      <c r="K125" s="434"/>
    </row>
    <row r="126" spans="2:11" ht="17.5" customHeight="1" outlineLevel="2" x14ac:dyDescent="0.35">
      <c r="B126" s="557"/>
      <c r="C126" s="557"/>
      <c r="D126" s="558"/>
      <c r="E126" s="1031"/>
      <c r="F126" s="548" t="str">
        <f>IF(C126=FAEF!$B$65,"kgCO2e/kg subst.",IF(C126=FAEF!$B$74,"kgCO2e/kg "&amp;D126,""))</f>
        <v/>
      </c>
      <c r="G126" s="560"/>
      <c r="H126" s="973"/>
      <c r="I126" s="548" t="str">
        <f>IFERROR(IF(VLOOKUP(C126,FAEF!$B$59:$E$74,4,FALSE)="","",VLOOKUP(C126,FAEF!$B$59:$E$74,4,FALSE)),"")</f>
        <v/>
      </c>
      <c r="J126" s="975" t="str">
        <f>IFERROR(IF(AND(G126="",H126=""),"",FAEF!X155/1000),"")</f>
        <v/>
      </c>
      <c r="K126" s="434"/>
    </row>
    <row r="127" spans="2:11" ht="17.5" customHeight="1" outlineLevel="2" x14ac:dyDescent="0.35">
      <c r="B127" s="557"/>
      <c r="C127" s="557"/>
      <c r="D127" s="558"/>
      <c r="E127" s="1031"/>
      <c r="F127" s="548" t="str">
        <f>IF(C127=FAEF!$B$65,"kgCO2e/kg subst.",IF(C127=FAEF!$B$74,"kgCO2e/kg "&amp;D127,""))</f>
        <v/>
      </c>
      <c r="G127" s="560"/>
      <c r="H127" s="973"/>
      <c r="I127" s="548" t="str">
        <f>IFERROR(IF(VLOOKUP(C127,FAEF!$B$59:$E$74,4,FALSE)="","",VLOOKUP(C127,FAEF!$B$59:$E$74,4,FALSE)),"")</f>
        <v/>
      </c>
      <c r="J127" s="975" t="str">
        <f>IFERROR(IF(AND(G127="",H127=""),"",FAEF!X156/1000),"")</f>
        <v/>
      </c>
      <c r="K127" s="434"/>
    </row>
    <row r="128" spans="2:11" ht="17.5" customHeight="1" outlineLevel="2" x14ac:dyDescent="0.35">
      <c r="B128" s="557"/>
      <c r="C128" s="557"/>
      <c r="D128" s="558"/>
      <c r="E128" s="1031"/>
      <c r="F128" s="548" t="str">
        <f>IF(C128=FAEF!$B$65,"kgCO2e/kg subst.",IF(C128=FAEF!$B$74,"kgCO2e/kg "&amp;D128,""))</f>
        <v/>
      </c>
      <c r="G128" s="560"/>
      <c r="H128" s="973"/>
      <c r="I128" s="548" t="str">
        <f>IFERROR(IF(VLOOKUP(C128,FAEF!$B$59:$E$74,4,FALSE)="","",VLOOKUP(C128,FAEF!$B$59:$E$74,4,FALSE)),"")</f>
        <v/>
      </c>
      <c r="J128" s="975" t="str">
        <f>IFERROR(IF(AND(G128="",H128=""),"",FAEF!X157/1000),"")</f>
        <v/>
      </c>
      <c r="K128" s="434"/>
    </row>
    <row r="129" spans="2:11" ht="17.5" customHeight="1" outlineLevel="2" x14ac:dyDescent="0.35">
      <c r="B129" s="557"/>
      <c r="C129" s="557"/>
      <c r="D129" s="558"/>
      <c r="E129" s="1031"/>
      <c r="F129" s="548" t="str">
        <f>IF(C129=FAEF!$B$65,"kgCO2e/kg subst.",IF(C129=FAEF!$B$74,"kgCO2e/kg "&amp;D129,""))</f>
        <v/>
      </c>
      <c r="G129" s="560"/>
      <c r="H129" s="973"/>
      <c r="I129" s="548" t="str">
        <f>IFERROR(IF(VLOOKUP(C129,FAEF!$B$59:$E$74,4,FALSE)="","",VLOOKUP(C129,FAEF!$B$59:$E$74,4,FALSE)),"")</f>
        <v/>
      </c>
      <c r="J129" s="975" t="str">
        <f>IFERROR(IF(AND(G129="",H129=""),"",FAEF!X158/1000),"")</f>
        <v/>
      </c>
      <c r="K129" s="434"/>
    </row>
    <row r="130" spans="2:11" ht="17.5" customHeight="1" outlineLevel="2" x14ac:dyDescent="0.35">
      <c r="B130" s="557"/>
      <c r="C130" s="557"/>
      <c r="D130" s="558"/>
      <c r="E130" s="1031"/>
      <c r="F130" s="548" t="str">
        <f>IF(C130=FAEF!$B$65,"kgCO2e/kg subst.",IF(C130=FAEF!$B$74,"kgCO2e/kg "&amp;D130,""))</f>
        <v/>
      </c>
      <c r="G130" s="560"/>
      <c r="H130" s="973"/>
      <c r="I130" s="548" t="str">
        <f>IFERROR(IF(VLOOKUP(C130,FAEF!$B$59:$E$74,4,FALSE)="","",VLOOKUP(C130,FAEF!$B$59:$E$74,4,FALSE)),"")</f>
        <v/>
      </c>
      <c r="J130" s="975" t="str">
        <f>IFERROR(IF(AND(G130="",H130=""),"",FAEF!X159/1000),"")</f>
        <v/>
      </c>
      <c r="K130" s="434"/>
    </row>
    <row r="131" spans="2:11" ht="17.5" customHeight="1" outlineLevel="2" x14ac:dyDescent="0.35">
      <c r="B131" s="557"/>
      <c r="C131" s="557"/>
      <c r="D131" s="558"/>
      <c r="E131" s="1031"/>
      <c r="F131" s="548" t="str">
        <f>IF(C131=FAEF!$B$65,"kgCO2e/kg subst.",IF(C131=FAEF!$B$74,"kgCO2e/kg "&amp;D131,""))</f>
        <v/>
      </c>
      <c r="G131" s="560"/>
      <c r="H131" s="973"/>
      <c r="I131" s="548" t="str">
        <f>IFERROR(IF(VLOOKUP(C131,FAEF!$B$59:$E$74,4,FALSE)="","",VLOOKUP(C131,FAEF!$B$59:$E$74,4,FALSE)),"")</f>
        <v/>
      </c>
      <c r="J131" s="975" t="str">
        <f>IFERROR(IF(AND(G131="",H131=""),"",FAEF!X160/1000),"")</f>
        <v/>
      </c>
      <c r="K131" s="434"/>
    </row>
    <row r="132" spans="2:11" ht="17.5" customHeight="1" outlineLevel="2" x14ac:dyDescent="0.35">
      <c r="B132" s="557"/>
      <c r="C132" s="557"/>
      <c r="D132" s="558"/>
      <c r="E132" s="1031"/>
      <c r="F132" s="548" t="str">
        <f>IF(C132=FAEF!$B$65,"kgCO2e/kg subst.",IF(C132=FAEF!$B$74,"kgCO2e/kg "&amp;D132,""))</f>
        <v/>
      </c>
      <c r="G132" s="560"/>
      <c r="H132" s="973"/>
      <c r="I132" s="548" t="str">
        <f>IFERROR(IF(VLOOKUP(C132,FAEF!$B$59:$E$74,4,FALSE)="","",VLOOKUP(C132,FAEF!$B$59:$E$74,4,FALSE)),"")</f>
        <v/>
      </c>
      <c r="J132" s="975" t="str">
        <f>IFERROR(IF(AND(G132="",H132=""),"",FAEF!X161/1000),"")</f>
        <v/>
      </c>
      <c r="K132" s="434"/>
    </row>
    <row r="133" spans="2:11" ht="17.5" customHeight="1" outlineLevel="2" x14ac:dyDescent="0.35">
      <c r="B133" s="557"/>
      <c r="C133" s="557"/>
      <c r="D133" s="558"/>
      <c r="E133" s="1031"/>
      <c r="F133" s="548" t="str">
        <f>IF(C133=FAEF!$B$65,"kgCO2e/kg subst.",IF(C133=FAEF!$B$74,"kgCO2e/kg "&amp;D133,""))</f>
        <v/>
      </c>
      <c r="G133" s="560"/>
      <c r="H133" s="973"/>
      <c r="I133" s="548" t="str">
        <f>IFERROR(IF(VLOOKUP(C133,FAEF!$B$59:$E$74,4,FALSE)="","",VLOOKUP(C133,FAEF!$B$59:$E$74,4,FALSE)),"")</f>
        <v/>
      </c>
      <c r="J133" s="975" t="str">
        <f>IFERROR(IF(AND(G133="",H133=""),"",FAEF!X162/1000),"")</f>
        <v/>
      </c>
      <c r="K133" s="434"/>
    </row>
    <row r="134" spans="2:11" ht="17.5" customHeight="1" outlineLevel="2" x14ac:dyDescent="0.35">
      <c r="B134" s="557"/>
      <c r="C134" s="557"/>
      <c r="D134" s="558"/>
      <c r="E134" s="1031"/>
      <c r="F134" s="548" t="str">
        <f>IF(C134=FAEF!$B$65,"kgCO2e/kg subst.",IF(C134=FAEF!$B$74,"kgCO2e/kg "&amp;D134,""))</f>
        <v/>
      </c>
      <c r="G134" s="560"/>
      <c r="H134" s="973"/>
      <c r="I134" s="548" t="str">
        <f>IFERROR(IF(VLOOKUP(C134,FAEF!$B$59:$E$74,4,FALSE)="","",VLOOKUP(C134,FAEF!$B$59:$E$74,4,FALSE)),"")</f>
        <v/>
      </c>
      <c r="J134" s="975" t="str">
        <f>IFERROR(IF(AND(G134="",H134=""),"",FAEF!X163/1000),"")</f>
        <v/>
      </c>
      <c r="K134" s="434"/>
    </row>
    <row r="135" spans="2:11" ht="17.5" customHeight="1" outlineLevel="2" x14ac:dyDescent="0.35">
      <c r="B135" s="557"/>
      <c r="C135" s="557"/>
      <c r="D135" s="558"/>
      <c r="E135" s="1031"/>
      <c r="F135" s="548" t="str">
        <f>IF(C135=FAEF!$B$65,"kgCO2e/kg subst.",IF(C135=FAEF!$B$74,"kgCO2e/kg "&amp;D135,""))</f>
        <v/>
      </c>
      <c r="G135" s="560"/>
      <c r="H135" s="973"/>
      <c r="I135" s="548" t="str">
        <f>IFERROR(IF(VLOOKUP(C135,FAEF!$B$59:$E$74,4,FALSE)="","",VLOOKUP(C135,FAEF!$B$59:$E$74,4,FALSE)),"")</f>
        <v/>
      </c>
      <c r="J135" s="975" t="str">
        <f>IFERROR(IF(AND(G135="",H135=""),"",FAEF!X164/1000),"")</f>
        <v/>
      </c>
      <c r="K135" s="434"/>
    </row>
    <row r="136" spans="2:11" ht="17.5" customHeight="1" outlineLevel="2" x14ac:dyDescent="0.35">
      <c r="B136" s="557"/>
      <c r="C136" s="557"/>
      <c r="D136" s="558"/>
      <c r="E136" s="1031"/>
      <c r="F136" s="548" t="str">
        <f>IF(C136=FAEF!$B$65,"kgCO2e/kg subst.",IF(C136=FAEF!$B$74,"kgCO2e/kg "&amp;D136,""))</f>
        <v/>
      </c>
      <c r="G136" s="560"/>
      <c r="H136" s="973"/>
      <c r="I136" s="548" t="str">
        <f>IFERROR(IF(VLOOKUP(C136,FAEF!$B$59:$E$74,4,FALSE)="","",VLOOKUP(C136,FAEF!$B$59:$E$74,4,FALSE)),"")</f>
        <v/>
      </c>
      <c r="J136" s="975" t="str">
        <f>IFERROR(IF(AND(G136="",H136=""),"",FAEF!X165/1000),"")</f>
        <v/>
      </c>
      <c r="K136" s="434"/>
    </row>
    <row r="137" spans="2:11" ht="17.5" customHeight="1" outlineLevel="2" x14ac:dyDescent="0.35">
      <c r="B137" s="557"/>
      <c r="C137" s="557"/>
      <c r="D137" s="558"/>
      <c r="E137" s="1031"/>
      <c r="F137" s="548" t="str">
        <f>IF(C137=FAEF!$B$65,"kgCO2e/kg subst.",IF(C137=FAEF!$B$74,"kgCO2e/kg "&amp;D137,""))</f>
        <v/>
      </c>
      <c r="G137" s="560"/>
      <c r="H137" s="973"/>
      <c r="I137" s="548" t="str">
        <f>IFERROR(IF(VLOOKUP(C137,FAEF!$B$59:$E$74,4,FALSE)="","",VLOOKUP(C137,FAEF!$B$59:$E$74,4,FALSE)),"")</f>
        <v/>
      </c>
      <c r="J137" s="975" t="str">
        <f>IFERROR(IF(AND(G137="",H137=""),"",FAEF!X166/1000),"")</f>
        <v/>
      </c>
      <c r="K137" s="434"/>
    </row>
    <row r="138" spans="2:11" ht="17.5" customHeight="1" outlineLevel="2" x14ac:dyDescent="0.35">
      <c r="B138" s="557"/>
      <c r="C138" s="557"/>
      <c r="D138" s="558"/>
      <c r="E138" s="1031"/>
      <c r="F138" s="548" t="str">
        <f>IF(C138=FAEF!$B$65,"kgCO2e/kg subst.",IF(C138=FAEF!$B$74,"kgCO2e/kg "&amp;D138,""))</f>
        <v/>
      </c>
      <c r="G138" s="560"/>
      <c r="H138" s="973"/>
      <c r="I138" s="548" t="str">
        <f>IFERROR(IF(VLOOKUP(C138,FAEF!$B$59:$E$74,4,FALSE)="","",VLOOKUP(C138,FAEF!$B$59:$E$74,4,FALSE)),"")</f>
        <v/>
      </c>
      <c r="J138" s="975" t="str">
        <f>IFERROR(IF(AND(G138="",H138=""),"",FAEF!X167/1000),"")</f>
        <v/>
      </c>
      <c r="K138" s="434"/>
    </row>
    <row r="139" spans="2:11" ht="17.5" customHeight="1" outlineLevel="2" x14ac:dyDescent="0.35">
      <c r="B139" s="557"/>
      <c r="C139" s="557"/>
      <c r="D139" s="558"/>
      <c r="E139" s="1031"/>
      <c r="F139" s="548" t="str">
        <f>IF(C139=FAEF!$B$65,"kgCO2e/kg subst.",IF(C139=FAEF!$B$74,"kgCO2e/kg "&amp;D139,""))</f>
        <v/>
      </c>
      <c r="G139" s="560"/>
      <c r="H139" s="973"/>
      <c r="I139" s="548" t="str">
        <f>IFERROR(IF(VLOOKUP(C139,FAEF!$B$59:$E$74,4,FALSE)="","",VLOOKUP(C139,FAEF!$B$59:$E$74,4,FALSE)),"")</f>
        <v/>
      </c>
      <c r="J139" s="975" t="str">
        <f>IFERROR(IF(AND(G139="",H139=""),"",FAEF!X168/1000),"")</f>
        <v/>
      </c>
      <c r="K139" s="434"/>
    </row>
    <row r="140" spans="2:11" ht="17.5" customHeight="1" outlineLevel="2" x14ac:dyDescent="0.35">
      <c r="B140" s="557"/>
      <c r="C140" s="557"/>
      <c r="D140" s="558"/>
      <c r="E140" s="1031"/>
      <c r="F140" s="548" t="str">
        <f>IF(C140=FAEF!$B$65,"kgCO2e/kg subst.",IF(C140=FAEF!$B$74,"kgCO2e/kg "&amp;D140,""))</f>
        <v/>
      </c>
      <c r="G140" s="560"/>
      <c r="H140" s="973"/>
      <c r="I140" s="548" t="str">
        <f>IFERROR(IF(VLOOKUP(C140,FAEF!$B$59:$E$74,4,FALSE)="","",VLOOKUP(C140,FAEF!$B$59:$E$74,4,FALSE)),"")</f>
        <v/>
      </c>
      <c r="J140" s="975" t="str">
        <f>IFERROR(IF(AND(G140="",H140=""),"",FAEF!X169/1000),"")</f>
        <v/>
      </c>
      <c r="K140" s="434"/>
    </row>
    <row r="141" spans="2:11" ht="17.5" customHeight="1" outlineLevel="2" x14ac:dyDescent="0.35">
      <c r="B141" s="557"/>
      <c r="C141" s="557"/>
      <c r="D141" s="558"/>
      <c r="E141" s="1031"/>
      <c r="F141" s="548" t="str">
        <f>IF(C141=FAEF!$B$65,"kgCO2e/kg subst.",IF(C141=FAEF!$B$74,"kgCO2e/kg "&amp;D141,""))</f>
        <v/>
      </c>
      <c r="G141" s="560"/>
      <c r="H141" s="973"/>
      <c r="I141" s="548" t="str">
        <f>IFERROR(IF(VLOOKUP(C141,FAEF!$B$59:$E$74,4,FALSE)="","",VLOOKUP(C141,FAEF!$B$59:$E$74,4,FALSE)),"")</f>
        <v/>
      </c>
      <c r="J141" s="975" t="str">
        <f>IFERROR(IF(AND(G141="",H141=""),"",FAEF!X170/1000),"")</f>
        <v/>
      </c>
      <c r="K141" s="434"/>
    </row>
    <row r="142" spans="2:11" ht="17.5" customHeight="1" outlineLevel="2" x14ac:dyDescent="0.35">
      <c r="B142" s="557"/>
      <c r="C142" s="557"/>
      <c r="D142" s="558"/>
      <c r="E142" s="1031"/>
      <c r="F142" s="548" t="str">
        <f>IF(C142=FAEF!$B$65,"kgCO2e/kg subst.",IF(C142=FAEF!$B$74,"kgCO2e/kg "&amp;D142,""))</f>
        <v/>
      </c>
      <c r="G142" s="560"/>
      <c r="H142" s="973"/>
      <c r="I142" s="548" t="str">
        <f>IFERROR(IF(VLOOKUP(C142,FAEF!$B$59:$E$74,4,FALSE)="","",VLOOKUP(C142,FAEF!$B$59:$E$74,4,FALSE)),"")</f>
        <v/>
      </c>
      <c r="J142" s="975" t="str">
        <f>IFERROR(IF(AND(G142="",H142=""),"",FAEF!X171/1000),"")</f>
        <v/>
      </c>
      <c r="K142" s="434"/>
    </row>
    <row r="143" spans="2:11" ht="17.5" customHeight="1" outlineLevel="2" x14ac:dyDescent="0.35">
      <c r="B143" s="557"/>
      <c r="C143" s="557"/>
      <c r="D143" s="558"/>
      <c r="E143" s="1031"/>
      <c r="F143" s="548" t="str">
        <f>IF(C143=FAEF!$B$65,"kgCO2e/kg subst.",IF(C143=FAEF!$B$74,"kgCO2e/kg "&amp;D143,""))</f>
        <v/>
      </c>
      <c r="G143" s="560"/>
      <c r="H143" s="973"/>
      <c r="I143" s="548" t="str">
        <f>IFERROR(IF(VLOOKUP(C143,FAEF!$B$59:$E$74,4,FALSE)="","",VLOOKUP(C143,FAEF!$B$59:$E$74,4,FALSE)),"")</f>
        <v/>
      </c>
      <c r="J143" s="975" t="str">
        <f>IFERROR(IF(AND(G143="",H143=""),"",FAEF!X172/1000),"")</f>
        <v/>
      </c>
      <c r="K143" s="434"/>
    </row>
    <row r="144" spans="2:11" ht="17.5" customHeight="1" outlineLevel="2" x14ac:dyDescent="0.35">
      <c r="B144" s="557"/>
      <c r="C144" s="557"/>
      <c r="D144" s="558"/>
      <c r="E144" s="1031"/>
      <c r="F144" s="548" t="str">
        <f>IF(C144=FAEF!$B$65,"kgCO2e/kg subst.",IF(C144=FAEF!$B$74,"kgCO2e/kg "&amp;D144,""))</f>
        <v/>
      </c>
      <c r="G144" s="560"/>
      <c r="H144" s="973"/>
      <c r="I144" s="548" t="str">
        <f>IFERROR(IF(VLOOKUP(C144,FAEF!$B$59:$E$74,4,FALSE)="","",VLOOKUP(C144,FAEF!$B$59:$E$74,4,FALSE)),"")</f>
        <v/>
      </c>
      <c r="J144" s="975" t="str">
        <f>IFERROR(IF(AND(G144="",H144=""),"",FAEF!X173/1000),"")</f>
        <v/>
      </c>
      <c r="K144" s="434"/>
    </row>
    <row r="145" spans="2:11" ht="17.5" customHeight="1" outlineLevel="2" x14ac:dyDescent="0.35">
      <c r="B145" s="557"/>
      <c r="C145" s="557"/>
      <c r="D145" s="558"/>
      <c r="E145" s="1031"/>
      <c r="F145" s="548" t="str">
        <f>IF(C145=FAEF!$B$65,"kgCO2e/kg subst.",IF(C145=FAEF!$B$74,"kgCO2e/kg "&amp;D145,""))</f>
        <v/>
      </c>
      <c r="G145" s="560"/>
      <c r="H145" s="973"/>
      <c r="I145" s="548" t="str">
        <f>IFERROR(IF(VLOOKUP(C145,FAEF!$B$59:$E$74,4,FALSE)="","",VLOOKUP(C145,FAEF!$B$59:$E$74,4,FALSE)),"")</f>
        <v/>
      </c>
      <c r="J145" s="975" t="str">
        <f>IFERROR(IF(AND(G145="",H145=""),"",FAEF!X174/1000),"")</f>
        <v/>
      </c>
      <c r="K145" s="434"/>
    </row>
    <row r="146" spans="2:11" ht="17.5" customHeight="1" outlineLevel="2" x14ac:dyDescent="0.35">
      <c r="B146" s="557"/>
      <c r="C146" s="557"/>
      <c r="D146" s="558"/>
      <c r="E146" s="1031"/>
      <c r="F146" s="548" t="str">
        <f>IF(C146=FAEF!$B$65,"kgCO2e/kg subst.",IF(C146=FAEF!$B$74,"kgCO2e/kg "&amp;D146,""))</f>
        <v/>
      </c>
      <c r="G146" s="560"/>
      <c r="H146" s="973"/>
      <c r="I146" s="548" t="str">
        <f>IFERROR(IF(VLOOKUP(C146,FAEF!$B$59:$E$74,4,FALSE)="","",VLOOKUP(C146,FAEF!$B$59:$E$74,4,FALSE)),"")</f>
        <v/>
      </c>
      <c r="J146" s="975" t="str">
        <f>IFERROR(IF(AND(G146="",H146=""),"",FAEF!X175/1000),"")</f>
        <v/>
      </c>
      <c r="K146" s="434"/>
    </row>
    <row r="147" spans="2:11" ht="17.5" customHeight="1" outlineLevel="2" x14ac:dyDescent="0.35">
      <c r="B147" s="557"/>
      <c r="C147" s="557"/>
      <c r="D147" s="558"/>
      <c r="E147" s="1031"/>
      <c r="F147" s="548" t="str">
        <f>IF(C147=FAEF!$B$65,"kgCO2e/kg subst.",IF(C147=FAEF!$B$74,"kgCO2e/kg "&amp;D147,""))</f>
        <v/>
      </c>
      <c r="G147" s="560"/>
      <c r="H147" s="973"/>
      <c r="I147" s="548" t="str">
        <f>IFERROR(IF(VLOOKUP(C147,FAEF!$B$59:$E$74,4,FALSE)="","",VLOOKUP(C147,FAEF!$B$59:$E$74,4,FALSE)),"")</f>
        <v/>
      </c>
      <c r="J147" s="975" t="str">
        <f>IFERROR(IF(AND(G147="",H147=""),"",FAEF!X176/1000),"")</f>
        <v/>
      </c>
      <c r="K147" s="434"/>
    </row>
    <row r="148" spans="2:11" ht="17.5" customHeight="1" outlineLevel="2" x14ac:dyDescent="0.35">
      <c r="B148" s="557"/>
      <c r="C148" s="557"/>
      <c r="D148" s="558"/>
      <c r="E148" s="1031"/>
      <c r="F148" s="548" t="str">
        <f>IF(C148=FAEF!$B$65,"kgCO2e/kg subst.",IF(C148=FAEF!$B$74,"kgCO2e/kg "&amp;D148,""))</f>
        <v/>
      </c>
      <c r="G148" s="560"/>
      <c r="H148" s="973"/>
      <c r="I148" s="548" t="str">
        <f>IFERROR(IF(VLOOKUP(C148,FAEF!$B$59:$E$74,4,FALSE)="","",VLOOKUP(C148,FAEF!$B$59:$E$74,4,FALSE)),"")</f>
        <v/>
      </c>
      <c r="J148" s="975" t="str">
        <f>IFERROR(IF(AND(G148="",H148=""),"",FAEF!X177/1000),"")</f>
        <v/>
      </c>
      <c r="K148" s="434"/>
    </row>
    <row r="149" spans="2:11" ht="17.5" customHeight="1" outlineLevel="2" x14ac:dyDescent="0.35">
      <c r="B149" s="557"/>
      <c r="C149" s="557"/>
      <c r="D149" s="558"/>
      <c r="E149" s="1031"/>
      <c r="F149" s="548" t="str">
        <f>IF(C149=FAEF!$B$65,"kgCO2e/kg subst.",IF(C149=FAEF!$B$74,"kgCO2e/kg "&amp;D149,""))</f>
        <v/>
      </c>
      <c r="G149" s="560"/>
      <c r="H149" s="973"/>
      <c r="I149" s="548" t="str">
        <f>IFERROR(IF(VLOOKUP(C149,FAEF!$B$59:$E$74,4,FALSE)="","",VLOOKUP(C149,FAEF!$B$59:$E$74,4,FALSE)),"")</f>
        <v/>
      </c>
      <c r="J149" s="975" t="str">
        <f>IFERROR(IF(AND(G149="",H149=""),"",FAEF!X178/1000),"")</f>
        <v/>
      </c>
      <c r="K149" s="434"/>
    </row>
    <row r="150" spans="2:11" ht="17.5" customHeight="1" outlineLevel="2" x14ac:dyDescent="0.35">
      <c r="B150" s="557"/>
      <c r="C150" s="557"/>
      <c r="D150" s="558"/>
      <c r="E150" s="1031"/>
      <c r="F150" s="548" t="str">
        <f>IF(C150=FAEF!$B$65,"kgCO2e/kg subst.",IF(C150=FAEF!$B$74,"kgCO2e/kg "&amp;D150,""))</f>
        <v/>
      </c>
      <c r="G150" s="560"/>
      <c r="H150" s="973"/>
      <c r="I150" s="548" t="str">
        <f>IFERROR(IF(VLOOKUP(C150,FAEF!$B$59:$E$74,4,FALSE)="","",VLOOKUP(C150,FAEF!$B$59:$E$74,4,FALSE)),"")</f>
        <v/>
      </c>
      <c r="J150" s="975" t="str">
        <f>IFERROR(IF(AND(G150="",H150=""),"",FAEF!X179/1000),"")</f>
        <v/>
      </c>
      <c r="K150" s="434"/>
    </row>
    <row r="151" spans="2:11" ht="17.5" customHeight="1" outlineLevel="2" x14ac:dyDescent="0.35">
      <c r="B151" s="557"/>
      <c r="C151" s="557"/>
      <c r="D151" s="558"/>
      <c r="E151" s="1031"/>
      <c r="F151" s="548" t="str">
        <f>IF(C151=FAEF!$B$65,"kgCO2e/kg subst.",IF(C151=FAEF!$B$74,"kgCO2e/kg "&amp;D151,""))</f>
        <v/>
      </c>
      <c r="G151" s="560"/>
      <c r="H151" s="973"/>
      <c r="I151" s="548" t="str">
        <f>IFERROR(IF(VLOOKUP(C151,FAEF!$B$59:$E$74,4,FALSE)="","",VLOOKUP(C151,FAEF!$B$59:$E$74,4,FALSE)),"")</f>
        <v/>
      </c>
      <c r="J151" s="975" t="str">
        <f>IFERROR(IF(AND(G151="",H151=""),"",FAEF!X180/1000),"")</f>
        <v/>
      </c>
      <c r="K151" s="434"/>
    </row>
    <row r="152" spans="2:11" ht="17.5" customHeight="1" outlineLevel="2" x14ac:dyDescent="0.35">
      <c r="B152" s="557"/>
      <c r="C152" s="557"/>
      <c r="D152" s="558"/>
      <c r="E152" s="1031"/>
      <c r="F152" s="548" t="str">
        <f>IF(C152=FAEF!$B$65,"kgCO2e/kg subst.",IF(C152=FAEF!$B$74,"kgCO2e/kg "&amp;D152,""))</f>
        <v/>
      </c>
      <c r="G152" s="560"/>
      <c r="H152" s="973"/>
      <c r="I152" s="548" t="str">
        <f>IFERROR(IF(VLOOKUP(C152,FAEF!$B$59:$E$74,4,FALSE)="","",VLOOKUP(C152,FAEF!$B$59:$E$74,4,FALSE)),"")</f>
        <v/>
      </c>
      <c r="J152" s="975" t="str">
        <f>IFERROR(IF(AND(G152="",H152=""),"",FAEF!X181/1000),"")</f>
        <v/>
      </c>
      <c r="K152" s="434"/>
    </row>
    <row r="153" spans="2:11" ht="17.5" customHeight="1" outlineLevel="2" x14ac:dyDescent="0.35">
      <c r="B153" s="557"/>
      <c r="C153" s="557"/>
      <c r="D153" s="558"/>
      <c r="E153" s="1031"/>
      <c r="F153" s="548" t="str">
        <f>IF(C153=FAEF!$B$65,"kgCO2e/kg subst.",IF(C153=FAEF!$B$74,"kgCO2e/kg "&amp;D153,""))</f>
        <v/>
      </c>
      <c r="G153" s="560"/>
      <c r="H153" s="973"/>
      <c r="I153" s="548" t="str">
        <f>IFERROR(IF(VLOOKUP(C153,FAEF!$B$59:$E$74,4,FALSE)="","",VLOOKUP(C153,FAEF!$B$59:$E$74,4,FALSE)),"")</f>
        <v/>
      </c>
      <c r="J153" s="975" t="str">
        <f>IFERROR(IF(AND(G153="",H153=""),"",FAEF!X182/1000),"")</f>
        <v/>
      </c>
      <c r="K153" s="434"/>
    </row>
    <row r="154" spans="2:11" ht="17.5" customHeight="1" outlineLevel="2" x14ac:dyDescent="0.35">
      <c r="B154" s="557"/>
      <c r="C154" s="557"/>
      <c r="D154" s="558"/>
      <c r="E154" s="1031"/>
      <c r="F154" s="548" t="str">
        <f>IF(C154=FAEF!$B$65,"kgCO2e/kg subst.",IF(C154=FAEF!$B$74,"kgCO2e/kg "&amp;D154,""))</f>
        <v/>
      </c>
      <c r="G154" s="560"/>
      <c r="H154" s="973"/>
      <c r="I154" s="548" t="str">
        <f>IFERROR(IF(VLOOKUP(C154,FAEF!$B$59:$E$74,4,FALSE)="","",VLOOKUP(C154,FAEF!$B$59:$E$74,4,FALSE)),"")</f>
        <v/>
      </c>
      <c r="J154" s="975" t="str">
        <f>IFERROR(IF(AND(G154="",H154=""),"",FAEF!X183/1000),"")</f>
        <v/>
      </c>
      <c r="K154" s="434"/>
    </row>
    <row r="155" spans="2:11" ht="17.5" customHeight="1" outlineLevel="2" x14ac:dyDescent="0.35">
      <c r="B155" s="557"/>
      <c r="C155" s="557"/>
      <c r="D155" s="558"/>
      <c r="E155" s="1031"/>
      <c r="F155" s="548" t="str">
        <f>IF(C155=FAEF!$B$65,"kgCO2e/kg subst.",IF(C155=FAEF!$B$74,"kgCO2e/kg "&amp;D155,""))</f>
        <v/>
      </c>
      <c r="G155" s="560"/>
      <c r="H155" s="973"/>
      <c r="I155" s="548" t="str">
        <f>IFERROR(IF(VLOOKUP(C155,FAEF!$B$59:$E$74,4,FALSE)="","",VLOOKUP(C155,FAEF!$B$59:$E$74,4,FALSE)),"")</f>
        <v/>
      </c>
      <c r="J155" s="975" t="str">
        <f>IFERROR(IF(AND(G155="",H155=""),"",FAEF!X184/1000),"")</f>
        <v/>
      </c>
      <c r="K155" s="434"/>
    </row>
    <row r="156" spans="2:11" ht="17.5" customHeight="1" outlineLevel="2" x14ac:dyDescent="0.35">
      <c r="B156" s="557"/>
      <c r="C156" s="557"/>
      <c r="D156" s="558"/>
      <c r="E156" s="1031"/>
      <c r="F156" s="548" t="str">
        <f>IF(C156=FAEF!$B$65,"kgCO2e/kg subst.",IF(C156=FAEF!$B$74,"kgCO2e/kg "&amp;D156,""))</f>
        <v/>
      </c>
      <c r="G156" s="560"/>
      <c r="H156" s="973"/>
      <c r="I156" s="548" t="str">
        <f>IFERROR(IF(VLOOKUP(C156,FAEF!$B$59:$E$74,4,FALSE)="","",VLOOKUP(C156,FAEF!$B$59:$E$74,4,FALSE)),"")</f>
        <v/>
      </c>
      <c r="J156" s="975" t="str">
        <f>IFERROR(IF(AND(G156="",H156=""),"",FAEF!X185/1000),"")</f>
        <v/>
      </c>
      <c r="K156" s="434"/>
    </row>
    <row r="157" spans="2:11" ht="17.5" customHeight="1" outlineLevel="2" x14ac:dyDescent="0.35">
      <c r="B157" s="557"/>
      <c r="C157" s="557"/>
      <c r="D157" s="558"/>
      <c r="E157" s="1031"/>
      <c r="F157" s="548" t="str">
        <f>IF(C157=FAEF!$B$65,"kgCO2e/kg subst.",IF(C157=FAEF!$B$74,"kgCO2e/kg "&amp;D157,""))</f>
        <v/>
      </c>
      <c r="G157" s="560"/>
      <c r="H157" s="973"/>
      <c r="I157" s="548" t="str">
        <f>IFERROR(IF(VLOOKUP(C157,FAEF!$B$59:$E$74,4,FALSE)="","",VLOOKUP(C157,FAEF!$B$59:$E$74,4,FALSE)),"")</f>
        <v/>
      </c>
      <c r="J157" s="975" t="str">
        <f>IFERROR(IF(AND(G157="",H157=""),"",FAEF!X186/1000),"")</f>
        <v/>
      </c>
      <c r="K157" s="434"/>
    </row>
    <row r="158" spans="2:11" ht="17.5" customHeight="1" outlineLevel="2" x14ac:dyDescent="0.35">
      <c r="B158" s="557"/>
      <c r="C158" s="557"/>
      <c r="D158" s="558"/>
      <c r="E158" s="1031"/>
      <c r="F158" s="548" t="str">
        <f>IF(C158=FAEF!$B$65,"kgCO2e/kg subst.",IF(C158=FAEF!$B$74,"kgCO2e/kg "&amp;D158,""))</f>
        <v/>
      </c>
      <c r="G158" s="560"/>
      <c r="H158" s="973"/>
      <c r="I158" s="548" t="str">
        <f>IFERROR(IF(VLOOKUP(C158,FAEF!$B$59:$E$74,4,FALSE)="","",VLOOKUP(C158,FAEF!$B$59:$E$74,4,FALSE)),"")</f>
        <v/>
      </c>
      <c r="J158" s="975" t="str">
        <f>IFERROR(IF(AND(G158="",H158=""),"",FAEF!X187/1000),"")</f>
        <v/>
      </c>
      <c r="K158" s="434"/>
    </row>
    <row r="159" spans="2:11" ht="17.5" customHeight="1" outlineLevel="2" x14ac:dyDescent="0.35">
      <c r="B159" s="557"/>
      <c r="C159" s="557"/>
      <c r="D159" s="558"/>
      <c r="E159" s="1031"/>
      <c r="F159" s="548" t="str">
        <f>IF(C159=FAEF!$B$65,"kgCO2e/kg subst.",IF(C159=FAEF!$B$74,"kgCO2e/kg "&amp;D159,""))</f>
        <v/>
      </c>
      <c r="G159" s="560"/>
      <c r="H159" s="973"/>
      <c r="I159" s="548" t="str">
        <f>IFERROR(IF(VLOOKUP(C159,FAEF!$B$59:$E$74,4,FALSE)="","",VLOOKUP(C159,FAEF!$B$59:$E$74,4,FALSE)),"")</f>
        <v/>
      </c>
      <c r="J159" s="975" t="str">
        <f>IFERROR(IF(AND(G159="",H159=""),"",FAEF!X188/1000),"")</f>
        <v/>
      </c>
      <c r="K159" s="434"/>
    </row>
    <row r="160" spans="2:11" ht="17.5" customHeight="1" outlineLevel="2" x14ac:dyDescent="0.35">
      <c r="B160" s="557"/>
      <c r="C160" s="557"/>
      <c r="D160" s="558"/>
      <c r="E160" s="1031"/>
      <c r="F160" s="548" t="str">
        <f>IF(C160=FAEF!$B$65,"kgCO2e/kg subst.",IF(C160=FAEF!$B$74,"kgCO2e/kg "&amp;D160,""))</f>
        <v/>
      </c>
      <c r="G160" s="560"/>
      <c r="H160" s="973"/>
      <c r="I160" s="548" t="str">
        <f>IFERROR(IF(VLOOKUP(C160,FAEF!$B$59:$E$74,4,FALSE)="","",VLOOKUP(C160,FAEF!$B$59:$E$74,4,FALSE)),"")</f>
        <v/>
      </c>
      <c r="J160" s="975" t="str">
        <f>IFERROR(IF(AND(G160="",H160=""),"",FAEF!X189/1000),"")</f>
        <v/>
      </c>
      <c r="K160" s="434"/>
    </row>
    <row r="161" spans="2:11" ht="17.5" customHeight="1" outlineLevel="2" x14ac:dyDescent="0.35">
      <c r="B161" s="557"/>
      <c r="C161" s="557"/>
      <c r="D161" s="558"/>
      <c r="E161" s="1031"/>
      <c r="F161" s="548" t="str">
        <f>IF(C161=FAEF!$B$65,"kgCO2e/kg subst.",IF(C161=FAEF!$B$74,"kgCO2e/kg "&amp;D161,""))</f>
        <v/>
      </c>
      <c r="G161" s="560"/>
      <c r="H161" s="973"/>
      <c r="I161" s="548" t="str">
        <f>IFERROR(IF(VLOOKUP(C161,FAEF!$B$59:$E$74,4,FALSE)="","",VLOOKUP(C161,FAEF!$B$59:$E$74,4,FALSE)),"")</f>
        <v/>
      </c>
      <c r="J161" s="975" t="str">
        <f>IFERROR(IF(AND(G161="",H161=""),"",FAEF!X190/1000),"")</f>
        <v/>
      </c>
      <c r="K161" s="434"/>
    </row>
    <row r="162" spans="2:11" ht="17.5" customHeight="1" outlineLevel="2" x14ac:dyDescent="0.35">
      <c r="B162" s="557"/>
      <c r="C162" s="557"/>
      <c r="D162" s="558"/>
      <c r="E162" s="1031"/>
      <c r="F162" s="548" t="str">
        <f>IF(C162=FAEF!$B$65,"kgCO2e/kg subst.",IF(C162=FAEF!$B$74,"kgCO2e/kg "&amp;D162,""))</f>
        <v/>
      </c>
      <c r="G162" s="560"/>
      <c r="H162" s="973"/>
      <c r="I162" s="548" t="str">
        <f>IFERROR(IF(VLOOKUP(C162,FAEF!$B$59:$E$74,4,FALSE)="","",VLOOKUP(C162,FAEF!$B$59:$E$74,4,FALSE)),"")</f>
        <v/>
      </c>
      <c r="J162" s="975" t="str">
        <f>IFERROR(IF(AND(G162="",H162=""),"",FAEF!X191/1000),"")</f>
        <v/>
      </c>
      <c r="K162" s="434"/>
    </row>
    <row r="163" spans="2:11" ht="17.5" customHeight="1" outlineLevel="2" x14ac:dyDescent="0.35">
      <c r="B163" s="557"/>
      <c r="C163" s="557"/>
      <c r="D163" s="558"/>
      <c r="E163" s="1031"/>
      <c r="F163" s="548" t="str">
        <f>IF(C163=FAEF!$B$65,"kgCO2e/kg subst.",IF(C163=FAEF!$B$74,"kgCO2e/kg "&amp;D163,""))</f>
        <v/>
      </c>
      <c r="G163" s="560"/>
      <c r="H163" s="973"/>
      <c r="I163" s="548" t="str">
        <f>IFERROR(IF(VLOOKUP(C163,FAEF!$B$59:$E$74,4,FALSE)="","",VLOOKUP(C163,FAEF!$B$59:$E$74,4,FALSE)),"")</f>
        <v/>
      </c>
      <c r="J163" s="975" t="str">
        <f>IFERROR(IF(AND(G163="",H163=""),"",FAEF!X192/1000),"")</f>
        <v/>
      </c>
      <c r="K163" s="434"/>
    </row>
    <row r="164" spans="2:11" ht="17.5" customHeight="1" outlineLevel="2" x14ac:dyDescent="0.35">
      <c r="B164" s="557"/>
      <c r="C164" s="557"/>
      <c r="D164" s="558"/>
      <c r="E164" s="1031"/>
      <c r="F164" s="548" t="str">
        <f>IF(C164=FAEF!$B$65,"kgCO2e/kg subst.",IF(C164=FAEF!$B$74,"kgCO2e/kg "&amp;D164,""))</f>
        <v/>
      </c>
      <c r="G164" s="560"/>
      <c r="H164" s="973"/>
      <c r="I164" s="548" t="str">
        <f>IFERROR(IF(VLOOKUP(C164,FAEF!$B$59:$E$74,4,FALSE)="","",VLOOKUP(C164,FAEF!$B$59:$E$74,4,FALSE)),"")</f>
        <v/>
      </c>
      <c r="J164" s="975" t="str">
        <f>IFERROR(IF(AND(G164="",H164=""),"",FAEF!X193/1000),"")</f>
        <v/>
      </c>
      <c r="K164" s="434"/>
    </row>
    <row r="165" spans="2:11" ht="17.5" customHeight="1" outlineLevel="2" x14ac:dyDescent="0.35">
      <c r="B165" s="557"/>
      <c r="C165" s="557"/>
      <c r="D165" s="558"/>
      <c r="E165" s="1031"/>
      <c r="F165" s="548" t="str">
        <f>IF(C165=FAEF!$B$65,"kgCO2e/kg subst.",IF(C165=FAEF!$B$74,"kgCO2e/kg "&amp;D165,""))</f>
        <v/>
      </c>
      <c r="G165" s="560"/>
      <c r="H165" s="973"/>
      <c r="I165" s="548" t="str">
        <f>IFERROR(IF(VLOOKUP(C165,FAEF!$B$59:$E$74,4,FALSE)="","",VLOOKUP(C165,FAEF!$B$59:$E$74,4,FALSE)),"")</f>
        <v/>
      </c>
      <c r="J165" s="975" t="str">
        <f>IFERROR(IF(AND(G165="",H165=""),"",FAEF!X194/1000),"")</f>
        <v/>
      </c>
      <c r="K165" s="434"/>
    </row>
    <row r="166" spans="2:11" ht="17.5" customHeight="1" outlineLevel="2" x14ac:dyDescent="0.35">
      <c r="B166" s="557"/>
      <c r="C166" s="557"/>
      <c r="D166" s="558"/>
      <c r="E166" s="1031"/>
      <c r="F166" s="548" t="str">
        <f>IF(C166=FAEF!$B$65,"kgCO2e/kg subst.",IF(C166=FAEF!$B$74,"kgCO2e/kg "&amp;D166,""))</f>
        <v/>
      </c>
      <c r="G166" s="560"/>
      <c r="H166" s="973"/>
      <c r="I166" s="548" t="str">
        <f>IFERROR(IF(VLOOKUP(C166,FAEF!$B$59:$E$74,4,FALSE)="","",VLOOKUP(C166,FAEF!$B$59:$E$74,4,FALSE)),"")</f>
        <v/>
      </c>
      <c r="J166" s="975" t="str">
        <f>IFERROR(IF(AND(G166="",H166=""),"",FAEF!X195/1000),"")</f>
        <v/>
      </c>
      <c r="K166" s="434"/>
    </row>
    <row r="167" spans="2:11" ht="17.5" customHeight="1" outlineLevel="2" x14ac:dyDescent="0.35">
      <c r="B167" s="557"/>
      <c r="C167" s="557"/>
      <c r="D167" s="558"/>
      <c r="E167" s="1031"/>
      <c r="F167" s="548" t="str">
        <f>IF(C167=FAEF!$B$65,"kgCO2e/kg subst.",IF(C167=FAEF!$B$74,"kgCO2e/kg "&amp;D167,""))</f>
        <v/>
      </c>
      <c r="G167" s="560"/>
      <c r="H167" s="973"/>
      <c r="I167" s="548" t="str">
        <f>IFERROR(IF(VLOOKUP(C167,FAEF!$B$59:$E$74,4,FALSE)="","",VLOOKUP(C167,FAEF!$B$59:$E$74,4,FALSE)),"")</f>
        <v/>
      </c>
      <c r="J167" s="975" t="str">
        <f>IFERROR(IF(AND(G167="",H167=""),"",FAEF!X196/1000),"")</f>
        <v/>
      </c>
      <c r="K167" s="434"/>
    </row>
    <row r="168" spans="2:11" ht="17.5" customHeight="1" outlineLevel="2" x14ac:dyDescent="0.35">
      <c r="B168" s="557"/>
      <c r="C168" s="557"/>
      <c r="D168" s="558"/>
      <c r="E168" s="1031"/>
      <c r="F168" s="548" t="str">
        <f>IF(C168=FAEF!$B$65,"kgCO2e/kg subst.",IF(C168=FAEF!$B$74,"kgCO2e/kg "&amp;D168,""))</f>
        <v/>
      </c>
      <c r="G168" s="560"/>
      <c r="H168" s="973"/>
      <c r="I168" s="548" t="str">
        <f>IFERROR(IF(VLOOKUP(C168,FAEF!$B$59:$E$74,4,FALSE)="","",VLOOKUP(C168,FAEF!$B$59:$E$74,4,FALSE)),"")</f>
        <v/>
      </c>
      <c r="J168" s="975" t="str">
        <f>IFERROR(IF(AND(G168="",H168=""),"",FAEF!X197/1000),"")</f>
        <v/>
      </c>
      <c r="K168" s="434"/>
    </row>
    <row r="169" spans="2:11" ht="17.5" customHeight="1" outlineLevel="2" x14ac:dyDescent="0.35">
      <c r="B169" s="557"/>
      <c r="C169" s="557"/>
      <c r="D169" s="558"/>
      <c r="E169" s="1031"/>
      <c r="F169" s="548" t="str">
        <f>IF(C169=FAEF!$B$65,"kgCO2e/kg subst.",IF(C169=FAEF!$B$74,"kgCO2e/kg "&amp;D169,""))</f>
        <v/>
      </c>
      <c r="G169" s="560"/>
      <c r="H169" s="973"/>
      <c r="I169" s="548" t="str">
        <f>IFERROR(IF(VLOOKUP(C169,FAEF!$B$59:$E$74,4,FALSE)="","",VLOOKUP(C169,FAEF!$B$59:$E$74,4,FALSE)),"")</f>
        <v/>
      </c>
      <c r="J169" s="975" t="str">
        <f>IFERROR(IF(AND(G169="",H169=""),"",FAEF!X198/1000),"")</f>
        <v/>
      </c>
      <c r="K169" s="434"/>
    </row>
    <row r="170" spans="2:11" ht="17.5" customHeight="1" outlineLevel="2" x14ac:dyDescent="0.35">
      <c r="B170" s="557"/>
      <c r="C170" s="557"/>
      <c r="D170" s="558"/>
      <c r="E170" s="1031"/>
      <c r="F170" s="548" t="str">
        <f>IF(C170=FAEF!$B$65,"kgCO2e/kg subst.",IF(C170=FAEF!$B$74,"kgCO2e/kg "&amp;D170,""))</f>
        <v/>
      </c>
      <c r="G170" s="560"/>
      <c r="H170" s="973"/>
      <c r="I170" s="548" t="str">
        <f>IFERROR(IF(VLOOKUP(C170,FAEF!$B$59:$E$74,4,FALSE)="","",VLOOKUP(C170,FAEF!$B$59:$E$74,4,FALSE)),"")</f>
        <v/>
      </c>
      <c r="J170" s="975" t="str">
        <f>IFERROR(IF(AND(G170="",H170=""),"",FAEF!X199/1000),"")</f>
        <v/>
      </c>
      <c r="K170" s="434"/>
    </row>
    <row r="171" spans="2:11" ht="17.5" customHeight="1" outlineLevel="2" x14ac:dyDescent="0.35">
      <c r="B171" s="557"/>
      <c r="C171" s="557"/>
      <c r="D171" s="558"/>
      <c r="E171" s="1031"/>
      <c r="F171" s="548" t="str">
        <f>IF(C171=FAEF!$B$65,"kgCO2e/kg subst.",IF(C171=FAEF!$B$74,"kgCO2e/kg "&amp;D171,""))</f>
        <v/>
      </c>
      <c r="G171" s="560"/>
      <c r="H171" s="973"/>
      <c r="I171" s="548" t="str">
        <f>IFERROR(IF(VLOOKUP(C171,FAEF!$B$59:$E$74,4,FALSE)="","",VLOOKUP(C171,FAEF!$B$59:$E$74,4,FALSE)),"")</f>
        <v/>
      </c>
      <c r="J171" s="975" t="str">
        <f>IFERROR(IF(AND(G171="",H171=""),"",FAEF!X200/1000),"")</f>
        <v/>
      </c>
      <c r="K171" s="434"/>
    </row>
    <row r="172" spans="2:11" ht="17.5" customHeight="1" outlineLevel="2" x14ac:dyDescent="0.35">
      <c r="B172" s="557"/>
      <c r="C172" s="557"/>
      <c r="D172" s="558"/>
      <c r="E172" s="1031"/>
      <c r="F172" s="548" t="str">
        <f>IF(C172=FAEF!$B$65,"kgCO2e/kg subst.",IF(C172=FAEF!$B$74,"kgCO2e/kg "&amp;D172,""))</f>
        <v/>
      </c>
      <c r="G172" s="560"/>
      <c r="H172" s="973"/>
      <c r="I172" s="548" t="str">
        <f>IFERROR(IF(VLOOKUP(C172,FAEF!$B$59:$E$74,4,FALSE)="","",VLOOKUP(C172,FAEF!$B$59:$E$74,4,FALSE)),"")</f>
        <v/>
      </c>
      <c r="J172" s="975" t="str">
        <f>IFERROR(IF(AND(G172="",H172=""),"",FAEF!X201/1000),"")</f>
        <v/>
      </c>
      <c r="K172" s="434"/>
    </row>
    <row r="173" spans="2:11" ht="17.5" customHeight="1" outlineLevel="2" x14ac:dyDescent="0.35">
      <c r="B173" s="557"/>
      <c r="C173" s="557"/>
      <c r="D173" s="558"/>
      <c r="E173" s="1031"/>
      <c r="F173" s="548" t="str">
        <f>IF(C173=FAEF!$B$65,"kgCO2e/kg subst.",IF(C173=FAEF!$B$74,"kgCO2e/kg "&amp;D173,""))</f>
        <v/>
      </c>
      <c r="G173" s="560"/>
      <c r="H173" s="973"/>
      <c r="I173" s="548" t="str">
        <f>IFERROR(IF(VLOOKUP(C173,FAEF!$B$59:$E$74,4,FALSE)="","",VLOOKUP(C173,FAEF!$B$59:$E$74,4,FALSE)),"")</f>
        <v/>
      </c>
      <c r="J173" s="975" t="str">
        <f>IFERROR(IF(AND(G173="",H173=""),"",FAEF!X202/1000),"")</f>
        <v/>
      </c>
      <c r="K173" s="434"/>
    </row>
    <row r="174" spans="2:11" ht="17.5" customHeight="1" outlineLevel="2" x14ac:dyDescent="0.35">
      <c r="B174" s="557"/>
      <c r="C174" s="557"/>
      <c r="D174" s="558"/>
      <c r="E174" s="1031"/>
      <c r="F174" s="548" t="str">
        <f>IF(C174=FAEF!$B$65,"kgCO2e/kg subst.",IF(C174=FAEF!$B$74,"kgCO2e/kg "&amp;D174,""))</f>
        <v/>
      </c>
      <c r="G174" s="560"/>
      <c r="H174" s="973"/>
      <c r="I174" s="548" t="str">
        <f>IFERROR(IF(VLOOKUP(C174,FAEF!$B$59:$E$74,4,FALSE)="","",VLOOKUP(C174,FAEF!$B$59:$E$74,4,FALSE)),"")</f>
        <v/>
      </c>
      <c r="J174" s="975" t="str">
        <f>IFERROR(IF(AND(G174="",H174=""),"",FAEF!X203/1000),"")</f>
        <v/>
      </c>
      <c r="K174" s="434"/>
    </row>
    <row r="175" spans="2:11" ht="17.5" customHeight="1" outlineLevel="2" x14ac:dyDescent="0.35">
      <c r="B175" s="557"/>
      <c r="C175" s="557"/>
      <c r="D175" s="558"/>
      <c r="E175" s="1031"/>
      <c r="F175" s="548" t="str">
        <f>IF(C175=FAEF!$B$65,"kgCO2e/kg subst.",IF(C175=FAEF!$B$74,"kgCO2e/kg "&amp;D175,""))</f>
        <v/>
      </c>
      <c r="G175" s="560"/>
      <c r="H175" s="973"/>
      <c r="I175" s="548" t="str">
        <f>IFERROR(IF(VLOOKUP(C175,FAEF!$B$59:$E$74,4,FALSE)="","",VLOOKUP(C175,FAEF!$B$59:$E$74,4,FALSE)),"")</f>
        <v/>
      </c>
      <c r="J175" s="975" t="str">
        <f>IFERROR(IF(AND(G175="",H175=""),"",FAEF!X204/1000),"")</f>
        <v/>
      </c>
      <c r="K175" s="434"/>
    </row>
    <row r="176" spans="2:11" ht="17.5" customHeight="1" outlineLevel="2" x14ac:dyDescent="0.35">
      <c r="B176" s="557"/>
      <c r="C176" s="557"/>
      <c r="D176" s="558"/>
      <c r="E176" s="1031"/>
      <c r="F176" s="548" t="str">
        <f>IF(C176=FAEF!$B$65,"kgCO2e/kg subst.",IF(C176=FAEF!$B$74,"kgCO2e/kg "&amp;D176,""))</f>
        <v/>
      </c>
      <c r="G176" s="560"/>
      <c r="H176" s="973"/>
      <c r="I176" s="548" t="str">
        <f>IFERROR(IF(VLOOKUP(C176,FAEF!$B$59:$E$74,4,FALSE)="","",VLOOKUP(C176,FAEF!$B$59:$E$74,4,FALSE)),"")</f>
        <v/>
      </c>
      <c r="J176" s="975" t="str">
        <f>IFERROR(IF(AND(G176="",H176=""),"",FAEF!X205/1000),"")</f>
        <v/>
      </c>
      <c r="K176" s="434"/>
    </row>
    <row r="177" spans="2:11" ht="17.5" customHeight="1" outlineLevel="2" x14ac:dyDescent="0.35">
      <c r="B177" s="557"/>
      <c r="C177" s="557"/>
      <c r="D177" s="558"/>
      <c r="E177" s="1031"/>
      <c r="F177" s="548" t="str">
        <f>IF(C177=FAEF!$B$65,"kgCO2e/kg subst.",IF(C177=FAEF!$B$74,"kgCO2e/kg "&amp;D177,""))</f>
        <v/>
      </c>
      <c r="G177" s="560"/>
      <c r="H177" s="973"/>
      <c r="I177" s="548" t="str">
        <f>IFERROR(IF(VLOOKUP(C177,FAEF!$B$59:$E$74,4,FALSE)="","",VLOOKUP(C177,FAEF!$B$59:$E$74,4,FALSE)),"")</f>
        <v/>
      </c>
      <c r="J177" s="975" t="str">
        <f>IFERROR(IF(AND(G177="",H177=""),"",FAEF!X206/1000),"")</f>
        <v/>
      </c>
      <c r="K177" s="434"/>
    </row>
    <row r="178" spans="2:11" ht="17.5" customHeight="1" outlineLevel="2" x14ac:dyDescent="0.35">
      <c r="B178" s="557"/>
      <c r="C178" s="557"/>
      <c r="D178" s="558"/>
      <c r="E178" s="1031"/>
      <c r="F178" s="548" t="str">
        <f>IF(C178=FAEF!$B$65,"kgCO2e/kg subst.",IF(C178=FAEF!$B$74,"kgCO2e/kg "&amp;D178,""))</f>
        <v/>
      </c>
      <c r="G178" s="560"/>
      <c r="H178" s="973"/>
      <c r="I178" s="548" t="str">
        <f>IFERROR(IF(VLOOKUP(C178,FAEF!$B$59:$E$74,4,FALSE)="","",VLOOKUP(C178,FAEF!$B$59:$E$74,4,FALSE)),"")</f>
        <v/>
      </c>
      <c r="J178" s="975" t="str">
        <f>IFERROR(IF(AND(G178="",H178=""),"",FAEF!X207/1000),"")</f>
        <v/>
      </c>
      <c r="K178" s="434"/>
    </row>
    <row r="179" spans="2:11" ht="17.5" customHeight="1" outlineLevel="2" x14ac:dyDescent="0.35">
      <c r="B179" s="557"/>
      <c r="C179" s="557"/>
      <c r="D179" s="558"/>
      <c r="E179" s="1031"/>
      <c r="F179" s="548" t="str">
        <f>IF(C179=FAEF!$B$65,"kgCO2e/kg subst.",IF(C179=FAEF!$B$74,"kgCO2e/kg "&amp;D179,""))</f>
        <v/>
      </c>
      <c r="G179" s="560"/>
      <c r="H179" s="973"/>
      <c r="I179" s="548" t="str">
        <f>IFERROR(IF(VLOOKUP(C179,FAEF!$B$59:$E$74,4,FALSE)="","",VLOOKUP(C179,FAEF!$B$59:$E$74,4,FALSE)),"")</f>
        <v/>
      </c>
      <c r="J179" s="975" t="str">
        <f>IFERROR(IF(AND(G179="",H179=""),"",FAEF!X208/1000),"")</f>
        <v/>
      </c>
      <c r="K179" s="434"/>
    </row>
    <row r="180" spans="2:11" ht="17.5" customHeight="1" outlineLevel="2" x14ac:dyDescent="0.35">
      <c r="B180" s="557"/>
      <c r="C180" s="557"/>
      <c r="D180" s="558"/>
      <c r="E180" s="1031"/>
      <c r="F180" s="548" t="str">
        <f>IF(C180=FAEF!$B$65,"kgCO2e/kg subst.",IF(C180=FAEF!$B$74,"kgCO2e/kg "&amp;D180,""))</f>
        <v/>
      </c>
      <c r="G180" s="560"/>
      <c r="H180" s="973"/>
      <c r="I180" s="548" t="str">
        <f>IFERROR(IF(VLOOKUP(C180,FAEF!$B$59:$E$74,4,FALSE)="","",VLOOKUP(C180,FAEF!$B$59:$E$74,4,FALSE)),"")</f>
        <v/>
      </c>
      <c r="J180" s="975" t="str">
        <f>IFERROR(IF(AND(G180="",H180=""),"",FAEF!X209/1000),"")</f>
        <v/>
      </c>
      <c r="K180" s="434"/>
    </row>
    <row r="181" spans="2:11" ht="17.5" customHeight="1" outlineLevel="2" x14ac:dyDescent="0.35">
      <c r="B181" s="557"/>
      <c r="C181" s="557"/>
      <c r="D181" s="558"/>
      <c r="E181" s="1031"/>
      <c r="F181" s="548" t="str">
        <f>IF(C181=FAEF!$B$65,"kgCO2e/kg subst.",IF(C181=FAEF!$B$74,"kgCO2e/kg "&amp;D181,""))</f>
        <v/>
      </c>
      <c r="G181" s="560"/>
      <c r="H181" s="973"/>
      <c r="I181" s="548" t="str">
        <f>IFERROR(IF(VLOOKUP(C181,FAEF!$B$59:$E$74,4,FALSE)="","",VLOOKUP(C181,FAEF!$B$59:$E$74,4,FALSE)),"")</f>
        <v/>
      </c>
      <c r="J181" s="975" t="str">
        <f>IFERROR(IF(AND(G181="",H181=""),"",FAEF!X210/1000),"")</f>
        <v/>
      </c>
      <c r="K181" s="434"/>
    </row>
    <row r="182" spans="2:11" outlineLevel="1" x14ac:dyDescent="0.35">
      <c r="B182" s="278" t="s">
        <v>40</v>
      </c>
      <c r="C182" s="279"/>
      <c r="D182" s="279"/>
      <c r="E182" s="812"/>
      <c r="F182" s="279"/>
      <c r="G182" s="279"/>
      <c r="H182" s="279"/>
      <c r="I182" s="279"/>
      <c r="J182" s="975">
        <f>SUM(J82:J181)</f>
        <v>0</v>
      </c>
      <c r="K182" s="435"/>
    </row>
    <row r="183" spans="2:11" outlineLevel="1" x14ac:dyDescent="0.35">
      <c r="B183" s="169" t="s">
        <v>849</v>
      </c>
    </row>
    <row r="184" spans="2:11" outlineLevel="1" x14ac:dyDescent="0.35"/>
    <row r="185" spans="2:11" s="538" customFormat="1" ht="30" customHeight="1" x14ac:dyDescent="0.35">
      <c r="B185" s="296" t="s">
        <v>671</v>
      </c>
    </row>
    <row r="186" spans="2:11" x14ac:dyDescent="0.35"/>
    <row r="187" spans="2:11" x14ac:dyDescent="0.35">
      <c r="D187" s="169"/>
      <c r="E187" s="1050" t="s">
        <v>598</v>
      </c>
      <c r="F187" s="1051"/>
      <c r="G187" s="1052"/>
    </row>
    <row r="188" spans="2:11" x14ac:dyDescent="0.35">
      <c r="D188" s="169"/>
      <c r="E188" s="282" t="str">
        <f>'Combustão Móvel'!E559</f>
        <v>Construção ou fase preparatória</v>
      </c>
      <c r="F188" s="283" t="s">
        <v>36</v>
      </c>
      <c r="G188" s="208" t="s">
        <v>255</v>
      </c>
    </row>
    <row r="189" spans="2:11" ht="17.5" x14ac:dyDescent="0.35">
      <c r="B189" s="1050" t="s">
        <v>1248</v>
      </c>
      <c r="C189" s="1051"/>
      <c r="D189" s="1052"/>
      <c r="E189" s="806">
        <f>SUMIF($B$44:$B$64,E$188,$K$44:$K$64)/1000+SUMIF($B$82:$B$181,E$188,$J$82:$J$181)</f>
        <v>0</v>
      </c>
      <c r="F189" s="806">
        <f>SUMIF($B$44:$B$64,F$188,$K$44:$K$64)/1000+SUMIF($B$82:$B$181,F$188,$J$82:$J$181)</f>
        <v>0</v>
      </c>
      <c r="G189" s="806">
        <f>SUMIF($B$44:$B$64,G$188,$K$44:$K$64)/1000+SUMIF($B$82:$B$181,G$188,$J$82:$J$181)</f>
        <v>0</v>
      </c>
      <c r="H189" s="285" t="s">
        <v>40</v>
      </c>
    </row>
    <row r="190" spans="2:11" ht="17.5" x14ac:dyDescent="0.35">
      <c r="B190" s="1050" t="s">
        <v>1315</v>
      </c>
      <c r="C190" s="1051"/>
      <c r="D190" s="1052"/>
      <c r="E190" s="806">
        <f>IF('Dados gerais'!$F$33="", 2*E189, 'Dados gerais'!$F$33*E189)</f>
        <v>0</v>
      </c>
      <c r="F190" s="806">
        <f>IF('Dados gerais'!$F$34="", 10*F189, 'Dados gerais'!$F$34*F189)</f>
        <v>0</v>
      </c>
      <c r="G190" s="806">
        <f>IF('Dados gerais'!$F$35="", 1*G189, 'Dados gerais'!$F$35*G189)</f>
        <v>0</v>
      </c>
      <c r="H190" s="807">
        <f>SUM(E190:G190)</f>
        <v>0</v>
      </c>
    </row>
    <row r="191" spans="2:11" ht="17.5" x14ac:dyDescent="0.35">
      <c r="B191" s="436" t="s">
        <v>1316</v>
      </c>
    </row>
    <row r="192" spans="2:11" x14ac:dyDescent="0.35">
      <c r="B192" s="437"/>
    </row>
    <row r="193" spans="2:2" x14ac:dyDescent="0.35">
      <c r="B193" s="438"/>
    </row>
    <row r="194" spans="2:2" x14ac:dyDescent="0.35">
      <c r="B194" s="439"/>
    </row>
    <row r="195" spans="2:2" x14ac:dyDescent="0.35">
      <c r="B195" s="439"/>
    </row>
    <row r="196" spans="2:2" x14ac:dyDescent="0.35"/>
    <row r="197" spans="2:2" x14ac:dyDescent="0.35"/>
    <row r="198" spans="2:2" x14ac:dyDescent="0.35"/>
    <row r="199" spans="2:2" x14ac:dyDescent="0.35"/>
    <row r="200" spans="2:2" x14ac:dyDescent="0.35"/>
    <row r="201" spans="2:2" x14ac:dyDescent="0.35"/>
    <row r="202" spans="2:2" x14ac:dyDescent="0.35"/>
    <row r="203" spans="2:2" x14ac:dyDescent="0.35">
      <c r="B203" s="440"/>
    </row>
    <row r="204" spans="2:2" x14ac:dyDescent="0.35"/>
    <row r="205" spans="2:2" x14ac:dyDescent="0.35"/>
    <row r="206" spans="2:2" x14ac:dyDescent="0.35"/>
    <row r="207" spans="2:2" x14ac:dyDescent="0.35"/>
    <row r="208" spans="2:2"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sheetData>
  <sheetProtection algorithmName="SHA-512" hashValue="i1R7L7nOt5mwdR1usONH6HAj+q02oARbIWvAFy8AWcT9RQ6cMyHBkpVnW+I1gXoZPo2eGgb3fEd3Olr9zB5AOA==" saltValue="MQTxVh5inPcaafXDpsyOiA==" spinCount="100000" sheet="1" formatRows="0" selectLockedCells="1"/>
  <protectedRanges>
    <protectedRange sqref="B82:E181 G82:H181" name="EF2"/>
    <protectedRange sqref="B44:C64 E44:I64" name="EF1"/>
  </protectedRanges>
  <mergeCells count="23">
    <mergeCell ref="D7:H7"/>
    <mergeCell ref="B9:N9"/>
    <mergeCell ref="D40:E40"/>
    <mergeCell ref="G40:H42"/>
    <mergeCell ref="I40:I42"/>
    <mergeCell ref="J40:J42"/>
    <mergeCell ref="C40:C42"/>
    <mergeCell ref="B40:B42"/>
    <mergeCell ref="K40:K42"/>
    <mergeCell ref="B190:D190"/>
    <mergeCell ref="D79:F79"/>
    <mergeCell ref="H79:I79"/>
    <mergeCell ref="B12:N13"/>
    <mergeCell ref="C79:C80"/>
    <mergeCell ref="B79:B80"/>
    <mergeCell ref="B74:J74"/>
    <mergeCell ref="B75:J75"/>
    <mergeCell ref="B76:J76"/>
    <mergeCell ref="F40:F42"/>
    <mergeCell ref="E187:G187"/>
    <mergeCell ref="B189:D189"/>
    <mergeCell ref="K79:K80"/>
    <mergeCell ref="J79:J80"/>
  </mergeCells>
  <phoneticPr fontId="28" type="noConversion"/>
  <conditionalFormatting sqref="G44:G64">
    <cfRule type="expression" dxfId="77" priority="25">
      <formula>F44="Não"</formula>
    </cfRule>
  </conditionalFormatting>
  <conditionalFormatting sqref="H43:H64">
    <cfRule type="expression" dxfId="69" priority="24">
      <formula>F43="Sim"</formula>
    </cfRule>
  </conditionalFormatting>
  <dataValidations disablePrompts="1" count="1">
    <dataValidation type="list" allowBlank="1" showInputMessage="1" showErrorMessage="1" sqref="N43:N64 C43" xr:uid="{8BF7AEA2-4C0F-4FA0-8E03-10006F734921}">
      <formula1>#REF!</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 id="{A575831E-DEA2-4AFF-925A-3EE9EB18E29D}">
            <xm:f>$C82=FAEF!$B$74</xm:f>
            <x14:dxf>
              <fill>
                <patternFill>
                  <bgColor theme="8" tint="0.39994506668294322"/>
                </patternFill>
              </fill>
            </x14:dxf>
          </x14:cfRule>
          <x14:cfRule type="expression" priority="21" id="{C988CD1C-0804-40A1-93CF-28DC469EFBC7}">
            <xm:f>$C82=FAEF!$B$65</xm:f>
            <x14:dxf>
              <fill>
                <patternFill>
                  <bgColor theme="8" tint="0.39994506668294322"/>
                </patternFill>
              </fill>
            </x14:dxf>
          </x14:cfRule>
          <xm:sqref>D82:E181</xm:sqref>
        </x14:conditionalFormatting>
        <x14:conditionalFormatting xmlns:xm="http://schemas.microsoft.com/office/excel/2006/main">
          <x14:cfRule type="expression" priority="1" id="{EEDC67A5-CB5C-4FE1-84F5-C1D548730438}">
            <xm:f>Triagem!$C$31="Não"</xm:f>
            <x14:dxf>
              <font>
                <color theme="2" tint="-0.499984740745262"/>
              </font>
            </x14:dxf>
          </x14:cfRule>
          <x14:cfRule type="expression" priority="2" id="{E182617C-B542-4A9E-979B-54E43061D144}">
            <xm:f>Triagem!$C$31=""</xm:f>
            <x14:dxf>
              <font>
                <b/>
                <i val="0"/>
                <u val="double"/>
                <color rgb="FFFF0000"/>
              </font>
              <fill>
                <patternFill>
                  <bgColor theme="7" tint="0.79998168889431442"/>
                </patternFill>
              </fill>
            </x14:dxf>
          </x14:cfRule>
          <xm:sqref>D7:H8</xm:sqref>
        </x14:conditionalFormatting>
        <x14:conditionalFormatting xmlns:xm="http://schemas.microsoft.com/office/excel/2006/main">
          <x14:cfRule type="expression" priority="13" id="{C6EDC5EF-7B5D-4BC3-98F2-E86D2CA6D3AB}">
            <xm:f>$C82=FAEF!$B$72</xm:f>
            <x14:dxf>
              <fill>
                <patternFill patternType="none">
                  <bgColor auto="1"/>
                </patternFill>
              </fill>
            </x14:dxf>
          </x14:cfRule>
          <x14:cfRule type="expression" priority="14" id="{CEB1FBFA-ACC6-43C0-9558-4CBAF9121636}">
            <xm:f>$C82=FAEF!$B$71</xm:f>
            <x14:dxf>
              <fill>
                <patternFill patternType="none">
                  <bgColor auto="1"/>
                </patternFill>
              </fill>
            </x14:dxf>
          </x14:cfRule>
          <x14:cfRule type="expression" priority="15" id="{5D6E2F17-56D5-42E5-8C00-961ACBC947C9}">
            <xm:f>$C82=FAEF!$B$70</xm:f>
            <x14:dxf>
              <fill>
                <patternFill patternType="none">
                  <bgColor auto="1"/>
                </patternFill>
              </fill>
            </x14:dxf>
          </x14:cfRule>
          <x14:cfRule type="expression" priority="16" id="{009AA46E-F593-4E90-807F-D3A93349A3F5}">
            <xm:f>$C82=FAEF!$B$69</xm:f>
            <x14:dxf>
              <fill>
                <patternFill patternType="none">
                  <bgColor auto="1"/>
                </patternFill>
              </fill>
            </x14:dxf>
          </x14:cfRule>
          <x14:cfRule type="expression" priority="17" id="{80AA5102-360D-4509-899D-9449C5C799DF}">
            <xm:f>$C82=FAEF!$B$68</xm:f>
            <x14:dxf>
              <fill>
                <patternFill patternType="none">
                  <bgColor auto="1"/>
                </patternFill>
              </fill>
            </x14:dxf>
          </x14:cfRule>
          <x14:cfRule type="expression" priority="18" id="{A77FE224-41AE-4939-A1EA-5ADB8178C186}">
            <xm:f>$C82=FAEF!$B$66</xm:f>
            <x14:dxf>
              <fill>
                <patternFill patternType="none">
                  <bgColor auto="1"/>
                </patternFill>
              </fill>
            </x14:dxf>
          </x14:cfRule>
          <x14:cfRule type="expression" priority="19" id="{21161049-1EA9-4B6E-83BB-DC25A42072D7}">
            <xm:f>$C82=FAEF!$B$67</xm:f>
            <x14:dxf>
              <fill>
                <patternFill patternType="none">
                  <bgColor auto="1"/>
                </patternFill>
              </fill>
            </x14:dxf>
          </x14:cfRule>
          <xm:sqref>G82:G181</xm:sqref>
        </x14:conditionalFormatting>
        <x14:conditionalFormatting xmlns:xm="http://schemas.microsoft.com/office/excel/2006/main">
          <x14:cfRule type="expression" priority="6" id="{5D6AD6E0-F89F-4227-89A6-7FACCBCDF6C7}">
            <xm:f>C82=FAEF!$B$72</xm:f>
            <x14:dxf>
              <fill>
                <patternFill>
                  <bgColor theme="8" tint="0.39994506668294322"/>
                </patternFill>
              </fill>
            </x14:dxf>
          </x14:cfRule>
          <x14:cfRule type="expression" priority="7" id="{7E718731-0796-4CA2-B04A-9EC3E8E2FA39}">
            <xm:f>C82=FAEF!$B$71</xm:f>
            <x14:dxf>
              <fill>
                <patternFill>
                  <bgColor theme="8" tint="0.39994506668294322"/>
                </patternFill>
              </fill>
            </x14:dxf>
          </x14:cfRule>
          <x14:cfRule type="expression" priority="8" id="{AC88C332-A85A-4E88-AC7A-C40CBE24A31B}">
            <xm:f>C82=FAEF!$B$70</xm:f>
            <x14:dxf>
              <fill>
                <patternFill>
                  <bgColor theme="8" tint="0.39994506668294322"/>
                </patternFill>
              </fill>
            </x14:dxf>
          </x14:cfRule>
          <x14:cfRule type="expression" priority="9" id="{EB8F0599-7744-4A94-B43F-C968D0DBE7D1}">
            <xm:f>C82=FAEF!$B$69</xm:f>
            <x14:dxf>
              <fill>
                <patternFill>
                  <bgColor theme="8" tint="0.39994506668294322"/>
                </patternFill>
              </fill>
            </x14:dxf>
          </x14:cfRule>
          <x14:cfRule type="expression" priority="10" id="{2564A1B5-2C05-4DE7-8C92-98CEEC7F4BF1}">
            <xm:f>C82=FAEF!$B$68</xm:f>
            <x14:dxf>
              <fill>
                <patternFill>
                  <bgColor theme="8" tint="0.39994506668294322"/>
                </patternFill>
              </fill>
            </x14:dxf>
          </x14:cfRule>
          <x14:cfRule type="expression" priority="11" id="{EB6798B7-0FBB-451F-A725-1E6AC2ED8C5C}">
            <xm:f>C82=FAEF!$B$67</xm:f>
            <x14:dxf>
              <fill>
                <patternFill>
                  <bgColor theme="8" tint="0.39994506668294322"/>
                </patternFill>
              </fill>
            </x14:dxf>
          </x14:cfRule>
          <x14:cfRule type="expression" priority="12" id="{B919832C-7E68-4EBB-81B9-0C73123EFA30}">
            <xm:f>C82=FAEF!$B$66</xm:f>
            <x14:dxf>
              <fill>
                <patternFill>
                  <bgColor theme="8" tint="0.39994506668294322"/>
                </patternFill>
              </fill>
            </x14:dxf>
          </x14:cfRule>
          <xm:sqref>H82:H181</xm:sqref>
        </x14:conditionalFormatting>
      </x14:conditionalFormattings>
    </ext>
    <ext xmlns:x14="http://schemas.microsoft.com/office/spreadsheetml/2009/9/main" uri="{CCE6A557-97BC-4b89-ADB6-D9C93CAAB3DF}">
      <x14:dataValidations xmlns:xm="http://schemas.microsoft.com/office/excel/2006/main" disablePrompts="1" count="7">
        <x14:dataValidation type="list" allowBlank="1" showInputMessage="1" showErrorMessage="1" xr:uid="{33A80FC8-6B43-4081-8FDE-6237F5A1610D}">
          <x14:formula1>
            <xm:f>FAEF!$A$11:$A$13</xm:f>
          </x14:formula1>
          <xm:sqref>B43:B64 B81:B181</xm:sqref>
        </x14:dataValidation>
        <x14:dataValidation type="list" allowBlank="1" showInputMessage="1" showErrorMessage="1" xr:uid="{CCE2E1A2-BE20-4A24-B43F-5712EEE8DC96}">
          <x14:formula1>
            <xm:f>'Fatores de Emissão'!$C$252:$C$363</xm:f>
          </x14:formula1>
          <xm:sqref>G43:G64</xm:sqref>
        </x14:dataValidation>
        <x14:dataValidation type="list" allowBlank="1" showInputMessage="1" showErrorMessage="1" xr:uid="{CE808CC7-58D1-436E-8B64-A10806298926}">
          <x14:formula1>
            <xm:f>FAEF!$B$11:$B$12</xm:f>
          </x14:formula1>
          <xm:sqref>H43:H64</xm:sqref>
        </x14:dataValidation>
        <x14:dataValidation type="list" allowBlank="1" showInputMessage="1" showErrorMessage="1" xr:uid="{82A187DD-FAD4-449A-8E64-3F27A504318B}">
          <x14:formula1>
            <xm:f>FAEF!$C$11:$C$12</xm:f>
          </x14:formula1>
          <xm:sqref>F43:F64</xm:sqref>
        </x14:dataValidation>
        <x14:dataValidation type="list" allowBlank="1" showInputMessage="1" showErrorMessage="1" xr:uid="{3E65464D-A3AB-4136-BE16-B68FA194E854}">
          <x14:formula1>
            <xm:f>FAEF!$C$18:$C$26</xm:f>
          </x14:formula1>
          <xm:sqref>C44:C64</xm:sqref>
        </x14:dataValidation>
        <x14:dataValidation type="list" allowBlank="1" showInputMessage="1" showErrorMessage="1" xr:uid="{1D70BD1B-3624-4A70-905A-6E457EF7E23E}">
          <x14:formula1>
            <xm:f>FAEF!$B$59:$B$74</xm:f>
          </x14:formula1>
          <xm:sqref>C81</xm:sqref>
        </x14:dataValidation>
        <x14:dataValidation type="list" allowBlank="1" showInputMessage="1" showErrorMessage="1" xr:uid="{9503F575-33D8-4B08-ABC8-BACA67840641}">
          <x14:formula1>
            <xm:f>FAEF!$B$66:$B$74</xm:f>
          </x14:formula1>
          <xm:sqref>C82:C181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CF970-3D76-407F-AC12-A64832FD0656}">
  <sheetPr codeName="Folha12"/>
  <dimension ref="A9:X211"/>
  <sheetViews>
    <sheetView showGridLines="0" topLeftCell="A55" zoomScale="55" zoomScaleNormal="55" workbookViewId="0">
      <selection activeCell="B74" sqref="B74"/>
    </sheetView>
  </sheetViews>
  <sheetFormatPr defaultRowHeight="14.5" x14ac:dyDescent="0.35"/>
  <cols>
    <col min="1" max="1" width="16.81640625" customWidth="1"/>
    <col min="2" max="2" width="17" customWidth="1"/>
    <col min="3" max="3" width="27.81640625" customWidth="1"/>
    <col min="4" max="4" width="21.81640625" customWidth="1"/>
    <col min="5" max="5" width="15.54296875" customWidth="1"/>
    <col min="6" max="6" width="18.453125" customWidth="1"/>
    <col min="7" max="7" width="68.26953125" customWidth="1"/>
    <col min="9" max="9" width="77.26953125" customWidth="1"/>
    <col min="10" max="10" width="23" bestFit="1" customWidth="1"/>
    <col min="11" max="11" width="22.7265625" bestFit="1" customWidth="1"/>
    <col min="12" max="12" width="23.453125" bestFit="1" customWidth="1"/>
    <col min="13" max="13" width="23.26953125" bestFit="1" customWidth="1"/>
    <col min="14" max="14" width="14.54296875" customWidth="1"/>
    <col min="15" max="15" width="34.26953125" bestFit="1" customWidth="1"/>
    <col min="16" max="16" width="23" bestFit="1" customWidth="1"/>
    <col min="17" max="17" width="40.453125" bestFit="1" customWidth="1"/>
    <col min="19" max="19" width="10.26953125" customWidth="1"/>
    <col min="20" max="20" width="10.7265625" customWidth="1"/>
  </cols>
  <sheetData>
    <row r="9" spans="1:16" x14ac:dyDescent="0.35">
      <c r="A9" t="s">
        <v>735</v>
      </c>
    </row>
    <row r="10" spans="1:16" x14ac:dyDescent="0.35">
      <c r="A10" s="3" t="s">
        <v>37</v>
      </c>
      <c r="B10" s="48" t="s">
        <v>733</v>
      </c>
      <c r="C10" s="22"/>
    </row>
    <row r="11" spans="1:16" x14ac:dyDescent="0.35">
      <c r="A11" s="133" t="str">
        <f>'Fatores de Emissão'!B12</f>
        <v>Construção ou fase preparatória</v>
      </c>
      <c r="B11" s="294" t="s">
        <v>734</v>
      </c>
      <c r="C11" s="294" t="s">
        <v>541</v>
      </c>
    </row>
    <row r="12" spans="1:16" x14ac:dyDescent="0.35">
      <c r="A12" s="133" t="str">
        <f>'Fatores de Emissão'!B13</f>
        <v>Exploração</v>
      </c>
      <c r="B12" s="294" t="s">
        <v>52</v>
      </c>
      <c r="C12" s="294" t="s">
        <v>542</v>
      </c>
    </row>
    <row r="13" spans="1:16" x14ac:dyDescent="0.35">
      <c r="A13" s="133" t="str">
        <f>'Fatores de Emissão'!B14</f>
        <v>Desativação</v>
      </c>
      <c r="B13" s="22"/>
      <c r="C13" s="22"/>
    </row>
    <row r="14" spans="1:16" ht="15" thickBot="1" x14ac:dyDescent="0.4">
      <c r="J14" t="s">
        <v>751</v>
      </c>
      <c r="P14" t="s">
        <v>756</v>
      </c>
    </row>
    <row r="15" spans="1:16" ht="31.9" customHeight="1" thickBot="1" x14ac:dyDescent="0.4">
      <c r="C15" s="43" t="s">
        <v>248</v>
      </c>
      <c r="D15" s="43" t="s">
        <v>250</v>
      </c>
      <c r="E15" s="442" t="s">
        <v>752</v>
      </c>
      <c r="F15" s="443"/>
      <c r="G15" s="91" t="s">
        <v>750</v>
      </c>
      <c r="H15" s="1180" t="s">
        <v>749</v>
      </c>
      <c r="I15" s="89" t="s">
        <v>754</v>
      </c>
      <c r="J15" s="89" t="s">
        <v>755</v>
      </c>
    </row>
    <row r="16" spans="1:16" ht="15" customHeight="1" thickTop="1" x14ac:dyDescent="0.35">
      <c r="C16" s="44" t="s">
        <v>249</v>
      </c>
      <c r="D16" s="1187" t="s">
        <v>753</v>
      </c>
      <c r="E16" s="444" t="s">
        <v>251</v>
      </c>
      <c r="F16" s="445" t="s">
        <v>253</v>
      </c>
      <c r="G16" s="92"/>
      <c r="H16" s="1181"/>
      <c r="I16" s="89"/>
      <c r="J16" s="89"/>
    </row>
    <row r="17" spans="3:19" ht="32.5" customHeight="1" thickBot="1" x14ac:dyDescent="0.4">
      <c r="C17" s="45"/>
      <c r="D17" s="1188"/>
      <c r="E17" s="446" t="s">
        <v>252</v>
      </c>
      <c r="F17" s="447" t="s">
        <v>254</v>
      </c>
      <c r="G17" s="93" t="s">
        <v>757</v>
      </c>
      <c r="H17" s="1182"/>
      <c r="I17" s="89" t="s">
        <v>707</v>
      </c>
      <c r="J17" s="89"/>
    </row>
    <row r="18" spans="3:19" ht="21" thickTop="1" thickBot="1" x14ac:dyDescent="0.4">
      <c r="C18" s="29" t="str">
        <f>'Fatores de Emissão'!B168</f>
        <v>Refrigeração Residencial</v>
      </c>
      <c r="D18" s="46">
        <f>'Fatores de Emissão'!C168</f>
        <v>0.01</v>
      </c>
      <c r="E18" s="46">
        <f>'Fatores de Emissão'!D168</f>
        <v>5.0000000000000001E-3</v>
      </c>
      <c r="F18" s="46">
        <f>'Fatores de Emissão'!E168</f>
        <v>0.8</v>
      </c>
      <c r="G18" s="46">
        <f>'Fatores de Emissão'!F168</f>
        <v>0.35</v>
      </c>
      <c r="H18" s="46">
        <f>'Fatores de Emissão'!G168</f>
        <v>0.8</v>
      </c>
      <c r="I18" s="122">
        <f>'Fatores de Emissão'!H168</f>
        <v>0.5</v>
      </c>
      <c r="J18" s="122">
        <f>'Fatores de Emissão'!I168</f>
        <v>150</v>
      </c>
    </row>
    <row r="19" spans="3:19" ht="21" thickTop="1" thickBot="1" x14ac:dyDescent="0.4">
      <c r="C19" s="29" t="str">
        <f>'Fatores de Emissão'!B169</f>
        <v>Comercial Individual</v>
      </c>
      <c r="D19" s="46">
        <f>'Fatores de Emissão'!C169</f>
        <v>0.03</v>
      </c>
      <c r="E19" s="46">
        <f>'Fatores de Emissão'!D169</f>
        <v>0.15</v>
      </c>
      <c r="F19" s="46">
        <f>'Fatores de Emissão'!E169</f>
        <v>0.8</v>
      </c>
      <c r="G19" s="46">
        <f>'Fatores de Emissão'!F169</f>
        <v>0.35</v>
      </c>
      <c r="H19" s="46">
        <f>'Fatores de Emissão'!G169</f>
        <v>0.8</v>
      </c>
      <c r="I19" s="122">
        <f>'Fatores de Emissão'!H169</f>
        <v>6</v>
      </c>
      <c r="J19" s="122">
        <f>'Fatores de Emissão'!I169</f>
        <v>150</v>
      </c>
    </row>
    <row r="20" spans="3:19" ht="21" thickTop="1" thickBot="1" x14ac:dyDescent="0.4">
      <c r="C20" s="29" t="str">
        <f>'Fatores de Emissão'!B170</f>
        <v>Comercial Médio / Grande</v>
      </c>
      <c r="D20" s="46">
        <f>'Fatores de Emissão'!C170</f>
        <v>0.03</v>
      </c>
      <c r="E20" s="46">
        <f>'Fatores de Emissão'!D170</f>
        <v>0.35</v>
      </c>
      <c r="F20" s="46">
        <f>'Fatores de Emissão'!E170</f>
        <v>1</v>
      </c>
      <c r="G20" s="46">
        <f>'Fatores de Emissão'!F170</f>
        <v>0.35</v>
      </c>
      <c r="H20" s="46">
        <f>'Fatores de Emissão'!G170</f>
        <v>1</v>
      </c>
      <c r="I20" s="122">
        <f>'Fatores de Emissão'!H170</f>
        <v>2000</v>
      </c>
      <c r="J20" s="122">
        <f>'Fatores de Emissão'!I170</f>
        <v>2500</v>
      </c>
    </row>
    <row r="21" spans="3:19" ht="21" thickTop="1" thickBot="1" x14ac:dyDescent="0.4">
      <c r="C21" s="29" t="str">
        <f>'Fatores de Emissão'!B171</f>
        <v>Refrigeração de Transporte</v>
      </c>
      <c r="D21" s="46">
        <f>'Fatores de Emissão'!C171</f>
        <v>0.01</v>
      </c>
      <c r="E21" s="46">
        <f>'Fatores de Emissão'!D171</f>
        <v>0.5</v>
      </c>
      <c r="F21" s="46">
        <f>'Fatores de Emissão'!E171</f>
        <v>0.5</v>
      </c>
      <c r="G21" s="46">
        <f>'Fatores de Emissão'!F171</f>
        <v>0.35</v>
      </c>
      <c r="H21" s="46">
        <f>'Fatores de Emissão'!G171</f>
        <v>0.5</v>
      </c>
      <c r="I21" s="122">
        <f>'Fatores de Emissão'!H171</f>
        <v>8</v>
      </c>
      <c r="J21" s="122">
        <f>'Fatores de Emissão'!I171</f>
        <v>2500</v>
      </c>
    </row>
    <row r="22" spans="3:19" ht="21" thickTop="1" thickBot="1" x14ac:dyDescent="0.4">
      <c r="C22" s="29" t="str">
        <f>'Fatores de Emissão'!B172</f>
        <v>Refrigeração Industrial</v>
      </c>
      <c r="D22" s="46">
        <f>'Fatores de Emissão'!C172</f>
        <v>0.03</v>
      </c>
      <c r="E22" s="46">
        <f>'Fatores de Emissão'!D172</f>
        <v>0.25</v>
      </c>
      <c r="F22" s="46">
        <f>'Fatores de Emissão'!E172</f>
        <v>1</v>
      </c>
      <c r="G22" s="46">
        <f>'Fatores de Emissão'!F172</f>
        <v>0.45</v>
      </c>
      <c r="H22" s="46">
        <f>'Fatores de Emissão'!G172</f>
        <v>1</v>
      </c>
      <c r="I22" s="122">
        <f>'Fatores de Emissão'!H172</f>
        <v>10000</v>
      </c>
      <c r="J22" s="122">
        <f>'Fatores de Emissão'!I172</f>
        <v>150</v>
      </c>
    </row>
    <row r="23" spans="3:19" ht="21" thickTop="1" thickBot="1" x14ac:dyDescent="0.4">
      <c r="C23" s="29" t="str">
        <f>'Fatores de Emissão'!B173</f>
        <v xml:space="preserve">Frigorífico / Chiller </v>
      </c>
      <c r="D23" s="46">
        <f>'Fatores de Emissão'!C173</f>
        <v>0.01</v>
      </c>
      <c r="E23" s="46">
        <f>'Fatores de Emissão'!D173</f>
        <v>0.15</v>
      </c>
      <c r="F23" s="46">
        <f>'Fatores de Emissão'!E173</f>
        <v>1</v>
      </c>
      <c r="G23" s="46">
        <f>'Fatores de Emissão'!F173</f>
        <v>0.47499999999999998</v>
      </c>
      <c r="H23" s="46">
        <f>'Fatores de Emissão'!G173</f>
        <v>1</v>
      </c>
      <c r="I23" s="122">
        <f>'Fatores de Emissão'!H173</f>
        <v>2000</v>
      </c>
      <c r="J23" s="122">
        <f>'Fatores de Emissão'!I173</f>
        <v>150</v>
      </c>
    </row>
    <row r="24" spans="3:19" ht="21" thickTop="1" thickBot="1" x14ac:dyDescent="0.4">
      <c r="C24" s="29" t="str">
        <f>'Fatores de Emissão'!B174</f>
        <v>Ar Condicionado Residencial / Comercial</v>
      </c>
      <c r="D24" s="46">
        <f>'Fatores de Emissão'!C174</f>
        <v>0.01</v>
      </c>
      <c r="E24" s="46">
        <f>'Fatores de Emissão'!D174</f>
        <v>0.1</v>
      </c>
      <c r="F24" s="46">
        <f>'Fatores de Emissão'!E174</f>
        <v>0.8</v>
      </c>
      <c r="G24" s="46">
        <f>'Fatores de Emissão'!F174</f>
        <v>0.4</v>
      </c>
      <c r="H24" s="46">
        <f>'Fatores de Emissão'!G174</f>
        <v>0.8</v>
      </c>
      <c r="I24" s="122">
        <f>'Fatores de Emissão'!H174</f>
        <v>100</v>
      </c>
      <c r="J24" s="122">
        <f>'Fatores de Emissão'!I174</f>
        <v>150</v>
      </c>
    </row>
    <row r="25" spans="3:19" ht="21" thickTop="1" thickBot="1" x14ac:dyDescent="0.4">
      <c r="C25" s="29" t="str">
        <f>'Fatores de Emissão'!B175</f>
        <v>Ar Condicionado de Veículos Ligeiros de Passageiros e ligeiros de Mercadorias</v>
      </c>
      <c r="D25" s="46">
        <f>'Fatores de Emissão'!C175</f>
        <v>5.0000000000000001E-3</v>
      </c>
      <c r="E25" s="46">
        <f>'Fatores de Emissão'!D175</f>
        <v>0.2</v>
      </c>
      <c r="F25" s="46">
        <f>'Fatores de Emissão'!E175</f>
        <v>0.5</v>
      </c>
      <c r="G25" s="46">
        <f>'Fatores de Emissão'!F175</f>
        <v>0.25</v>
      </c>
      <c r="H25" s="46">
        <f>'Fatores de Emissão'!G175</f>
        <v>0.5</v>
      </c>
      <c r="I25" s="122">
        <f>'Fatores de Emissão'!H175</f>
        <v>0.5</v>
      </c>
      <c r="J25" s="122">
        <f>'Fatores de Emissão'!I175</f>
        <v>1300</v>
      </c>
    </row>
    <row r="26" spans="3:19" ht="21" thickTop="1" thickBot="1" x14ac:dyDescent="0.4">
      <c r="C26" s="29" t="str">
        <f>'Fatores de Emissão'!B176</f>
        <v>Ar Condicionado de Caminhões de Pequeno Porte</v>
      </c>
      <c r="D26" s="46">
        <f>'Fatores de Emissão'!C176</f>
        <v>5.0000000000000001E-3</v>
      </c>
      <c r="E26" s="46">
        <f>'Fatores de Emissão'!D176</f>
        <v>0.2</v>
      </c>
      <c r="F26" s="46">
        <f>'Fatores de Emissão'!E176</f>
        <v>0.5</v>
      </c>
      <c r="G26" s="46">
        <f>'Fatores de Emissão'!F176</f>
        <v>0.25</v>
      </c>
      <c r="H26" s="46">
        <f>'Fatores de Emissão'!G176</f>
        <v>0.5</v>
      </c>
      <c r="I26" s="122">
        <f>'Fatores de Emissão'!H176</f>
        <v>1.5</v>
      </c>
      <c r="J26" s="122">
        <f>'Fatores de Emissão'!I176</f>
        <v>1300</v>
      </c>
    </row>
    <row r="28" spans="3:19" ht="16.899999999999999" customHeight="1" x14ac:dyDescent="0.35">
      <c r="C28" s="1139" t="s">
        <v>35</v>
      </c>
      <c r="D28" s="1177" t="s">
        <v>182</v>
      </c>
      <c r="E28" s="1177" t="s">
        <v>736</v>
      </c>
      <c r="F28" s="1177" t="s">
        <v>737</v>
      </c>
      <c r="G28" s="1183"/>
      <c r="H28" s="1184"/>
      <c r="I28" s="1139"/>
      <c r="J28" s="1139" t="s">
        <v>740</v>
      </c>
      <c r="K28" s="1139" t="s">
        <v>743</v>
      </c>
      <c r="L28" s="1193" t="str">
        <f>D16</f>
        <v>Perdas em Carga das unidades novas</v>
      </c>
      <c r="M28" s="1193" t="s">
        <v>741</v>
      </c>
      <c r="N28" s="1192" t="s">
        <v>742</v>
      </c>
      <c r="O28" s="1193" t="s">
        <v>745</v>
      </c>
      <c r="P28" s="1192" t="s">
        <v>744</v>
      </c>
      <c r="Q28" s="1193" t="s">
        <v>746</v>
      </c>
      <c r="R28" s="1192" t="s">
        <v>747</v>
      </c>
      <c r="S28" s="1192" t="s">
        <v>748</v>
      </c>
    </row>
    <row r="29" spans="3:19" ht="16.899999999999999" customHeight="1" x14ac:dyDescent="0.35">
      <c r="C29" s="1140"/>
      <c r="D29" s="1178"/>
      <c r="E29" s="1178"/>
      <c r="F29" s="1178"/>
      <c r="G29" s="1185"/>
      <c r="H29" s="1186"/>
      <c r="I29" s="1140"/>
      <c r="J29" s="1140"/>
      <c r="K29" s="1140"/>
      <c r="L29" s="1194"/>
      <c r="M29" s="1194"/>
      <c r="N29" s="1192"/>
      <c r="O29" s="1194"/>
      <c r="P29" s="1192"/>
      <c r="Q29" s="1194"/>
      <c r="R29" s="1192"/>
      <c r="S29" s="1192"/>
    </row>
    <row r="30" spans="3:19" ht="17" x14ac:dyDescent="0.35">
      <c r="C30" s="1176"/>
      <c r="D30" s="1179"/>
      <c r="E30" s="1179"/>
      <c r="F30" s="1179"/>
      <c r="G30" s="28" t="s">
        <v>738</v>
      </c>
      <c r="H30" s="28" t="s">
        <v>42</v>
      </c>
      <c r="I30" s="28" t="s">
        <v>739</v>
      </c>
      <c r="J30" s="1176"/>
      <c r="K30" s="1176"/>
      <c r="L30" s="1195"/>
      <c r="M30" s="1195"/>
      <c r="N30" s="1192"/>
      <c r="O30" s="1195"/>
      <c r="P30" s="1192"/>
      <c r="Q30" s="1195"/>
      <c r="R30" s="1192"/>
      <c r="S30" s="1192"/>
    </row>
    <row r="31" spans="3:19" ht="17" x14ac:dyDescent="0.35">
      <c r="C31" s="31">
        <f>'Emissões Fugitivas'!B44</f>
        <v>0</v>
      </c>
      <c r="D31" s="87">
        <f>'Emissões Fugitivas'!C44</f>
        <v>0</v>
      </c>
      <c r="E31" s="31" t="str">
        <f>'Emissões Fugitivas'!D44</f>
        <v/>
      </c>
      <c r="F31" s="31">
        <f>'Emissões Fugitivas'!E44</f>
        <v>0</v>
      </c>
      <c r="G31" s="31">
        <f>'Emissões Fugitivas'!F44</f>
        <v>0</v>
      </c>
      <c r="H31" s="31">
        <f>'Emissões Fugitivas'!G44</f>
        <v>0</v>
      </c>
      <c r="I31" s="31">
        <f>'Emissões Fugitivas'!H44</f>
        <v>0</v>
      </c>
      <c r="J31" s="31">
        <f>'Emissões Fugitivas'!I44</f>
        <v>0</v>
      </c>
      <c r="K31" s="31" t="str">
        <f>'Emissões Fugitivas'!J44</f>
        <v/>
      </c>
      <c r="L31" s="22" t="str">
        <f t="shared" ref="L31:L51" si="0">IFERROR(VLOOKUP(D31,$C$18:$F$26,2,FALSE),"")</f>
        <v/>
      </c>
      <c r="M31" s="22" t="str">
        <f>IFERROR(IF(VLOOKUP(C31,'Dados gerais'!$D$33:$F$35,3,FALSE)="",2,VLOOKUP(C31,'Dados gerais'!$D$33:$F$35,3,FALSE)),"")</f>
        <v/>
      </c>
      <c r="N31" s="5" t="str">
        <f>IFERROR(IF(F31=0, L31*E31*J31*K31,F31*J31*K31*L31),"")</f>
        <v/>
      </c>
      <c r="O31" s="22" t="str">
        <f t="shared" ref="O31:O51" si="1">IFERROR(VLOOKUP(D31,$C$18:$F$26,4,FALSE),"")</f>
        <v/>
      </c>
      <c r="P31" s="5" t="str">
        <f>IFERROR(IF(F31=0, O31*E31*J31*K31,F31*J31*K31*O31),"")</f>
        <v/>
      </c>
      <c r="Q31" s="22" t="str">
        <f t="shared" ref="Q31:Q51" si="2">IFERROR(VLOOKUP(D31,$C$18:$F$26,3,FALSE),"")</f>
        <v/>
      </c>
      <c r="R31" s="5" t="str">
        <f>IFERROR(IF(F31=0, Q31*E31*J31*K31,F31*J31*K31*Q31),"")</f>
        <v/>
      </c>
      <c r="S31" s="22" t="str">
        <f>IFERROR((N31+P31)/M31+R31,"")</f>
        <v/>
      </c>
    </row>
    <row r="32" spans="3:19" ht="17" x14ac:dyDescent="0.35">
      <c r="C32" s="31">
        <f>'Emissões Fugitivas'!B45</f>
        <v>0</v>
      </c>
      <c r="D32" s="87">
        <f>'Emissões Fugitivas'!C45</f>
        <v>0</v>
      </c>
      <c r="E32" s="31" t="str">
        <f>'Emissões Fugitivas'!D45</f>
        <v/>
      </c>
      <c r="F32" s="31">
        <f>'Emissões Fugitivas'!E45</f>
        <v>0</v>
      </c>
      <c r="G32" s="31">
        <f>'Emissões Fugitivas'!F45</f>
        <v>0</v>
      </c>
      <c r="H32" s="31">
        <f>'Emissões Fugitivas'!G45</f>
        <v>0</v>
      </c>
      <c r="I32" s="31">
        <f>'Emissões Fugitivas'!H45</f>
        <v>0</v>
      </c>
      <c r="J32" s="31">
        <f>'Emissões Fugitivas'!I45</f>
        <v>0</v>
      </c>
      <c r="K32" s="31" t="str">
        <f>'Emissões Fugitivas'!J45</f>
        <v/>
      </c>
      <c r="L32" s="22" t="str">
        <f t="shared" si="0"/>
        <v/>
      </c>
      <c r="M32" s="22" t="str">
        <f>IFERROR(IF(VLOOKUP(C32,'Dados gerais'!$D$33:$F$35,3,FALSE)="",2,VLOOKUP(C32,'Dados gerais'!$D$33:$F$35,3,FALSE)),"")</f>
        <v/>
      </c>
      <c r="N32" s="5" t="str">
        <f t="shared" ref="N32:N51" si="3">IFERROR(IF(F32=0, L32*E32*J32*K32,F32*J32*K32*L32),"")</f>
        <v/>
      </c>
      <c r="O32" s="22" t="str">
        <f t="shared" si="1"/>
        <v/>
      </c>
      <c r="P32" s="5" t="str">
        <f t="shared" ref="P32:P51" si="4">IFERROR(IF(F32=0, O32*E32*J32*K32,F32*J32*K32*O32),"")</f>
        <v/>
      </c>
      <c r="Q32" s="22" t="str">
        <f t="shared" si="2"/>
        <v/>
      </c>
      <c r="R32" s="5" t="str">
        <f t="shared" ref="R32:R51" si="5">IFERROR(IF(F32=0, Q32*E32*J32*K32,F32*J32*K32*Q32),"")</f>
        <v/>
      </c>
      <c r="S32" s="22" t="str">
        <f t="shared" ref="S32:S51" si="6">IFERROR((N32+P32)/M32+R32,"")</f>
        <v/>
      </c>
    </row>
    <row r="33" spans="3:19" ht="17" x14ac:dyDescent="0.35">
      <c r="C33" s="31">
        <f>'Emissões Fugitivas'!B46</f>
        <v>0</v>
      </c>
      <c r="D33" s="87">
        <f>'Emissões Fugitivas'!C46</f>
        <v>0</v>
      </c>
      <c r="E33" s="31" t="str">
        <f>'Emissões Fugitivas'!D46</f>
        <v/>
      </c>
      <c r="F33" s="31">
        <f>'Emissões Fugitivas'!E46</f>
        <v>0</v>
      </c>
      <c r="G33" s="31">
        <f>'Emissões Fugitivas'!F46</f>
        <v>0</v>
      </c>
      <c r="H33" s="31">
        <f>'Emissões Fugitivas'!G46</f>
        <v>0</v>
      </c>
      <c r="I33" s="31">
        <f>'Emissões Fugitivas'!H46</f>
        <v>0</v>
      </c>
      <c r="J33" s="31">
        <f>'Emissões Fugitivas'!I46</f>
        <v>0</v>
      </c>
      <c r="K33" s="31" t="str">
        <f>'Emissões Fugitivas'!J46</f>
        <v/>
      </c>
      <c r="L33" s="22" t="str">
        <f t="shared" si="0"/>
        <v/>
      </c>
      <c r="M33" s="22" t="str">
        <f>IFERROR(IF(VLOOKUP(C33,'Dados gerais'!$D$33:$F$35,3,FALSE)="",2,VLOOKUP(C33,'Dados gerais'!$D$33:$F$35,3,FALSE)),"")</f>
        <v/>
      </c>
      <c r="N33" s="5" t="str">
        <f t="shared" si="3"/>
        <v/>
      </c>
      <c r="O33" s="22" t="str">
        <f t="shared" si="1"/>
        <v/>
      </c>
      <c r="P33" s="5" t="str">
        <f t="shared" si="4"/>
        <v/>
      </c>
      <c r="Q33" s="22" t="str">
        <f t="shared" si="2"/>
        <v/>
      </c>
      <c r="R33" s="5" t="str">
        <f t="shared" si="5"/>
        <v/>
      </c>
      <c r="S33" s="22" t="str">
        <f t="shared" si="6"/>
        <v/>
      </c>
    </row>
    <row r="34" spans="3:19" ht="17" x14ac:dyDescent="0.35">
      <c r="C34" s="31">
        <f>'Emissões Fugitivas'!B47</f>
        <v>0</v>
      </c>
      <c r="D34" s="87">
        <f>'Emissões Fugitivas'!C47</f>
        <v>0</v>
      </c>
      <c r="E34" s="31" t="str">
        <f>'Emissões Fugitivas'!D47</f>
        <v/>
      </c>
      <c r="F34" s="31">
        <f>'Emissões Fugitivas'!E47</f>
        <v>0</v>
      </c>
      <c r="G34" s="31">
        <f>'Emissões Fugitivas'!F47</f>
        <v>0</v>
      </c>
      <c r="H34" s="31">
        <f>'Emissões Fugitivas'!G47</f>
        <v>0</v>
      </c>
      <c r="I34" s="31">
        <f>'Emissões Fugitivas'!H47</f>
        <v>0</v>
      </c>
      <c r="J34" s="31">
        <f>'Emissões Fugitivas'!I47</f>
        <v>0</v>
      </c>
      <c r="K34" s="31" t="str">
        <f>'Emissões Fugitivas'!J47</f>
        <v/>
      </c>
      <c r="L34" s="22" t="str">
        <f t="shared" si="0"/>
        <v/>
      </c>
      <c r="M34" s="22" t="str">
        <f>IFERROR(IF(VLOOKUP(C34,'Dados gerais'!$D$33:$F$35,3,FALSE)="",2,VLOOKUP(C34,'Dados gerais'!$D$33:$F$35,3,FALSE)),"")</f>
        <v/>
      </c>
      <c r="N34" s="5" t="str">
        <f t="shared" si="3"/>
        <v/>
      </c>
      <c r="O34" s="22" t="str">
        <f t="shared" si="1"/>
        <v/>
      </c>
      <c r="P34" s="5" t="str">
        <f t="shared" si="4"/>
        <v/>
      </c>
      <c r="Q34" s="22" t="str">
        <f t="shared" si="2"/>
        <v/>
      </c>
      <c r="R34" s="5" t="str">
        <f t="shared" si="5"/>
        <v/>
      </c>
      <c r="S34" s="22" t="str">
        <f t="shared" si="6"/>
        <v/>
      </c>
    </row>
    <row r="35" spans="3:19" ht="17" x14ac:dyDescent="0.35">
      <c r="C35" s="31">
        <f>'Emissões Fugitivas'!B48</f>
        <v>0</v>
      </c>
      <c r="D35" s="87">
        <f>'Emissões Fugitivas'!C48</f>
        <v>0</v>
      </c>
      <c r="E35" s="31" t="str">
        <f>'Emissões Fugitivas'!D48</f>
        <v/>
      </c>
      <c r="F35" s="31">
        <f>'Emissões Fugitivas'!E48</f>
        <v>0</v>
      </c>
      <c r="G35" s="31">
        <f>'Emissões Fugitivas'!F48</f>
        <v>0</v>
      </c>
      <c r="H35" s="31">
        <f>'Emissões Fugitivas'!G48</f>
        <v>0</v>
      </c>
      <c r="I35" s="31">
        <f>'Emissões Fugitivas'!H48</f>
        <v>0</v>
      </c>
      <c r="J35" s="31">
        <f>'Emissões Fugitivas'!I48</f>
        <v>0</v>
      </c>
      <c r="K35" s="31" t="str">
        <f>'Emissões Fugitivas'!J48</f>
        <v/>
      </c>
      <c r="L35" s="22" t="str">
        <f t="shared" si="0"/>
        <v/>
      </c>
      <c r="M35" s="22" t="str">
        <f>IFERROR(IF(VLOOKUP(C35,'Dados gerais'!$D$33:$F$35,3,FALSE)="",2,VLOOKUP(C35,'Dados gerais'!$D$33:$F$35,3,FALSE)),"")</f>
        <v/>
      </c>
      <c r="N35" s="5" t="str">
        <f t="shared" si="3"/>
        <v/>
      </c>
      <c r="O35" s="22" t="str">
        <f t="shared" si="1"/>
        <v/>
      </c>
      <c r="P35" s="5" t="str">
        <f t="shared" si="4"/>
        <v/>
      </c>
      <c r="Q35" s="22" t="str">
        <f t="shared" si="2"/>
        <v/>
      </c>
      <c r="R35" s="5" t="str">
        <f t="shared" si="5"/>
        <v/>
      </c>
      <c r="S35" s="22" t="str">
        <f t="shared" si="6"/>
        <v/>
      </c>
    </row>
    <row r="36" spans="3:19" ht="17" x14ac:dyDescent="0.35">
      <c r="C36" s="31">
        <f>'Emissões Fugitivas'!B49</f>
        <v>0</v>
      </c>
      <c r="D36" s="87">
        <f>'Emissões Fugitivas'!C49</f>
        <v>0</v>
      </c>
      <c r="E36" s="31" t="str">
        <f>'Emissões Fugitivas'!D49</f>
        <v/>
      </c>
      <c r="F36" s="31">
        <f>'Emissões Fugitivas'!E49</f>
        <v>0</v>
      </c>
      <c r="G36" s="31">
        <f>'Emissões Fugitivas'!F49</f>
        <v>0</v>
      </c>
      <c r="H36" s="31">
        <f>'Emissões Fugitivas'!G49</f>
        <v>0</v>
      </c>
      <c r="I36" s="31">
        <f>'Emissões Fugitivas'!H49</f>
        <v>0</v>
      </c>
      <c r="J36" s="31">
        <f>'Emissões Fugitivas'!I49</f>
        <v>0</v>
      </c>
      <c r="K36" s="31" t="str">
        <f>'Emissões Fugitivas'!J49</f>
        <v/>
      </c>
      <c r="L36" s="22" t="str">
        <f t="shared" si="0"/>
        <v/>
      </c>
      <c r="M36" s="22" t="str">
        <f>IFERROR(IF(VLOOKUP(C36,'Dados gerais'!$D$33:$F$35,3,FALSE)="",2,VLOOKUP(C36,'Dados gerais'!$D$33:$F$35,3,FALSE)),"")</f>
        <v/>
      </c>
      <c r="N36" s="5" t="str">
        <f t="shared" si="3"/>
        <v/>
      </c>
      <c r="O36" s="22" t="str">
        <f t="shared" si="1"/>
        <v/>
      </c>
      <c r="P36" s="5" t="str">
        <f t="shared" si="4"/>
        <v/>
      </c>
      <c r="Q36" s="22" t="str">
        <f t="shared" si="2"/>
        <v/>
      </c>
      <c r="R36" s="5" t="str">
        <f t="shared" si="5"/>
        <v/>
      </c>
      <c r="S36" s="22" t="str">
        <f t="shared" si="6"/>
        <v/>
      </c>
    </row>
    <row r="37" spans="3:19" ht="17" x14ac:dyDescent="0.35">
      <c r="C37" s="31">
        <f>'Emissões Fugitivas'!B50</f>
        <v>0</v>
      </c>
      <c r="D37" s="87">
        <f>'Emissões Fugitivas'!C50</f>
        <v>0</v>
      </c>
      <c r="E37" s="31" t="str">
        <f>'Emissões Fugitivas'!D50</f>
        <v/>
      </c>
      <c r="F37" s="31">
        <f>'Emissões Fugitivas'!E50</f>
        <v>0</v>
      </c>
      <c r="G37" s="31">
        <f>'Emissões Fugitivas'!F50</f>
        <v>0</v>
      </c>
      <c r="H37" s="31">
        <f>'Emissões Fugitivas'!G50</f>
        <v>0</v>
      </c>
      <c r="I37" s="31">
        <f>'Emissões Fugitivas'!H50</f>
        <v>0</v>
      </c>
      <c r="J37" s="31">
        <f>'Emissões Fugitivas'!I50</f>
        <v>0</v>
      </c>
      <c r="K37" s="31" t="str">
        <f>'Emissões Fugitivas'!J50</f>
        <v/>
      </c>
      <c r="L37" s="22" t="str">
        <f t="shared" si="0"/>
        <v/>
      </c>
      <c r="M37" s="22" t="str">
        <f>IFERROR(IF(VLOOKUP(C37,'Dados gerais'!$D$33:$F$35,3,FALSE)="",2,VLOOKUP(C37,'Dados gerais'!$D$33:$F$35,3,FALSE)),"")</f>
        <v/>
      </c>
      <c r="N37" s="5" t="str">
        <f t="shared" si="3"/>
        <v/>
      </c>
      <c r="O37" s="22" t="str">
        <f t="shared" si="1"/>
        <v/>
      </c>
      <c r="P37" s="5" t="str">
        <f t="shared" si="4"/>
        <v/>
      </c>
      <c r="Q37" s="22" t="str">
        <f t="shared" si="2"/>
        <v/>
      </c>
      <c r="R37" s="5" t="str">
        <f t="shared" si="5"/>
        <v/>
      </c>
      <c r="S37" s="22" t="str">
        <f t="shared" si="6"/>
        <v/>
      </c>
    </row>
    <row r="38" spans="3:19" ht="17" x14ac:dyDescent="0.35">
      <c r="C38" s="31">
        <f>'Emissões Fugitivas'!B51</f>
        <v>0</v>
      </c>
      <c r="D38" s="87">
        <f>'Emissões Fugitivas'!C51</f>
        <v>0</v>
      </c>
      <c r="E38" s="31" t="str">
        <f>'Emissões Fugitivas'!D51</f>
        <v/>
      </c>
      <c r="F38" s="31">
        <f>'Emissões Fugitivas'!E51</f>
        <v>0</v>
      </c>
      <c r="G38" s="31">
        <f>'Emissões Fugitivas'!F51</f>
        <v>0</v>
      </c>
      <c r="H38" s="31">
        <f>'Emissões Fugitivas'!G51</f>
        <v>0</v>
      </c>
      <c r="I38" s="31">
        <f>'Emissões Fugitivas'!H51</f>
        <v>0</v>
      </c>
      <c r="J38" s="31">
        <f>'Emissões Fugitivas'!I51</f>
        <v>0</v>
      </c>
      <c r="K38" s="31" t="str">
        <f>'Emissões Fugitivas'!J51</f>
        <v/>
      </c>
      <c r="L38" s="22" t="str">
        <f t="shared" si="0"/>
        <v/>
      </c>
      <c r="M38" s="22" t="str">
        <f>IFERROR(IF(VLOOKUP(C38,'Dados gerais'!$D$33:$F$35,3,FALSE)="",2,VLOOKUP(C38,'Dados gerais'!$D$33:$F$35,3,FALSE)),"")</f>
        <v/>
      </c>
      <c r="N38" s="5" t="str">
        <f t="shared" si="3"/>
        <v/>
      </c>
      <c r="O38" s="22" t="str">
        <f t="shared" si="1"/>
        <v/>
      </c>
      <c r="P38" s="5" t="str">
        <f t="shared" si="4"/>
        <v/>
      </c>
      <c r="Q38" s="22" t="str">
        <f t="shared" si="2"/>
        <v/>
      </c>
      <c r="R38" s="5" t="str">
        <f t="shared" si="5"/>
        <v/>
      </c>
      <c r="S38" s="22" t="str">
        <f t="shared" si="6"/>
        <v/>
      </c>
    </row>
    <row r="39" spans="3:19" ht="17" x14ac:dyDescent="0.35">
      <c r="C39" s="31">
        <f>'Emissões Fugitivas'!B52</f>
        <v>0</v>
      </c>
      <c r="D39" s="87">
        <f>'Emissões Fugitivas'!C52</f>
        <v>0</v>
      </c>
      <c r="E39" s="31" t="str">
        <f>'Emissões Fugitivas'!D52</f>
        <v/>
      </c>
      <c r="F39" s="31">
        <f>'Emissões Fugitivas'!E52</f>
        <v>0</v>
      </c>
      <c r="G39" s="31">
        <f>'Emissões Fugitivas'!F52</f>
        <v>0</v>
      </c>
      <c r="H39" s="31">
        <f>'Emissões Fugitivas'!G52</f>
        <v>0</v>
      </c>
      <c r="I39" s="31">
        <f>'Emissões Fugitivas'!H52</f>
        <v>0</v>
      </c>
      <c r="J39" s="31">
        <f>'Emissões Fugitivas'!I52</f>
        <v>0</v>
      </c>
      <c r="K39" s="31" t="str">
        <f>'Emissões Fugitivas'!J52</f>
        <v/>
      </c>
      <c r="L39" s="22" t="str">
        <f t="shared" si="0"/>
        <v/>
      </c>
      <c r="M39" s="22" t="str">
        <f>IFERROR(IF(VLOOKUP(C39,'Dados gerais'!$D$33:$F$35,3,FALSE)="",2,VLOOKUP(C39,'Dados gerais'!$D$33:$F$35,3,FALSE)),"")</f>
        <v/>
      </c>
      <c r="N39" s="5" t="str">
        <f t="shared" si="3"/>
        <v/>
      </c>
      <c r="O39" s="22" t="str">
        <f t="shared" si="1"/>
        <v/>
      </c>
      <c r="P39" s="5" t="str">
        <f t="shared" si="4"/>
        <v/>
      </c>
      <c r="Q39" s="22" t="str">
        <f t="shared" si="2"/>
        <v/>
      </c>
      <c r="R39" s="5" t="str">
        <f t="shared" si="5"/>
        <v/>
      </c>
      <c r="S39" s="22" t="str">
        <f t="shared" si="6"/>
        <v/>
      </c>
    </row>
    <row r="40" spans="3:19" ht="17" x14ac:dyDescent="0.35">
      <c r="C40" s="31">
        <f>'Emissões Fugitivas'!B53</f>
        <v>0</v>
      </c>
      <c r="D40" s="87">
        <f>'Emissões Fugitivas'!C53</f>
        <v>0</v>
      </c>
      <c r="E40" s="31" t="str">
        <f>'Emissões Fugitivas'!D53</f>
        <v/>
      </c>
      <c r="F40" s="31">
        <f>'Emissões Fugitivas'!E53</f>
        <v>0</v>
      </c>
      <c r="G40" s="31">
        <f>'Emissões Fugitivas'!F53</f>
        <v>0</v>
      </c>
      <c r="H40" s="31">
        <f>'Emissões Fugitivas'!G53</f>
        <v>0</v>
      </c>
      <c r="I40" s="31">
        <f>'Emissões Fugitivas'!H53</f>
        <v>0</v>
      </c>
      <c r="J40" s="31">
        <f>'Emissões Fugitivas'!I53</f>
        <v>0</v>
      </c>
      <c r="K40" s="31" t="str">
        <f>'Emissões Fugitivas'!J53</f>
        <v/>
      </c>
      <c r="L40" s="22" t="str">
        <f t="shared" si="0"/>
        <v/>
      </c>
      <c r="M40" s="22" t="str">
        <f>IFERROR(IF(VLOOKUP(C40,'Dados gerais'!$D$33:$F$35,3,FALSE)="",2,VLOOKUP(C40,'Dados gerais'!$D$33:$F$35,3,FALSE)),"")</f>
        <v/>
      </c>
      <c r="N40" s="5" t="str">
        <f t="shared" si="3"/>
        <v/>
      </c>
      <c r="O40" s="22" t="str">
        <f t="shared" si="1"/>
        <v/>
      </c>
      <c r="P40" s="5" t="str">
        <f t="shared" si="4"/>
        <v/>
      </c>
      <c r="Q40" s="22" t="str">
        <f t="shared" si="2"/>
        <v/>
      </c>
      <c r="R40" s="5" t="str">
        <f t="shared" si="5"/>
        <v/>
      </c>
      <c r="S40" s="22" t="str">
        <f t="shared" si="6"/>
        <v/>
      </c>
    </row>
    <row r="41" spans="3:19" ht="17" x14ac:dyDescent="0.35">
      <c r="C41" s="31">
        <f>'Emissões Fugitivas'!B54</f>
        <v>0</v>
      </c>
      <c r="D41" s="87">
        <f>'Emissões Fugitivas'!C54</f>
        <v>0</v>
      </c>
      <c r="E41" s="31" t="str">
        <f>'Emissões Fugitivas'!D54</f>
        <v/>
      </c>
      <c r="F41" s="31">
        <f>'Emissões Fugitivas'!E54</f>
        <v>0</v>
      </c>
      <c r="G41" s="31">
        <f>'Emissões Fugitivas'!F54</f>
        <v>0</v>
      </c>
      <c r="H41" s="31">
        <f>'Emissões Fugitivas'!G54</f>
        <v>0</v>
      </c>
      <c r="I41" s="31">
        <f>'Emissões Fugitivas'!H54</f>
        <v>0</v>
      </c>
      <c r="J41" s="31">
        <f>'Emissões Fugitivas'!I54</f>
        <v>0</v>
      </c>
      <c r="K41" s="31" t="str">
        <f>'Emissões Fugitivas'!J54</f>
        <v/>
      </c>
      <c r="L41" s="22" t="str">
        <f t="shared" si="0"/>
        <v/>
      </c>
      <c r="M41" s="22" t="str">
        <f>IFERROR(IF(VLOOKUP(C41,'Dados gerais'!$D$33:$F$35,3,FALSE)="",2,VLOOKUP(C41,'Dados gerais'!$D$33:$F$35,3,FALSE)),"")</f>
        <v/>
      </c>
      <c r="N41" s="5" t="str">
        <f t="shared" si="3"/>
        <v/>
      </c>
      <c r="O41" s="22" t="str">
        <f t="shared" si="1"/>
        <v/>
      </c>
      <c r="P41" s="5" t="str">
        <f t="shared" si="4"/>
        <v/>
      </c>
      <c r="Q41" s="22" t="str">
        <f t="shared" si="2"/>
        <v/>
      </c>
      <c r="R41" s="5" t="str">
        <f t="shared" si="5"/>
        <v/>
      </c>
      <c r="S41" s="22" t="str">
        <f t="shared" si="6"/>
        <v/>
      </c>
    </row>
    <row r="42" spans="3:19" ht="17" x14ac:dyDescent="0.35">
      <c r="C42" s="31">
        <f>'Emissões Fugitivas'!B55</f>
        <v>0</v>
      </c>
      <c r="D42" s="87">
        <f>'Emissões Fugitivas'!C55</f>
        <v>0</v>
      </c>
      <c r="E42" s="31" t="str">
        <f>'Emissões Fugitivas'!D55</f>
        <v/>
      </c>
      <c r="F42" s="31">
        <f>'Emissões Fugitivas'!E55</f>
        <v>0</v>
      </c>
      <c r="G42" s="31">
        <f>'Emissões Fugitivas'!F55</f>
        <v>0</v>
      </c>
      <c r="H42" s="31">
        <f>'Emissões Fugitivas'!G55</f>
        <v>0</v>
      </c>
      <c r="I42" s="31">
        <f>'Emissões Fugitivas'!H55</f>
        <v>0</v>
      </c>
      <c r="J42" s="31">
        <f>'Emissões Fugitivas'!I55</f>
        <v>0</v>
      </c>
      <c r="K42" s="31" t="str">
        <f>'Emissões Fugitivas'!J55</f>
        <v/>
      </c>
      <c r="L42" s="22" t="str">
        <f t="shared" si="0"/>
        <v/>
      </c>
      <c r="M42" s="22" t="str">
        <f>IFERROR(IF(VLOOKUP(C42,'Dados gerais'!$D$33:$F$35,3,FALSE)="",2,VLOOKUP(C42,'Dados gerais'!$D$33:$F$35,3,FALSE)),"")</f>
        <v/>
      </c>
      <c r="N42" s="5" t="str">
        <f t="shared" si="3"/>
        <v/>
      </c>
      <c r="O42" s="22" t="str">
        <f t="shared" si="1"/>
        <v/>
      </c>
      <c r="P42" s="5" t="str">
        <f t="shared" si="4"/>
        <v/>
      </c>
      <c r="Q42" s="22" t="str">
        <f t="shared" si="2"/>
        <v/>
      </c>
      <c r="R42" s="5" t="str">
        <f t="shared" si="5"/>
        <v/>
      </c>
      <c r="S42" s="22" t="str">
        <f t="shared" si="6"/>
        <v/>
      </c>
    </row>
    <row r="43" spans="3:19" ht="17" x14ac:dyDescent="0.35">
      <c r="C43" s="31">
        <f>'Emissões Fugitivas'!B56</f>
        <v>0</v>
      </c>
      <c r="D43" s="87">
        <f>'Emissões Fugitivas'!C56</f>
        <v>0</v>
      </c>
      <c r="E43" s="31" t="str">
        <f>'Emissões Fugitivas'!D56</f>
        <v/>
      </c>
      <c r="F43" s="31">
        <f>'Emissões Fugitivas'!E56</f>
        <v>0</v>
      </c>
      <c r="G43" s="31">
        <f>'Emissões Fugitivas'!F56</f>
        <v>0</v>
      </c>
      <c r="H43" s="31">
        <f>'Emissões Fugitivas'!G56</f>
        <v>0</v>
      </c>
      <c r="I43" s="31">
        <f>'Emissões Fugitivas'!H56</f>
        <v>0</v>
      </c>
      <c r="J43" s="31">
        <f>'Emissões Fugitivas'!I56</f>
        <v>0</v>
      </c>
      <c r="K43" s="31" t="str">
        <f>'Emissões Fugitivas'!J56</f>
        <v/>
      </c>
      <c r="L43" s="22" t="str">
        <f t="shared" si="0"/>
        <v/>
      </c>
      <c r="M43" s="22" t="str">
        <f>IFERROR(IF(VLOOKUP(C43,'Dados gerais'!$D$33:$F$35,3,FALSE)="",2,VLOOKUP(C43,'Dados gerais'!$D$33:$F$35,3,FALSE)),"")</f>
        <v/>
      </c>
      <c r="N43" s="5" t="str">
        <f t="shared" si="3"/>
        <v/>
      </c>
      <c r="O43" s="22" t="str">
        <f t="shared" si="1"/>
        <v/>
      </c>
      <c r="P43" s="5" t="str">
        <f t="shared" si="4"/>
        <v/>
      </c>
      <c r="Q43" s="22" t="str">
        <f t="shared" si="2"/>
        <v/>
      </c>
      <c r="R43" s="5" t="str">
        <f t="shared" si="5"/>
        <v/>
      </c>
      <c r="S43" s="22" t="str">
        <f t="shared" si="6"/>
        <v/>
      </c>
    </row>
    <row r="44" spans="3:19" ht="17" x14ac:dyDescent="0.35">
      <c r="C44" s="31">
        <f>'Emissões Fugitivas'!B57</f>
        <v>0</v>
      </c>
      <c r="D44" s="87">
        <f>'Emissões Fugitivas'!C57</f>
        <v>0</v>
      </c>
      <c r="E44" s="31" t="str">
        <f>'Emissões Fugitivas'!D57</f>
        <v/>
      </c>
      <c r="F44" s="31">
        <f>'Emissões Fugitivas'!E57</f>
        <v>0</v>
      </c>
      <c r="G44" s="31">
        <f>'Emissões Fugitivas'!F57</f>
        <v>0</v>
      </c>
      <c r="H44" s="31">
        <f>'Emissões Fugitivas'!G57</f>
        <v>0</v>
      </c>
      <c r="I44" s="31">
        <f>'Emissões Fugitivas'!H57</f>
        <v>0</v>
      </c>
      <c r="J44" s="31">
        <f>'Emissões Fugitivas'!I57</f>
        <v>0</v>
      </c>
      <c r="K44" s="31" t="str">
        <f>'Emissões Fugitivas'!J57</f>
        <v/>
      </c>
      <c r="L44" s="22" t="str">
        <f t="shared" si="0"/>
        <v/>
      </c>
      <c r="M44" s="22" t="str">
        <f>IFERROR(IF(VLOOKUP(C44,'Dados gerais'!$D$33:$F$35,3,FALSE)="",2,VLOOKUP(C44,'Dados gerais'!$D$33:$F$35,3,FALSE)),"")</f>
        <v/>
      </c>
      <c r="N44" s="5" t="str">
        <f t="shared" si="3"/>
        <v/>
      </c>
      <c r="O44" s="22" t="str">
        <f t="shared" si="1"/>
        <v/>
      </c>
      <c r="P44" s="5" t="str">
        <f t="shared" si="4"/>
        <v/>
      </c>
      <c r="Q44" s="22" t="str">
        <f t="shared" si="2"/>
        <v/>
      </c>
      <c r="R44" s="5" t="str">
        <f t="shared" si="5"/>
        <v/>
      </c>
      <c r="S44" s="22" t="str">
        <f t="shared" si="6"/>
        <v/>
      </c>
    </row>
    <row r="45" spans="3:19" ht="17" x14ac:dyDescent="0.35">
      <c r="C45" s="31">
        <f>'Emissões Fugitivas'!B58</f>
        <v>0</v>
      </c>
      <c r="D45" s="87">
        <f>'Emissões Fugitivas'!C58</f>
        <v>0</v>
      </c>
      <c r="E45" s="31" t="str">
        <f>'Emissões Fugitivas'!D58</f>
        <v/>
      </c>
      <c r="F45" s="31">
        <f>'Emissões Fugitivas'!E58</f>
        <v>0</v>
      </c>
      <c r="G45" s="31">
        <f>'Emissões Fugitivas'!F58</f>
        <v>0</v>
      </c>
      <c r="H45" s="31">
        <f>'Emissões Fugitivas'!G58</f>
        <v>0</v>
      </c>
      <c r="I45" s="31">
        <f>'Emissões Fugitivas'!H58</f>
        <v>0</v>
      </c>
      <c r="J45" s="31">
        <f>'Emissões Fugitivas'!I58</f>
        <v>0</v>
      </c>
      <c r="K45" s="31" t="str">
        <f>'Emissões Fugitivas'!J58</f>
        <v/>
      </c>
      <c r="L45" s="22" t="str">
        <f t="shared" si="0"/>
        <v/>
      </c>
      <c r="M45" s="22" t="str">
        <f>IFERROR(IF(VLOOKUP(C45,'Dados gerais'!$D$33:$F$35,3,FALSE)="",2,VLOOKUP(C45,'Dados gerais'!$D$33:$F$35,3,FALSE)),"")</f>
        <v/>
      </c>
      <c r="N45" s="5" t="str">
        <f t="shared" si="3"/>
        <v/>
      </c>
      <c r="O45" s="22" t="str">
        <f t="shared" si="1"/>
        <v/>
      </c>
      <c r="P45" s="5" t="str">
        <f t="shared" si="4"/>
        <v/>
      </c>
      <c r="Q45" s="22" t="str">
        <f t="shared" si="2"/>
        <v/>
      </c>
      <c r="R45" s="5" t="str">
        <f t="shared" si="5"/>
        <v/>
      </c>
      <c r="S45" s="22" t="str">
        <f t="shared" si="6"/>
        <v/>
      </c>
    </row>
    <row r="46" spans="3:19" ht="17" x14ac:dyDescent="0.35">
      <c r="C46" s="31">
        <f>'Emissões Fugitivas'!B59</f>
        <v>0</v>
      </c>
      <c r="D46" s="87">
        <f>'Emissões Fugitivas'!C59</f>
        <v>0</v>
      </c>
      <c r="E46" s="31" t="str">
        <f>'Emissões Fugitivas'!D59</f>
        <v/>
      </c>
      <c r="F46" s="31">
        <f>'Emissões Fugitivas'!E59</f>
        <v>0</v>
      </c>
      <c r="G46" s="31">
        <f>'Emissões Fugitivas'!F59</f>
        <v>0</v>
      </c>
      <c r="H46" s="31">
        <f>'Emissões Fugitivas'!G59</f>
        <v>0</v>
      </c>
      <c r="I46" s="31">
        <f>'Emissões Fugitivas'!H59</f>
        <v>0</v>
      </c>
      <c r="J46" s="31">
        <f>'Emissões Fugitivas'!I59</f>
        <v>0</v>
      </c>
      <c r="K46" s="31" t="str">
        <f>'Emissões Fugitivas'!J59</f>
        <v/>
      </c>
      <c r="L46" s="22" t="str">
        <f t="shared" si="0"/>
        <v/>
      </c>
      <c r="M46" s="22" t="str">
        <f>IFERROR(IF(VLOOKUP(C46,'Dados gerais'!$D$33:$F$35,3,FALSE)="",2,VLOOKUP(C46,'Dados gerais'!$D$33:$F$35,3,FALSE)),"")</f>
        <v/>
      </c>
      <c r="N46" s="5" t="str">
        <f t="shared" si="3"/>
        <v/>
      </c>
      <c r="O46" s="22" t="str">
        <f t="shared" si="1"/>
        <v/>
      </c>
      <c r="P46" s="5" t="str">
        <f t="shared" si="4"/>
        <v/>
      </c>
      <c r="Q46" s="22" t="str">
        <f t="shared" si="2"/>
        <v/>
      </c>
      <c r="R46" s="5" t="str">
        <f t="shared" si="5"/>
        <v/>
      </c>
      <c r="S46" s="22" t="str">
        <f t="shared" si="6"/>
        <v/>
      </c>
    </row>
    <row r="47" spans="3:19" ht="17" x14ac:dyDescent="0.35">
      <c r="C47" s="31">
        <f>'Emissões Fugitivas'!B60</f>
        <v>0</v>
      </c>
      <c r="D47" s="87">
        <f>'Emissões Fugitivas'!C60</f>
        <v>0</v>
      </c>
      <c r="E47" s="31" t="str">
        <f>'Emissões Fugitivas'!D60</f>
        <v/>
      </c>
      <c r="F47" s="31">
        <f>'Emissões Fugitivas'!E60</f>
        <v>0</v>
      </c>
      <c r="G47" s="31">
        <f>'Emissões Fugitivas'!F60</f>
        <v>0</v>
      </c>
      <c r="H47" s="31">
        <f>'Emissões Fugitivas'!G60</f>
        <v>0</v>
      </c>
      <c r="I47" s="31">
        <f>'Emissões Fugitivas'!H60</f>
        <v>0</v>
      </c>
      <c r="J47" s="31">
        <f>'Emissões Fugitivas'!I60</f>
        <v>0</v>
      </c>
      <c r="K47" s="31" t="str">
        <f>'Emissões Fugitivas'!J60</f>
        <v/>
      </c>
      <c r="L47" s="22" t="str">
        <f t="shared" si="0"/>
        <v/>
      </c>
      <c r="M47" s="22" t="str">
        <f>IFERROR(IF(VLOOKUP(C47,'Dados gerais'!$D$33:$F$35,3,FALSE)="",2,VLOOKUP(C47,'Dados gerais'!$D$33:$F$35,3,FALSE)),"")</f>
        <v/>
      </c>
      <c r="N47" s="5" t="str">
        <f t="shared" si="3"/>
        <v/>
      </c>
      <c r="O47" s="22" t="str">
        <f t="shared" si="1"/>
        <v/>
      </c>
      <c r="P47" s="5" t="str">
        <f t="shared" si="4"/>
        <v/>
      </c>
      <c r="Q47" s="22" t="str">
        <f t="shared" si="2"/>
        <v/>
      </c>
      <c r="R47" s="5" t="str">
        <f t="shared" si="5"/>
        <v/>
      </c>
      <c r="S47" s="22" t="str">
        <f t="shared" si="6"/>
        <v/>
      </c>
    </row>
    <row r="48" spans="3:19" ht="17" x14ac:dyDescent="0.35">
      <c r="C48" s="31">
        <f>'Emissões Fugitivas'!B61</f>
        <v>0</v>
      </c>
      <c r="D48" s="87">
        <f>'Emissões Fugitivas'!C61</f>
        <v>0</v>
      </c>
      <c r="E48" s="31" t="str">
        <f>'Emissões Fugitivas'!D61</f>
        <v/>
      </c>
      <c r="F48" s="31">
        <f>'Emissões Fugitivas'!E61</f>
        <v>0</v>
      </c>
      <c r="G48" s="31">
        <f>'Emissões Fugitivas'!F61</f>
        <v>0</v>
      </c>
      <c r="H48" s="31">
        <f>'Emissões Fugitivas'!G61</f>
        <v>0</v>
      </c>
      <c r="I48" s="31">
        <f>'Emissões Fugitivas'!H61</f>
        <v>0</v>
      </c>
      <c r="J48" s="31">
        <f>'Emissões Fugitivas'!I61</f>
        <v>0</v>
      </c>
      <c r="K48" s="31" t="str">
        <f>'Emissões Fugitivas'!J61</f>
        <v/>
      </c>
      <c r="L48" s="22" t="str">
        <f t="shared" si="0"/>
        <v/>
      </c>
      <c r="M48" s="22" t="str">
        <f>IFERROR(IF(VLOOKUP(C48,'Dados gerais'!$D$33:$F$35,3,FALSE)="",2,VLOOKUP(C48,'Dados gerais'!$D$33:$F$35,3,FALSE)),"")</f>
        <v/>
      </c>
      <c r="N48" s="5" t="str">
        <f t="shared" si="3"/>
        <v/>
      </c>
      <c r="O48" s="22" t="str">
        <f t="shared" si="1"/>
        <v/>
      </c>
      <c r="P48" s="5" t="str">
        <f t="shared" si="4"/>
        <v/>
      </c>
      <c r="Q48" s="22" t="str">
        <f t="shared" si="2"/>
        <v/>
      </c>
      <c r="R48" s="5" t="str">
        <f t="shared" si="5"/>
        <v/>
      </c>
      <c r="S48" s="22" t="str">
        <f t="shared" si="6"/>
        <v/>
      </c>
    </row>
    <row r="49" spans="2:19" ht="17" x14ac:dyDescent="0.35">
      <c r="C49" s="31">
        <f>'Emissões Fugitivas'!B62</f>
        <v>0</v>
      </c>
      <c r="D49" s="87">
        <f>'Emissões Fugitivas'!C62</f>
        <v>0</v>
      </c>
      <c r="E49" s="31" t="str">
        <f>'Emissões Fugitivas'!D62</f>
        <v/>
      </c>
      <c r="F49" s="31">
        <f>'Emissões Fugitivas'!E62</f>
        <v>0</v>
      </c>
      <c r="G49" s="31">
        <f>'Emissões Fugitivas'!F62</f>
        <v>0</v>
      </c>
      <c r="H49" s="31">
        <f>'Emissões Fugitivas'!G62</f>
        <v>0</v>
      </c>
      <c r="I49" s="31">
        <f>'Emissões Fugitivas'!H62</f>
        <v>0</v>
      </c>
      <c r="J49" s="31">
        <f>'Emissões Fugitivas'!I62</f>
        <v>0</v>
      </c>
      <c r="K49" s="31" t="str">
        <f>'Emissões Fugitivas'!J62</f>
        <v/>
      </c>
      <c r="L49" s="22" t="str">
        <f t="shared" si="0"/>
        <v/>
      </c>
      <c r="M49" s="22" t="str">
        <f>IFERROR(IF(VLOOKUP(C49,'Dados gerais'!$D$33:$F$35,3,FALSE)="",2,VLOOKUP(C49,'Dados gerais'!$D$33:$F$35,3,FALSE)),"")</f>
        <v/>
      </c>
      <c r="N49" s="5" t="str">
        <f t="shared" si="3"/>
        <v/>
      </c>
      <c r="O49" s="22" t="str">
        <f t="shared" si="1"/>
        <v/>
      </c>
      <c r="P49" s="5" t="str">
        <f t="shared" si="4"/>
        <v/>
      </c>
      <c r="Q49" s="22" t="str">
        <f t="shared" si="2"/>
        <v/>
      </c>
      <c r="R49" s="5" t="str">
        <f t="shared" si="5"/>
        <v/>
      </c>
      <c r="S49" s="22" t="str">
        <f t="shared" si="6"/>
        <v/>
      </c>
    </row>
    <row r="50" spans="2:19" ht="17" x14ac:dyDescent="0.35">
      <c r="C50" s="31">
        <f>'Emissões Fugitivas'!B63</f>
        <v>0</v>
      </c>
      <c r="D50" s="87">
        <f>'Emissões Fugitivas'!C63</f>
        <v>0</v>
      </c>
      <c r="E50" s="31" t="str">
        <f>'Emissões Fugitivas'!D63</f>
        <v/>
      </c>
      <c r="F50" s="31">
        <f>'Emissões Fugitivas'!E63</f>
        <v>0</v>
      </c>
      <c r="G50" s="31">
        <f>'Emissões Fugitivas'!F63</f>
        <v>0</v>
      </c>
      <c r="H50" s="31">
        <f>'Emissões Fugitivas'!G63</f>
        <v>0</v>
      </c>
      <c r="I50" s="31">
        <f>'Emissões Fugitivas'!H63</f>
        <v>0</v>
      </c>
      <c r="J50" s="31">
        <f>'Emissões Fugitivas'!I63</f>
        <v>0</v>
      </c>
      <c r="K50" s="31" t="str">
        <f>'Emissões Fugitivas'!J63</f>
        <v/>
      </c>
      <c r="L50" s="22" t="str">
        <f t="shared" si="0"/>
        <v/>
      </c>
      <c r="M50" s="22" t="str">
        <f>IFERROR(IF(VLOOKUP(C50,'Dados gerais'!$D$33:$F$35,3,FALSE)="",2,VLOOKUP(C50,'Dados gerais'!$D$33:$F$35,3,FALSE)),"")</f>
        <v/>
      </c>
      <c r="N50" s="5" t="str">
        <f t="shared" si="3"/>
        <v/>
      </c>
      <c r="O50" s="22" t="str">
        <f t="shared" si="1"/>
        <v/>
      </c>
      <c r="P50" s="5" t="str">
        <f t="shared" si="4"/>
        <v/>
      </c>
      <c r="Q50" s="22" t="str">
        <f t="shared" si="2"/>
        <v/>
      </c>
      <c r="R50" s="5" t="str">
        <f t="shared" si="5"/>
        <v/>
      </c>
      <c r="S50" s="22" t="str">
        <f t="shared" si="6"/>
        <v/>
      </c>
    </row>
    <row r="51" spans="2:19" ht="17" x14ac:dyDescent="0.35">
      <c r="C51" s="31">
        <f>'Emissões Fugitivas'!B64</f>
        <v>0</v>
      </c>
      <c r="D51" s="87">
        <f>'Emissões Fugitivas'!C64</f>
        <v>0</v>
      </c>
      <c r="E51" s="31" t="str">
        <f>'Emissões Fugitivas'!D64</f>
        <v/>
      </c>
      <c r="F51" s="31">
        <f>'Emissões Fugitivas'!E64</f>
        <v>0</v>
      </c>
      <c r="G51" s="31">
        <f>'Emissões Fugitivas'!F64</f>
        <v>0</v>
      </c>
      <c r="H51" s="31">
        <f>'Emissões Fugitivas'!G64</f>
        <v>0</v>
      </c>
      <c r="I51" s="31">
        <f>'Emissões Fugitivas'!H64</f>
        <v>0</v>
      </c>
      <c r="J51" s="31">
        <f>'Emissões Fugitivas'!I64</f>
        <v>0</v>
      </c>
      <c r="K51" s="31" t="str">
        <f>'Emissões Fugitivas'!J64</f>
        <v/>
      </c>
      <c r="L51" s="22" t="str">
        <f t="shared" si="0"/>
        <v/>
      </c>
      <c r="M51" s="22" t="str">
        <f>IFERROR(IF(VLOOKUP(C51,'Dados gerais'!$D$33:$F$35,3,FALSE)="",2,VLOOKUP(C51,'Dados gerais'!$D$33:$F$35,3,FALSE)),"")</f>
        <v/>
      </c>
      <c r="N51" s="5" t="str">
        <f t="shared" si="3"/>
        <v/>
      </c>
      <c r="O51" s="22" t="str">
        <f t="shared" si="1"/>
        <v/>
      </c>
      <c r="P51" s="5" t="str">
        <f t="shared" si="4"/>
        <v/>
      </c>
      <c r="Q51" s="22" t="str">
        <f t="shared" si="2"/>
        <v/>
      </c>
      <c r="R51" s="5" t="str">
        <f t="shared" si="5"/>
        <v/>
      </c>
      <c r="S51" s="22" t="str">
        <f t="shared" si="6"/>
        <v/>
      </c>
    </row>
    <row r="52" spans="2:19" ht="17" x14ac:dyDescent="0.35">
      <c r="C52" s="31"/>
      <c r="D52" s="87">
        <f>'Emissões Fugitivas'!C64</f>
        <v>0</v>
      </c>
      <c r="E52" s="31"/>
      <c r="F52" s="31"/>
      <c r="G52" s="5">
        <f>'Emissões Fugitivas'!N64</f>
        <v>0</v>
      </c>
      <c r="H52" s="5" t="str">
        <f>'Emissões Fugitivas'!J64</f>
        <v/>
      </c>
      <c r="I52" s="31" t="str">
        <f>'Emissões Fugitivas'!D64</f>
        <v/>
      </c>
      <c r="J52" s="5">
        <f t="shared" ref="J52" si="7">IF(H52="",0,I52*H52/1000)</f>
        <v>0</v>
      </c>
      <c r="K52" s="5">
        <f t="shared" ref="K52" si="8">IF(H52="",0,I52*H52/1000)</f>
        <v>0</v>
      </c>
      <c r="N52" s="16">
        <f>SUM(N31:N51)</f>
        <v>0</v>
      </c>
      <c r="P52" s="16">
        <f>SUM(P31:P51)</f>
        <v>0</v>
      </c>
      <c r="R52" s="16">
        <f>SUM(R31:R51)</f>
        <v>0</v>
      </c>
      <c r="S52" s="16">
        <f>SUM(S31:S51)</f>
        <v>0</v>
      </c>
    </row>
    <row r="53" spans="2:19" x14ac:dyDescent="0.35">
      <c r="C53" s="165"/>
      <c r="D53" s="165"/>
      <c r="E53" s="165"/>
      <c r="F53" s="165"/>
      <c r="G53" s="165"/>
    </row>
    <row r="56" spans="2:19" s="296" customFormat="1" ht="18.5" x14ac:dyDescent="0.35">
      <c r="B56" s="296" t="s">
        <v>761</v>
      </c>
    </row>
    <row r="58" spans="2:19" x14ac:dyDescent="0.35">
      <c r="B58" s="118" t="s">
        <v>766</v>
      </c>
      <c r="C58" s="118" t="s">
        <v>794</v>
      </c>
      <c r="D58" s="118" t="s">
        <v>796</v>
      </c>
      <c r="E58" s="118" t="s">
        <v>842</v>
      </c>
    </row>
    <row r="59" spans="2:19" x14ac:dyDescent="0.35">
      <c r="B59" s="294" t="s">
        <v>767</v>
      </c>
      <c r="C59" s="22"/>
      <c r="D59" s="294">
        <v>1</v>
      </c>
      <c r="E59" s="22"/>
    </row>
    <row r="60" spans="2:19" x14ac:dyDescent="0.35">
      <c r="B60" s="294" t="s">
        <v>779</v>
      </c>
      <c r="C60" s="22"/>
      <c r="D60" s="22">
        <f>'Fatores de Emissão'!J268</f>
        <v>491</v>
      </c>
      <c r="E60" s="22"/>
    </row>
    <row r="61" spans="2:19" x14ac:dyDescent="0.35">
      <c r="B61" s="294" t="s">
        <v>780</v>
      </c>
      <c r="C61" s="22"/>
      <c r="D61" s="22">
        <f>'Fatores de Emissão'!J269</f>
        <v>1790</v>
      </c>
      <c r="E61" s="22"/>
    </row>
    <row r="62" spans="2:19" x14ac:dyDescent="0.35">
      <c r="B62" s="294" t="s">
        <v>781</v>
      </c>
      <c r="C62" s="22"/>
      <c r="D62" s="22">
        <f>'Fatores de Emissão'!J270</f>
        <v>216</v>
      </c>
      <c r="E62" s="22"/>
    </row>
    <row r="63" spans="2:19" x14ac:dyDescent="0.35">
      <c r="B63" s="294" t="s">
        <v>782</v>
      </c>
      <c r="C63" s="22"/>
      <c r="D63" s="22">
        <f>'Fatores de Emissão'!J271</f>
        <v>11100</v>
      </c>
      <c r="E63" s="22"/>
    </row>
    <row r="64" spans="2:19" x14ac:dyDescent="0.35">
      <c r="B64" s="294" t="s">
        <v>783</v>
      </c>
      <c r="C64" s="22"/>
      <c r="D64" s="22">
        <f>'Fatores de Emissão'!J272</f>
        <v>8900</v>
      </c>
      <c r="E64" s="22"/>
    </row>
    <row r="65" spans="1:8" x14ac:dyDescent="0.35">
      <c r="B65" s="294" t="s">
        <v>784</v>
      </c>
      <c r="C65" s="22"/>
      <c r="D65" s="22"/>
      <c r="E65" s="22"/>
    </row>
    <row r="66" spans="1:8" x14ac:dyDescent="0.35">
      <c r="A66" s="95" t="s">
        <v>797</v>
      </c>
      <c r="B66" s="294" t="s">
        <v>785</v>
      </c>
      <c r="C66" s="22"/>
      <c r="D66" s="90">
        <f>'Fatores de Emissão'!E250</f>
        <v>23500</v>
      </c>
      <c r="E66" s="294" t="s">
        <v>843</v>
      </c>
    </row>
    <row r="67" spans="1:8" x14ac:dyDescent="0.35">
      <c r="A67" s="95" t="s">
        <v>797</v>
      </c>
      <c r="B67" s="294" t="s">
        <v>786</v>
      </c>
      <c r="C67" s="22"/>
      <c r="D67" s="90">
        <f>D66</f>
        <v>23500</v>
      </c>
      <c r="E67" s="294" t="s">
        <v>843</v>
      </c>
    </row>
    <row r="68" spans="1:8" x14ac:dyDescent="0.35">
      <c r="A68" s="95" t="s">
        <v>797</v>
      </c>
      <c r="B68" s="294" t="s">
        <v>787</v>
      </c>
      <c r="C68" s="22"/>
      <c r="D68" s="22"/>
      <c r="E68" s="294" t="s">
        <v>844</v>
      </c>
    </row>
    <row r="69" spans="1:8" x14ac:dyDescent="0.35">
      <c r="A69" s="95" t="s">
        <v>797</v>
      </c>
      <c r="B69" s="294" t="s">
        <v>788</v>
      </c>
      <c r="C69" s="22"/>
      <c r="D69" s="22"/>
      <c r="E69" s="294" t="s">
        <v>844</v>
      </c>
    </row>
    <row r="70" spans="1:8" x14ac:dyDescent="0.35">
      <c r="A70" s="95" t="s">
        <v>797</v>
      </c>
      <c r="B70" s="294" t="s">
        <v>789</v>
      </c>
      <c r="C70" s="22"/>
      <c r="D70" s="22"/>
      <c r="E70" s="294" t="s">
        <v>845</v>
      </c>
    </row>
    <row r="71" spans="1:8" x14ac:dyDescent="0.35">
      <c r="A71" s="95" t="s">
        <v>797</v>
      </c>
      <c r="B71" s="294" t="s">
        <v>790</v>
      </c>
      <c r="C71" s="22"/>
      <c r="D71" s="22"/>
      <c r="E71" s="294" t="s">
        <v>846</v>
      </c>
    </row>
    <row r="72" spans="1:8" x14ac:dyDescent="0.35">
      <c r="A72" s="95" t="s">
        <v>797</v>
      </c>
      <c r="B72" s="294" t="s">
        <v>791</v>
      </c>
      <c r="C72" s="22"/>
      <c r="D72" s="22"/>
      <c r="E72" s="294" t="s">
        <v>847</v>
      </c>
    </row>
    <row r="73" spans="1:8" ht="16.5" x14ac:dyDescent="0.45">
      <c r="B73" s="294" t="s">
        <v>792</v>
      </c>
      <c r="C73" s="22"/>
      <c r="D73" s="90">
        <f>'Fatores de Emissão'!E249</f>
        <v>265</v>
      </c>
      <c r="E73" s="22"/>
    </row>
    <row r="74" spans="1:8" x14ac:dyDescent="0.35">
      <c r="B74" s="294" t="s">
        <v>314</v>
      </c>
      <c r="C74" s="22"/>
      <c r="D74" s="22"/>
      <c r="E74" s="22"/>
    </row>
    <row r="75" spans="1:8" x14ac:dyDescent="0.35">
      <c r="B75" t="s">
        <v>795</v>
      </c>
    </row>
    <row r="76" spans="1:8" x14ac:dyDescent="0.35">
      <c r="B76" t="s">
        <v>798</v>
      </c>
    </row>
    <row r="80" spans="1:8" ht="15" thickBot="1" x14ac:dyDescent="0.4">
      <c r="B80" s="96" t="str">
        <f>'Fatores de Emissão'!B180</f>
        <v>Gás</v>
      </c>
      <c r="C80" s="96" t="str">
        <f>'Fatores de Emissão'!C180</f>
        <v>Processo</v>
      </c>
      <c r="D80" s="96" t="str">
        <f>'Fatores de Emissão'!D180</f>
        <v>Etapa</v>
      </c>
      <c r="E80" s="96" t="str">
        <f>'Fatores de Emissão'!E180</f>
        <v>FE</v>
      </c>
      <c r="F80" s="96" t="str">
        <f>'Fatores de Emissão'!F180</f>
        <v>Unidade</v>
      </c>
      <c r="G80" s="96" t="str">
        <f>'Fatores de Emissão'!G180</f>
        <v>Descrição</v>
      </c>
      <c r="H80" s="96" t="str">
        <f>'Fatores de Emissão'!H180</f>
        <v>Fonte</v>
      </c>
    </row>
    <row r="81" spans="2:9" ht="15" thickTop="1" x14ac:dyDescent="0.35">
      <c r="B81" s="124" t="str">
        <f>'Fatores de Emissão'!B181</f>
        <v>SF6</v>
      </c>
      <c r="C81" s="125" t="str">
        <f>'Fatores de Emissão'!C181</f>
        <v>Sealed Pressure Eletrical Equipment</v>
      </c>
      <c r="D81" s="124" t="str">
        <f>'Fatores de Emissão'!D181</f>
        <v>Manufacturing</v>
      </c>
      <c r="E81" s="124">
        <f>'Fatores de Emissão'!E181</f>
        <v>7.0000000000000007E-2</v>
      </c>
      <c r="F81" s="124" t="str">
        <f>'Fatores de Emissão'!F181</f>
        <v>%</v>
      </c>
      <c r="G81" s="125" t="str">
        <f>'Fatores de Emissão'!G181</f>
        <v>Fraction SF6 consumption by Manufactures</v>
      </c>
      <c r="H81" s="125" t="str">
        <f>'Fatores de Emissão'!H181</f>
        <v>IPCC 2006 Guidelines; Vol.3 IPPU; Ch8 Other Product Manufacture and Use - Table 8.2</v>
      </c>
    </row>
    <row r="82" spans="2:9" x14ac:dyDescent="0.35">
      <c r="B82" s="97" t="str">
        <f>'Fatores de Emissão'!B182</f>
        <v>SF6</v>
      </c>
      <c r="C82" s="123" t="str">
        <f>'Fatores de Emissão'!C182</f>
        <v>Sealed Pressure Eletrical Equipment</v>
      </c>
      <c r="D82" s="97" t="str">
        <f>'Fatores de Emissão'!D182</f>
        <v>Operation</v>
      </c>
      <c r="E82" s="97">
        <f>'Fatores de Emissão'!E182</f>
        <v>2E-3</v>
      </c>
      <c r="F82" s="97" t="str">
        <f>'Fatores de Emissão'!F182</f>
        <v>%</v>
      </c>
      <c r="G82" s="123" t="str">
        <f>'Fatores de Emissão'!G182</f>
        <v>Fraction per Year of Namrplate Capacity of All Equipment Installed</v>
      </c>
      <c r="H82" s="123" t="str">
        <f>'Fatores de Emissão'!H182</f>
        <v>IPCC 2006 Guidelines; Vol.3 IPPU; Ch8 Other Product Manufacture and Use - Table 8.2</v>
      </c>
    </row>
    <row r="83" spans="2:9" x14ac:dyDescent="0.35">
      <c r="B83" s="97" t="str">
        <f>'Fatores de Emissão'!B183</f>
        <v>SF6</v>
      </c>
      <c r="C83" s="123" t="str">
        <f>'Fatores de Emissão'!C183</f>
        <v>Sealed Pressure Eletrical Equipment</v>
      </c>
      <c r="D83" s="97" t="str">
        <f>'Fatores de Emissão'!D183</f>
        <v>Disposal</v>
      </c>
      <c r="E83" s="97">
        <f>'Fatores de Emissão'!E183</f>
        <v>0.93</v>
      </c>
      <c r="F83" s="97" t="str">
        <f>'Fatores de Emissão'!F183</f>
        <v>%</v>
      </c>
      <c r="G83" s="123" t="str">
        <f>'Fatores de Emissão'!G183</f>
        <v>Fraction of charge remaining at retirement</v>
      </c>
      <c r="H83" s="123" t="str">
        <f>'Fatores de Emissão'!H183</f>
        <v>IPCC 2006 Guidelines; Vol.3 IPPU; Ch8 Other Product Manufacture and Use - Table 8.2</v>
      </c>
    </row>
    <row r="84" spans="2:9" x14ac:dyDescent="0.35">
      <c r="B84" s="98" t="str">
        <f>'Fatores de Emissão'!B184</f>
        <v>SF6</v>
      </c>
      <c r="C84" s="126" t="str">
        <f>'Fatores de Emissão'!C184</f>
        <v>Sealed Pressure Eletrical Equipment</v>
      </c>
      <c r="D84" s="98" t="str">
        <f>'Fatores de Emissão'!D184</f>
        <v>Lifetime</v>
      </c>
      <c r="E84" s="98" t="str">
        <f>'Fatores de Emissão'!E184</f>
        <v>&gt; 35</v>
      </c>
      <c r="F84" s="98" t="str">
        <f>'Fatores de Emissão'!F184</f>
        <v>years</v>
      </c>
      <c r="G84" s="126"/>
      <c r="H84" s="126" t="str">
        <f>'Fatores de Emissão'!H184</f>
        <v>IPCC 2006 Guidelines; Vol.3 IPPU; Ch8 Other Product Manufacture and Use - Table 8.2</v>
      </c>
    </row>
    <row r="85" spans="2:9" x14ac:dyDescent="0.35">
      <c r="B85" s="127" t="str">
        <f>'Fatores de Emissão'!B185</f>
        <v>SF6</v>
      </c>
      <c r="C85" s="128" t="str">
        <f>'Fatores de Emissão'!C185</f>
        <v>Closed Pressure Eletrical Equipment</v>
      </c>
      <c r="D85" s="127" t="str">
        <f>'Fatores de Emissão'!D185</f>
        <v>Manufacturing</v>
      </c>
      <c r="E85" s="127">
        <f>'Fatores de Emissão'!E185</f>
        <v>8.5000000000000006E-2</v>
      </c>
      <c r="F85" s="127" t="str">
        <f>'Fatores de Emissão'!F185</f>
        <v>%</v>
      </c>
      <c r="G85" s="128" t="str">
        <f>'Fatores de Emissão'!G185</f>
        <v>Fraction SF6 consumption by Manufactures</v>
      </c>
      <c r="H85" s="128" t="str">
        <f>'Fatores de Emissão'!H185</f>
        <v>IPCC 2006 Guidelines; Vol.3 IPPU; Ch8 Other Product Manufacture and Use - Table 8.3</v>
      </c>
    </row>
    <row r="86" spans="2:9" x14ac:dyDescent="0.35">
      <c r="B86" s="97" t="str">
        <f>'Fatores de Emissão'!B186</f>
        <v>SF6</v>
      </c>
      <c r="C86" s="123" t="str">
        <f>'Fatores de Emissão'!C186</f>
        <v>Closed Pressure Eletrical Equipment</v>
      </c>
      <c r="D86" s="97" t="str">
        <f>'Fatores de Emissão'!D186</f>
        <v>Operation</v>
      </c>
      <c r="E86" s="97">
        <f>'Fatores de Emissão'!E186</f>
        <v>2.5999999999999999E-2</v>
      </c>
      <c r="F86" s="97" t="str">
        <f>'Fatores de Emissão'!F186</f>
        <v>%</v>
      </c>
      <c r="G86" s="123" t="str">
        <f>'Fatores de Emissão'!G186</f>
        <v>Fraction per Year of Nameplate Capacity of All Equipment Installed</v>
      </c>
      <c r="H86" s="123" t="str">
        <f>'Fatores de Emissão'!H186</f>
        <v>IPCC 2006 Guidelines; Vol.3 IPPU; Ch8 Other Product Manufacture and Use - Table 8.3</v>
      </c>
    </row>
    <row r="87" spans="2:9" x14ac:dyDescent="0.35">
      <c r="B87" s="97" t="str">
        <f>'Fatores de Emissão'!B187</f>
        <v>SF6</v>
      </c>
      <c r="C87" s="123" t="str">
        <f>'Fatores de Emissão'!C187</f>
        <v>Closed Pressure Eletrical Equipment</v>
      </c>
      <c r="D87" s="97" t="str">
        <f>'Fatores de Emissão'!D187</f>
        <v>Disposal</v>
      </c>
      <c r="E87" s="97">
        <f>'Fatores de Emissão'!E187</f>
        <v>0.95</v>
      </c>
      <c r="F87" s="97" t="str">
        <f>'Fatores de Emissão'!F187</f>
        <v>%</v>
      </c>
      <c r="G87" s="123" t="str">
        <f>'Fatores de Emissão'!G187</f>
        <v>Fraction of charge remaining at retirement</v>
      </c>
      <c r="H87" s="123" t="str">
        <f>'Fatores de Emissão'!H187</f>
        <v>IPCC 2006 Guidelines; Vol.3 IPPU; Ch8 Other Product Manufacture and Use - Table 8.3</v>
      </c>
    </row>
    <row r="88" spans="2:9" x14ac:dyDescent="0.35">
      <c r="B88" s="98" t="str">
        <f>'Fatores de Emissão'!B188</f>
        <v>SF6</v>
      </c>
      <c r="C88" s="126" t="str">
        <f>'Fatores de Emissão'!C188</f>
        <v>Closed Pressure Eletrical Equipment</v>
      </c>
      <c r="D88" s="98" t="str">
        <f>'Fatores de Emissão'!D188</f>
        <v>Lifetime</v>
      </c>
      <c r="E88" s="98" t="str">
        <f>'Fatores de Emissão'!E188</f>
        <v>&gt; 35</v>
      </c>
      <c r="F88" s="98" t="str">
        <f>'Fatores de Emissão'!F188</f>
        <v>years</v>
      </c>
      <c r="G88" s="126"/>
      <c r="H88" s="126" t="str">
        <f>'Fatores de Emissão'!H188</f>
        <v>IPCC 2006 Guidelines; Vol.3 IPPU; Ch8 Other Product Manufacture and Use - Table 8.3</v>
      </c>
    </row>
    <row r="89" spans="2:9" x14ac:dyDescent="0.35">
      <c r="B89" s="97" t="str">
        <f>'Fatores de Emissão'!B189</f>
        <v>NF3</v>
      </c>
      <c r="C89" s="123" t="str">
        <f>'Fatores de Emissão'!C189</f>
        <v>Semiconductors</v>
      </c>
      <c r="D89" s="97" t="str">
        <f>'Fatores de Emissão'!D189</f>
        <v>Manufacturing</v>
      </c>
      <c r="E89" s="97">
        <f>'Fatores de Emissão'!E189</f>
        <v>0.04</v>
      </c>
      <c r="F89" s="97" t="str">
        <f>'Fatores de Emissão'!F189</f>
        <v>kg/m2</v>
      </c>
      <c r="G89" s="123" t="str">
        <f>'Fatores de Emissão'!G189</f>
        <v>Mass per Unit Area of Substrate Processed</v>
      </c>
      <c r="H89" s="123" t="str">
        <f>'Fatores de Emissão'!H189</f>
        <v>IPCC 2006 Guidelines; Vol.3 IPPU; Ch6 Electronics Industry - Table 6.2</v>
      </c>
    </row>
    <row r="90" spans="2:9" x14ac:dyDescent="0.35">
      <c r="B90" s="98" t="str">
        <f>'Fatores de Emissão'!B190</f>
        <v>SF6</v>
      </c>
      <c r="C90" s="126" t="str">
        <f>'Fatores de Emissão'!C190</f>
        <v>Semiconductors</v>
      </c>
      <c r="D90" s="98" t="str">
        <f>'Fatores de Emissão'!D190</f>
        <v>Manufacturing</v>
      </c>
      <c r="E90" s="98">
        <f>'Fatores de Emissão'!E190</f>
        <v>0.2</v>
      </c>
      <c r="F90" s="98" t="str">
        <f>'Fatores de Emissão'!F190</f>
        <v>kg/m2</v>
      </c>
      <c r="G90" s="126" t="str">
        <f>'Fatores de Emissão'!G190</f>
        <v>Mass per Unit Area of Substrate Processed</v>
      </c>
      <c r="H90" s="126" t="str">
        <f>'Fatores de Emissão'!H190</f>
        <v>IPCC 2006 Guidelines; Vol.3 IPPU; Ch6 Electronics Industry - Table 6.2</v>
      </c>
      <c r="I90" s="129"/>
    </row>
    <row r="91" spans="2:9" x14ac:dyDescent="0.35">
      <c r="B91" s="97" t="str">
        <f>'Fatores de Emissão'!B191</f>
        <v>NF3</v>
      </c>
      <c r="C91" s="123" t="str">
        <f>'Fatores de Emissão'!C191</f>
        <v>TFT-FPDs</v>
      </c>
      <c r="D91" s="97" t="str">
        <f>'Fatores de Emissão'!D191</f>
        <v>Manufacturing</v>
      </c>
      <c r="E91" s="97">
        <f>'Fatores de Emissão'!E191</f>
        <v>0.9</v>
      </c>
      <c r="F91" s="97" t="str">
        <f>'Fatores de Emissão'!F191</f>
        <v>g/m2</v>
      </c>
      <c r="G91" s="123" t="str">
        <f>'Fatores de Emissão'!G191</f>
        <v>Mass per Unit Area of Substrate Processed</v>
      </c>
      <c r="H91" s="123" t="str">
        <f>'Fatores de Emissão'!H191</f>
        <v>IPCC 2006 Guidelines; Vol.3 IPPU; Ch6 Electronics Industry - Table 6.2</v>
      </c>
    </row>
    <row r="92" spans="2:9" x14ac:dyDescent="0.35">
      <c r="B92" s="97" t="str">
        <f>'Fatores de Emissão'!B192</f>
        <v>SF6</v>
      </c>
      <c r="C92" s="123" t="str">
        <f>'Fatores de Emissão'!C192</f>
        <v>TFT-FPDs</v>
      </c>
      <c r="D92" s="97" t="str">
        <f>'Fatores de Emissão'!D192</f>
        <v>Manufacturing</v>
      </c>
      <c r="E92" s="97">
        <f>'Fatores de Emissão'!E192</f>
        <v>4</v>
      </c>
      <c r="F92" s="97" t="str">
        <f>'Fatores de Emissão'!F192</f>
        <v>g/m2</v>
      </c>
      <c r="G92" s="123" t="str">
        <f>'Fatores de Emissão'!G192</f>
        <v>Mass per Unit Area of Substrate Processed</v>
      </c>
      <c r="H92" s="123" t="str">
        <f>'Fatores de Emissão'!H192</f>
        <v>IPCC 2006 Guidelines; Vol.3 IPPU; Ch6 Electronics Industry - Table 6.2</v>
      </c>
    </row>
    <row r="93" spans="2:9" x14ac:dyDescent="0.35">
      <c r="B93" s="97" t="str">
        <f>'Fatores de Emissão'!B193</f>
        <v>CO2</v>
      </c>
      <c r="C93" s="97" t="str">
        <f>'Fatores de Emissão'!C193</f>
        <v>Fugitive Emissions from Natural Gas</v>
      </c>
      <c r="D93" s="97" t="str">
        <f>'Fatores de Emissão'!D193</f>
        <v>Transmission</v>
      </c>
      <c r="E93" s="97">
        <f>'Fatores de Emissão'!E193</f>
        <v>3.98E-6</v>
      </c>
      <c r="F93" s="97" t="str">
        <f>'Fatores de Emissão'!F193</f>
        <v>kg CO2/m3 gas</v>
      </c>
      <c r="G93" s="123"/>
      <c r="H93" s="123" t="str">
        <f>'Fatores de Emissão'!H193</f>
        <v>IPCC 2006 Guidelines; Vol.2 Energy; Ch4 Fugitive Emissions - Table 4.2.4</v>
      </c>
    </row>
    <row r="94" spans="2:9" x14ac:dyDescent="0.35">
      <c r="B94" s="97" t="str">
        <f>'Fatores de Emissão'!B194</f>
        <v>CH4</v>
      </c>
      <c r="C94" s="97" t="str">
        <f>'Fatores de Emissão'!C194</f>
        <v>Fugitive Emissions from Natural Gas</v>
      </c>
      <c r="D94" s="97" t="str">
        <f>'Fatores de Emissão'!D194</f>
        <v>Transmission</v>
      </c>
      <c r="E94" s="97">
        <f>'Fatores de Emissão'!E194</f>
        <v>4.5499999999999995E-4</v>
      </c>
      <c r="F94" s="97" t="str">
        <f>'Fatores de Emissão'!F194</f>
        <v>kg CH4/m3 gas</v>
      </c>
      <c r="G94" s="123"/>
      <c r="H94" s="123" t="str">
        <f>'Fatores de Emissão'!H194</f>
        <v>IPCC 2006 Guidelines; Vol.2 Energy; Ch4 Fugitive Emissions - Table 4.2.4</v>
      </c>
    </row>
    <row r="95" spans="2:9" x14ac:dyDescent="0.35">
      <c r="B95" s="97" t="str">
        <f>'Fatores de Emissão'!B195</f>
        <v>N2O</v>
      </c>
      <c r="C95" s="97" t="str">
        <f>'Fatores de Emissão'!C195</f>
        <v>Fugitive Emissions from Natural Gas</v>
      </c>
      <c r="D95" s="97" t="str">
        <f>'Fatores de Emissão'!D195</f>
        <v>Transmission</v>
      </c>
      <c r="E95" s="97" t="str">
        <f>'Fatores de Emissão'!E195</f>
        <v>-</v>
      </c>
      <c r="F95" s="97" t="str">
        <f>'Fatores de Emissão'!F195</f>
        <v>kg N2O/m3 gas</v>
      </c>
      <c r="G95" s="123"/>
      <c r="H95" s="123" t="str">
        <f>'Fatores de Emissão'!H195</f>
        <v>IPCC 2006 Guidelines; Vol.2 Energy; Ch4 Fugitive Emissions - Table 4.2.4</v>
      </c>
    </row>
    <row r="96" spans="2:9" ht="15" thickBot="1" x14ac:dyDescent="0.4">
      <c r="B96" s="99" t="str">
        <f>'Fatores de Emissão'!B196</f>
        <v>GHGs</v>
      </c>
      <c r="C96" s="99" t="str">
        <f>'Fatores de Emissão'!C196</f>
        <v>Fugitive Emissions from Natural Gas</v>
      </c>
      <c r="D96" s="99" t="str">
        <f>'Fatores de Emissão'!D196</f>
        <v>Transmission</v>
      </c>
      <c r="E96" s="99">
        <f>'Fatores de Emissão'!E196</f>
        <v>1.2743979999999999E-2</v>
      </c>
      <c r="F96" s="99" t="str">
        <f>'Fatores de Emissão'!F196</f>
        <v>kg CO2 eq./m3 gas</v>
      </c>
      <c r="G96" s="130"/>
      <c r="H96" s="130"/>
    </row>
    <row r="97" spans="2:24" ht="15" thickTop="1" x14ac:dyDescent="0.35">
      <c r="B97" s="97" t="str">
        <f>'Fatores de Emissão'!B197</f>
        <v>CO2</v>
      </c>
      <c r="C97" s="97" t="str">
        <f>'Fatores de Emissão'!C197</f>
        <v>Fugitive Emissions from Natural Gas</v>
      </c>
      <c r="D97" s="97" t="str">
        <f>'Fatores de Emissão'!D197</f>
        <v>Storage</v>
      </c>
      <c r="E97" s="97">
        <f>'Fatores de Emissão'!E197</f>
        <v>1.1000000000000001E-7</v>
      </c>
      <c r="F97" s="97" t="str">
        <f>'Fatores de Emissão'!F197</f>
        <v>kg CO2/m3 gas</v>
      </c>
      <c r="G97" s="123"/>
      <c r="H97" s="123" t="str">
        <f>'Fatores de Emissão'!H197</f>
        <v>IPCC 2006 Guidelines; Vol.2 Energy; Ch4 Fugitive Emissions - Table 4.2.4</v>
      </c>
    </row>
    <row r="98" spans="2:24" x14ac:dyDescent="0.35">
      <c r="B98" s="97" t="str">
        <f>'Fatores de Emissão'!B198</f>
        <v>CH4</v>
      </c>
      <c r="C98" s="97" t="str">
        <f>'Fatores de Emissão'!C198</f>
        <v>Fugitive Emissions from Natural Gas</v>
      </c>
      <c r="D98" s="97" t="str">
        <f>'Fatores de Emissão'!D198</f>
        <v>Storage</v>
      </c>
      <c r="E98" s="97">
        <f>'Fatores de Emissão'!E198</f>
        <v>2.5000000000000001E-5</v>
      </c>
      <c r="F98" s="97" t="str">
        <f>'Fatores de Emissão'!F198</f>
        <v>kg CH4/m3 gas</v>
      </c>
      <c r="G98" s="123"/>
      <c r="H98" s="123" t="str">
        <f>'Fatores de Emissão'!H198</f>
        <v>IPCC 2006 Guidelines; Vol.2 Energy; Ch4 Fugitive Emissions - Table 4.2.4</v>
      </c>
    </row>
    <row r="99" spans="2:24" x14ac:dyDescent="0.35">
      <c r="B99" s="97" t="str">
        <f>'Fatores de Emissão'!B199</f>
        <v>N2O</v>
      </c>
      <c r="C99" s="97" t="str">
        <f>'Fatores de Emissão'!C199</f>
        <v>Fugitive Emissions from Natural Gas</v>
      </c>
      <c r="D99" s="97" t="str">
        <f>'Fatores de Emissão'!D199</f>
        <v>Storage</v>
      </c>
      <c r="E99" s="97" t="str">
        <f>'Fatores de Emissão'!E199</f>
        <v>-</v>
      </c>
      <c r="F99" s="97" t="str">
        <f>'Fatores de Emissão'!F199</f>
        <v>kg N2O/m3 gas</v>
      </c>
      <c r="G99" s="123"/>
      <c r="H99" s="123" t="str">
        <f>'Fatores de Emissão'!H199</f>
        <v>IPCC 2006 Guidelines; Vol.2 Energy; Ch4 Fugitive Emissions - Table 4.2.4</v>
      </c>
    </row>
    <row r="100" spans="2:24" ht="15" thickBot="1" x14ac:dyDescent="0.4">
      <c r="B100" s="99" t="str">
        <f>'Fatores de Emissão'!B200</f>
        <v>GHGs</v>
      </c>
      <c r="C100" s="99" t="str">
        <f>'Fatores de Emissão'!C200</f>
        <v>Fugitive Emissions from Natural Gas</v>
      </c>
      <c r="D100" s="99" t="str">
        <f>'Fatores de Emissão'!D200</f>
        <v>Storage</v>
      </c>
      <c r="E100" s="99">
        <f>'Fatores de Emissão'!E200</f>
        <v>7.0010999999999999E-4</v>
      </c>
      <c r="F100" s="99" t="str">
        <f>'Fatores de Emissão'!F200</f>
        <v>kg CO2 eq./m3 gas</v>
      </c>
      <c r="G100" s="130"/>
      <c r="H100" s="130"/>
    </row>
    <row r="101" spans="2:24" ht="15" thickTop="1" x14ac:dyDescent="0.35">
      <c r="B101" s="97" t="str">
        <f>'Fatores de Emissão'!B201</f>
        <v>CO2</v>
      </c>
      <c r="C101" s="97" t="str">
        <f>'Fatores de Emissão'!C201</f>
        <v>Fugitive Emissions from Natural Gas</v>
      </c>
      <c r="D101" s="97" t="str">
        <f>'Fatores de Emissão'!D201</f>
        <v>Distribution</v>
      </c>
      <c r="E101" s="97">
        <f>'Fatores de Emissão'!E201</f>
        <v>5.1E-5</v>
      </c>
      <c r="F101" s="97" t="str">
        <f>'Fatores de Emissão'!F201</f>
        <v>kg CO2/m3 gas</v>
      </c>
      <c r="G101" s="123"/>
      <c r="H101" s="123" t="str">
        <f>'Fatores de Emissão'!H201</f>
        <v>IPCC 2006 Guidelines; Vol.2 Energy; Ch4 Fugitive Emissions - Table 4.2.4</v>
      </c>
    </row>
    <row r="102" spans="2:24" x14ac:dyDescent="0.35">
      <c r="B102" s="97" t="str">
        <f>'Fatores de Emissão'!B202</f>
        <v>CH4</v>
      </c>
      <c r="C102" s="97" t="str">
        <f>'Fatores de Emissão'!C202</f>
        <v>Fugitive Emissions from Natural Gas</v>
      </c>
      <c r="D102" s="97" t="str">
        <f>'Fatores de Emissão'!D202</f>
        <v>Distribution</v>
      </c>
      <c r="E102" s="97">
        <f>'Fatores de Emissão'!E202</f>
        <v>1.2999999999999999E-3</v>
      </c>
      <c r="F102" s="97" t="str">
        <f>'Fatores de Emissão'!F202</f>
        <v>kg CH4/m3 gas</v>
      </c>
      <c r="G102" s="123"/>
      <c r="H102" s="123" t="str">
        <f>'Fatores de Emissão'!H202</f>
        <v>IPCC 2006 Guidelines; Vol.2 Energy; Ch4 Fugitive Emissions - Table 4.2.4</v>
      </c>
    </row>
    <row r="103" spans="2:24" x14ac:dyDescent="0.35">
      <c r="B103" s="97" t="str">
        <f>'Fatores de Emissão'!B203</f>
        <v>N2O</v>
      </c>
      <c r="C103" s="97" t="str">
        <f>'Fatores de Emissão'!C203</f>
        <v>Fugitive Emissions from Natural Gas</v>
      </c>
      <c r="D103" s="97" t="str">
        <f>'Fatores de Emissão'!D203</f>
        <v>Distribution</v>
      </c>
      <c r="E103" s="97" t="str">
        <f>'Fatores de Emissão'!E203</f>
        <v>-</v>
      </c>
      <c r="F103" s="97" t="str">
        <f>'Fatores de Emissão'!F203</f>
        <v>kg N2O/m3 gas</v>
      </c>
      <c r="G103" s="123"/>
      <c r="H103" s="123" t="str">
        <f>'Fatores de Emissão'!H203</f>
        <v>IPCC 2006 Guidelines; Vol.2 Energy; Ch4 Fugitive Emissions - Table 4.2.4</v>
      </c>
    </row>
    <row r="104" spans="2:24" ht="15" thickBot="1" x14ac:dyDescent="0.4">
      <c r="B104" s="99" t="str">
        <f>'Fatores de Emissão'!B204</f>
        <v>GHGs</v>
      </c>
      <c r="C104" s="99" t="str">
        <f>'Fatores de Emissão'!C204</f>
        <v>Fugitive Emissions from Natural Gas</v>
      </c>
      <c r="D104" s="99" t="str">
        <f>'Fatores de Emissão'!D204</f>
        <v>Distribution</v>
      </c>
      <c r="E104" s="99">
        <f>'Fatores de Emissão'!E204</f>
        <v>3.6451000000000004E-2</v>
      </c>
      <c r="F104" s="99" t="str">
        <f>'Fatores de Emissão'!F204</f>
        <v>kg CO2 eq./m3 gas</v>
      </c>
      <c r="G104" s="130"/>
      <c r="H104" s="130"/>
    </row>
    <row r="105" spans="2:24" ht="15" thickTop="1" x14ac:dyDescent="0.35"/>
    <row r="107" spans="2:24" x14ac:dyDescent="0.35">
      <c r="B107" s="100" t="s">
        <v>828</v>
      </c>
      <c r="C107" s="101"/>
      <c r="D107" s="101"/>
      <c r="E107" s="101"/>
      <c r="F107" s="101"/>
      <c r="G107" s="101"/>
      <c r="H107" s="101"/>
      <c r="I107" s="101"/>
      <c r="J107" s="101"/>
      <c r="K107" s="101"/>
      <c r="L107" s="101"/>
    </row>
    <row r="109" spans="2:24" x14ac:dyDescent="0.35">
      <c r="B109" s="102" t="s">
        <v>598</v>
      </c>
      <c r="C109" s="106" t="s">
        <v>829</v>
      </c>
      <c r="D109" s="104" t="s">
        <v>830</v>
      </c>
      <c r="E109" s="107"/>
      <c r="F109" s="107"/>
      <c r="G109" s="102" t="s">
        <v>831</v>
      </c>
      <c r="H109" s="104" t="s">
        <v>832</v>
      </c>
      <c r="I109" s="107"/>
      <c r="J109" s="102" t="s">
        <v>741</v>
      </c>
      <c r="K109" s="104" t="s">
        <v>835</v>
      </c>
      <c r="L109" s="107"/>
      <c r="M109" s="105"/>
      <c r="N109" s="110" t="str">
        <f>"Emissões de "&amp;B66&amp;" ou "&amp;B67</f>
        <v>Emissões de Equipamento elétrico de pressão, selado ou Equipamento elétrico de pressão, fechado</v>
      </c>
      <c r="O109" s="1189" t="s">
        <v>839</v>
      </c>
      <c r="P109" s="1190"/>
      <c r="Q109" s="1191" t="str">
        <f>B69</f>
        <v>Produção de TFT-FPDs</v>
      </c>
      <c r="R109" s="1191"/>
      <c r="S109" t="str">
        <f>B70</f>
        <v>Gás natural - transmissão</v>
      </c>
      <c r="T109" t="str">
        <f>B71</f>
        <v>Gás natural - distribuição</v>
      </c>
      <c r="U109" t="str">
        <f>B72</f>
        <v>Gás natural - armazenamento</v>
      </c>
      <c r="V109" s="88" t="s">
        <v>833</v>
      </c>
      <c r="W109" s="88" t="s">
        <v>238</v>
      </c>
      <c r="X109" s="88" t="s">
        <v>834</v>
      </c>
    </row>
    <row r="110" spans="2:24" x14ac:dyDescent="0.35">
      <c r="B110" s="108"/>
      <c r="C110" s="108"/>
      <c r="D110" s="88" t="s">
        <v>764</v>
      </c>
      <c r="E110" s="88" t="s">
        <v>238</v>
      </c>
      <c r="F110" s="88" t="s">
        <v>553</v>
      </c>
      <c r="G110" s="108"/>
      <c r="H110" s="88" t="s">
        <v>762</v>
      </c>
      <c r="I110" s="88" t="s">
        <v>202</v>
      </c>
      <c r="J110" s="103"/>
      <c r="K110" s="111" t="s">
        <v>836</v>
      </c>
      <c r="L110" s="88" t="s">
        <v>837</v>
      </c>
      <c r="M110" s="112" t="s">
        <v>838</v>
      </c>
      <c r="N110" s="113" t="s">
        <v>1620</v>
      </c>
      <c r="O110" s="113" t="s">
        <v>840</v>
      </c>
      <c r="P110" s="88" t="s">
        <v>841</v>
      </c>
      <c r="Q110" s="84" t="str">
        <f>O110</f>
        <v>SF6 (kg CO2e)</v>
      </c>
      <c r="R110" s="84" t="str">
        <f>P110</f>
        <v>NF3 (kg CO2e)</v>
      </c>
      <c r="S110" s="108" t="s">
        <v>848</v>
      </c>
    </row>
    <row r="111" spans="2:24" x14ac:dyDescent="0.35">
      <c r="B111" s="109">
        <f>'Emissões Fugitivas'!B82</f>
        <v>0</v>
      </c>
      <c r="C111" s="109">
        <f>'Emissões Fugitivas'!C82</f>
        <v>0</v>
      </c>
      <c r="D111" s="109">
        <f>'Emissões Fugitivas'!D82</f>
        <v>0</v>
      </c>
      <c r="E111" s="109">
        <f>'Emissões Fugitivas'!E82</f>
        <v>0</v>
      </c>
      <c r="F111" s="109" t="str">
        <f>'Emissões Fugitivas'!F82</f>
        <v/>
      </c>
      <c r="G111" s="109">
        <f>'Emissões Fugitivas'!G82</f>
        <v>0</v>
      </c>
      <c r="H111" s="109">
        <f>'Emissões Fugitivas'!H82</f>
        <v>0</v>
      </c>
      <c r="I111" s="109" t="str">
        <f>'Emissões Fugitivas'!I82</f>
        <v/>
      </c>
      <c r="J111" s="22" t="e">
        <f>IF(VLOOKUP(B111,'Dados gerais'!$D$33:$F$35,3,FALSE)="",2,VLOOKUP(B111,'Dados gerais'!$D$33:$F$35,3,FALSE))</f>
        <v>#N/A</v>
      </c>
      <c r="K111" s="22" t="str">
        <f>IF(C111=$B$66,$E$81,IF(C111=$B$67,$E$85,""))</f>
        <v/>
      </c>
      <c r="L111" s="22" t="str">
        <f>IF(C111=$B$66,$E$82,IF(C111=$B$67,$E$86,""))</f>
        <v/>
      </c>
      <c r="M111" s="22" t="str">
        <f>IF(C111=$B$66,$E$83,IF(C111=$B$67,$E$87,""))</f>
        <v/>
      </c>
      <c r="N111" s="114" t="str">
        <f>IFERROR((L111*H111+(K111*H111*J111))/J111,"")</f>
        <v/>
      </c>
      <c r="O111" s="114" t="str">
        <f>IF(C111=$B$68,$E$90*H111*'Fatores de Emissão'!$E$250,"")</f>
        <v/>
      </c>
      <c r="P111" s="114" t="str">
        <f>IF(C111=$B$68,$E$89*H111*'Fatores de Emissão'!$E$251,"")</f>
        <v/>
      </c>
      <c r="Q111" s="114" t="str">
        <f>IF(C111=$B$69,$E$92*H111*'Fatores de Emissão'!$E$250/1000,"")</f>
        <v/>
      </c>
      <c r="R111" s="114" t="str">
        <f>IF(C111=$B$69,$E$91*H111*'Fatores de Emissão'!$E$251/1000,"")</f>
        <v/>
      </c>
      <c r="S111" s="115" t="str">
        <f t="shared" ref="S111:S142" si="9">IF($C111=S$109,$E$96*$H111,"")</f>
        <v/>
      </c>
      <c r="T111" s="115" t="str">
        <f t="shared" ref="T111:T142" si="10">IF($C111=T$109,$E$104*$H111,"")</f>
        <v/>
      </c>
      <c r="U111" s="115" t="str">
        <f t="shared" ref="U111:U142" si="11">IF($C111=U$109,$E$100*$H111,"")</f>
        <v/>
      </c>
      <c r="V111" s="22" t="str" cm="1">
        <f t="array" ref="V111">_xlfn.IFS(G111&gt;0,G111,N111&gt;0,N111)</f>
        <v/>
      </c>
      <c r="W111" s="22" t="e">
        <f>IF(VLOOKUP(C111,$B$59:$D$74,3,FALSE)="",E111,VLOOKUP(C111,$B$59:$D$74,3,FALSE))</f>
        <v>#N/A</v>
      </c>
      <c r="X111" s="22">
        <f>IF(V111="",SUM(N111:U111),V111*W111)</f>
        <v>0</v>
      </c>
    </row>
    <row r="112" spans="2:24" x14ac:dyDescent="0.35">
      <c r="B112" s="109">
        <f>'Emissões Fugitivas'!B83</f>
        <v>0</v>
      </c>
      <c r="C112" s="109">
        <f>'Emissões Fugitivas'!C83</f>
        <v>0</v>
      </c>
      <c r="D112" s="109">
        <f>'Emissões Fugitivas'!D83</f>
        <v>0</v>
      </c>
      <c r="E112" s="109">
        <f>'Emissões Fugitivas'!E83</f>
        <v>0</v>
      </c>
      <c r="F112" s="109" t="str">
        <f>'Emissões Fugitivas'!F83</f>
        <v/>
      </c>
      <c r="G112" s="109">
        <f>'Emissões Fugitivas'!G83</f>
        <v>0</v>
      </c>
      <c r="H112" s="109">
        <f>'Emissões Fugitivas'!H83</f>
        <v>0</v>
      </c>
      <c r="I112" s="109" t="str">
        <f>'Emissões Fugitivas'!I83</f>
        <v/>
      </c>
      <c r="J112" s="22" t="e">
        <f>IF(VLOOKUP(B112,'Dados gerais'!$D$33:$F$35,3,FALSE)="",2,VLOOKUP(B112,'Dados gerais'!$D$33:$F$35,3,FALSE))</f>
        <v>#N/A</v>
      </c>
      <c r="K112" s="22" t="str">
        <f>IF(C112=$B$66,$E$81,IF(C112=$B$67,$E$85,""))</f>
        <v/>
      </c>
      <c r="L112" s="22" t="str">
        <f t="shared" ref="L112:L121" si="12">IF(C112=$B$66,$E$82,IF(C112=$B$67,$E$86,""))</f>
        <v/>
      </c>
      <c r="M112" s="22" t="str">
        <f t="shared" ref="M112:M121" si="13">IF(C112=$B$66,$E$83,IF(C112=$B$67,$E$87,""))</f>
        <v/>
      </c>
      <c r="N112" s="114" t="str">
        <f t="shared" ref="N112:N175" si="14">IFERROR((L112*H112+(K112*H112*J112))/J112,"")</f>
        <v/>
      </c>
      <c r="O112" s="114" t="str">
        <f>IF(C112=$B$68,$E$90*H112*'Fatores de Emissão'!$E$250,"")</f>
        <v/>
      </c>
      <c r="P112" s="114" t="str">
        <f>IF(C112=$B$68,$E$89*H112*'Fatores de Emissão'!$E$251,"")</f>
        <v/>
      </c>
      <c r="Q112" s="114" t="str">
        <f>IF(C112=$B$69,$E$92*H112*'Fatores de Emissão'!$E$250/1000,"")</f>
        <v/>
      </c>
      <c r="R112" s="114" t="str">
        <f>IF(C112=$B$69,$E$91*H112*'Fatores de Emissão'!$E$251/1000,"")</f>
        <v/>
      </c>
      <c r="S112" s="115" t="str">
        <f t="shared" si="9"/>
        <v/>
      </c>
      <c r="T112" s="115" t="str">
        <f t="shared" si="10"/>
        <v/>
      </c>
      <c r="U112" s="115" t="str">
        <f t="shared" si="11"/>
        <v/>
      </c>
      <c r="V112" s="22" t="str" cm="1">
        <f t="array" ref="V112">_xlfn.IFS(G112&gt;0,G112,N112&gt;0,N112)</f>
        <v/>
      </c>
      <c r="W112" s="22" t="e">
        <f t="shared" ref="W112:W121" si="15">IF(VLOOKUP(C112,$B$59:$D$74,3,FALSE)="",E112,VLOOKUP(C112,$B$59:$D$74,3,FALSE))</f>
        <v>#N/A</v>
      </c>
      <c r="X112" s="22">
        <f t="shared" ref="X112:X121" si="16">IF(V112="",SUM(N112:U112),V112*W112)</f>
        <v>0</v>
      </c>
    </row>
    <row r="113" spans="2:24" x14ac:dyDescent="0.35">
      <c r="B113" s="109">
        <f>'Emissões Fugitivas'!B84</f>
        <v>0</v>
      </c>
      <c r="C113" s="109">
        <f>'Emissões Fugitivas'!C84</f>
        <v>0</v>
      </c>
      <c r="D113" s="109">
        <f>'Emissões Fugitivas'!D84</f>
        <v>0</v>
      </c>
      <c r="E113" s="109">
        <f>'Emissões Fugitivas'!E84</f>
        <v>0</v>
      </c>
      <c r="F113" s="109" t="str">
        <f>'Emissões Fugitivas'!F84</f>
        <v/>
      </c>
      <c r="G113" s="109">
        <f>'Emissões Fugitivas'!G84</f>
        <v>0</v>
      </c>
      <c r="H113" s="109">
        <f>'Emissões Fugitivas'!H84</f>
        <v>0</v>
      </c>
      <c r="I113" s="109" t="str">
        <f>'Emissões Fugitivas'!I84</f>
        <v/>
      </c>
      <c r="J113" s="22" t="e">
        <f>IF(VLOOKUP(B113,'Dados gerais'!$D$33:$F$35,3,FALSE)="",2,VLOOKUP(B113,'Dados gerais'!$D$33:$F$35,3,FALSE))</f>
        <v>#N/A</v>
      </c>
      <c r="K113" s="22" t="str">
        <f t="shared" ref="K113:K121" si="17">IF(C113=$B$66,$E$81,IF(C113=$B$67,$E$85,""))</f>
        <v/>
      </c>
      <c r="L113" s="22" t="str">
        <f t="shared" si="12"/>
        <v/>
      </c>
      <c r="M113" s="22" t="str">
        <f t="shared" si="13"/>
        <v/>
      </c>
      <c r="N113" s="114" t="str">
        <f t="shared" si="14"/>
        <v/>
      </c>
      <c r="O113" s="114" t="str">
        <f>IF(C113=$B$68,$E$90*H113*'Fatores de Emissão'!$E$250,"")</f>
        <v/>
      </c>
      <c r="P113" s="114" t="str">
        <f>IF(C113=$B$68,$E$89*H113*'Fatores de Emissão'!$E$251,"")</f>
        <v/>
      </c>
      <c r="Q113" s="114" t="str">
        <f>IF(C113=$B$69,$E$92*H113*'Fatores de Emissão'!$E$250/1000,"")</f>
        <v/>
      </c>
      <c r="R113" s="114" t="str">
        <f>IF(C113=$B$69,$E$91*H113*'Fatores de Emissão'!$E$251/1000,"")</f>
        <v/>
      </c>
      <c r="S113" s="115" t="str">
        <f t="shared" si="9"/>
        <v/>
      </c>
      <c r="T113" s="115" t="str">
        <f t="shared" si="10"/>
        <v/>
      </c>
      <c r="U113" s="115" t="str">
        <f t="shared" si="11"/>
        <v/>
      </c>
      <c r="V113" s="22" t="str" cm="1">
        <f t="array" ref="V113">_xlfn.IFS(G113&gt;0,G113,N113&gt;0,N113)</f>
        <v/>
      </c>
      <c r="W113" s="22" t="e">
        <f t="shared" si="15"/>
        <v>#N/A</v>
      </c>
      <c r="X113" s="22">
        <f t="shared" si="16"/>
        <v>0</v>
      </c>
    </row>
    <row r="114" spans="2:24" x14ac:dyDescent="0.35">
      <c r="B114" s="109">
        <f>'Emissões Fugitivas'!B85</f>
        <v>0</v>
      </c>
      <c r="C114" s="109">
        <f>'Emissões Fugitivas'!C85</f>
        <v>0</v>
      </c>
      <c r="D114" s="109">
        <f>'Emissões Fugitivas'!D85</f>
        <v>0</v>
      </c>
      <c r="E114" s="109">
        <f>'Emissões Fugitivas'!E85</f>
        <v>0</v>
      </c>
      <c r="F114" s="109" t="str">
        <f>'Emissões Fugitivas'!F85</f>
        <v/>
      </c>
      <c r="G114" s="109">
        <f>'Emissões Fugitivas'!G85</f>
        <v>0</v>
      </c>
      <c r="H114" s="109">
        <f>'Emissões Fugitivas'!H85</f>
        <v>0</v>
      </c>
      <c r="I114" s="109" t="str">
        <f>'Emissões Fugitivas'!I85</f>
        <v/>
      </c>
      <c r="J114" s="22" t="e">
        <f>IF(VLOOKUP(B114,'Dados gerais'!$D$33:$F$35,3,FALSE)="",2,VLOOKUP(B114,'Dados gerais'!$D$33:$F$35,3,FALSE))</f>
        <v>#N/A</v>
      </c>
      <c r="K114" s="22" t="str">
        <f t="shared" si="17"/>
        <v/>
      </c>
      <c r="L114" s="22" t="str">
        <f t="shared" si="12"/>
        <v/>
      </c>
      <c r="M114" s="22" t="str">
        <f t="shared" si="13"/>
        <v/>
      </c>
      <c r="N114" s="114" t="str">
        <f t="shared" si="14"/>
        <v/>
      </c>
      <c r="O114" s="114" t="str">
        <f>IF(C114=$B$68,$E$90*H114*'Fatores de Emissão'!$E$250,"")</f>
        <v/>
      </c>
      <c r="P114" s="114" t="str">
        <f>IF(C114=$B$68,$E$89*H114*'Fatores de Emissão'!$E$251,"")</f>
        <v/>
      </c>
      <c r="Q114" s="114" t="str">
        <f>IF(C114=$B$69,$E$92*H114*'Fatores de Emissão'!$E$250/1000,"")</f>
        <v/>
      </c>
      <c r="R114" s="114" t="str">
        <f>IF(C114=$B$69,$E$91*H114*'Fatores de Emissão'!$E$251/1000,"")</f>
        <v/>
      </c>
      <c r="S114" s="115" t="str">
        <f t="shared" si="9"/>
        <v/>
      </c>
      <c r="T114" s="115" t="str">
        <f t="shared" si="10"/>
        <v/>
      </c>
      <c r="U114" s="115" t="str">
        <f t="shared" si="11"/>
        <v/>
      </c>
      <c r="V114" s="22" t="str" cm="1">
        <f t="array" ref="V114">_xlfn.IFS(G114&gt;0,G114,N114&gt;0,N114)</f>
        <v/>
      </c>
      <c r="W114" s="22" t="e">
        <f t="shared" si="15"/>
        <v>#N/A</v>
      </c>
      <c r="X114" s="22">
        <f t="shared" si="16"/>
        <v>0</v>
      </c>
    </row>
    <row r="115" spans="2:24" x14ac:dyDescent="0.35">
      <c r="B115" s="109">
        <f>'Emissões Fugitivas'!B86</f>
        <v>0</v>
      </c>
      <c r="C115" s="109">
        <f>'Emissões Fugitivas'!C86</f>
        <v>0</v>
      </c>
      <c r="D115" s="109">
        <f>'Emissões Fugitivas'!D86</f>
        <v>0</v>
      </c>
      <c r="E115" s="109">
        <f>'Emissões Fugitivas'!E86</f>
        <v>0</v>
      </c>
      <c r="F115" s="109" t="str">
        <f>'Emissões Fugitivas'!F86</f>
        <v/>
      </c>
      <c r="G115" s="109">
        <f>'Emissões Fugitivas'!G86</f>
        <v>0</v>
      </c>
      <c r="H115" s="109">
        <f>'Emissões Fugitivas'!H86</f>
        <v>0</v>
      </c>
      <c r="I115" s="109" t="str">
        <f>'Emissões Fugitivas'!I86</f>
        <v/>
      </c>
      <c r="J115" s="22" t="e">
        <f>IF(VLOOKUP(B115,'Dados gerais'!$D$33:$F$35,3,FALSE)="",2,VLOOKUP(B115,'Dados gerais'!$D$33:$F$35,3,FALSE))</f>
        <v>#N/A</v>
      </c>
      <c r="K115" s="22" t="str">
        <f t="shared" si="17"/>
        <v/>
      </c>
      <c r="L115" s="22" t="str">
        <f t="shared" si="12"/>
        <v/>
      </c>
      <c r="M115" s="22" t="str">
        <f t="shared" si="13"/>
        <v/>
      </c>
      <c r="N115" s="114" t="str">
        <f t="shared" si="14"/>
        <v/>
      </c>
      <c r="O115" s="114" t="str">
        <f>IF(C115=$B$68,$E$90*H115*'Fatores de Emissão'!$E$250,"")</f>
        <v/>
      </c>
      <c r="P115" s="114" t="str">
        <f>IF(C115=$B$68,$E$89*H115*'Fatores de Emissão'!$E$251,"")</f>
        <v/>
      </c>
      <c r="Q115" s="114" t="str">
        <f>IF(C115=$B$69,$E$92*H115*'Fatores de Emissão'!$E$250/1000,"")</f>
        <v/>
      </c>
      <c r="R115" s="114" t="str">
        <f>IF(C115=$B$69,$E$91*H115*'Fatores de Emissão'!$E$251/1000,"")</f>
        <v/>
      </c>
      <c r="S115" s="115" t="str">
        <f t="shared" si="9"/>
        <v/>
      </c>
      <c r="T115" s="115" t="str">
        <f t="shared" si="10"/>
        <v/>
      </c>
      <c r="U115" s="115" t="str">
        <f t="shared" si="11"/>
        <v/>
      </c>
      <c r="V115" s="22" t="str" cm="1">
        <f t="array" ref="V115">_xlfn.IFS(G115&gt;0,G115,N115&gt;0,N115)</f>
        <v/>
      </c>
      <c r="W115" s="22" t="e">
        <f t="shared" si="15"/>
        <v>#N/A</v>
      </c>
      <c r="X115" s="22">
        <f t="shared" si="16"/>
        <v>0</v>
      </c>
    </row>
    <row r="116" spans="2:24" x14ac:dyDescent="0.35">
      <c r="B116" s="109">
        <f>'Emissões Fugitivas'!B87</f>
        <v>0</v>
      </c>
      <c r="C116" s="109">
        <f>'Emissões Fugitivas'!C87</f>
        <v>0</v>
      </c>
      <c r="D116" s="109">
        <f>'Emissões Fugitivas'!D87</f>
        <v>0</v>
      </c>
      <c r="E116" s="109">
        <f>'Emissões Fugitivas'!E87</f>
        <v>0</v>
      </c>
      <c r="F116" s="109" t="str">
        <f>'Emissões Fugitivas'!F87</f>
        <v/>
      </c>
      <c r="G116" s="109">
        <f>'Emissões Fugitivas'!G87</f>
        <v>0</v>
      </c>
      <c r="H116" s="109">
        <f>'Emissões Fugitivas'!H87</f>
        <v>0</v>
      </c>
      <c r="I116" s="109" t="str">
        <f>'Emissões Fugitivas'!I87</f>
        <v/>
      </c>
      <c r="J116" s="22" t="e">
        <f>IF(VLOOKUP(B116,'Dados gerais'!$D$33:$F$35,3,FALSE)="",2,VLOOKUP(B116,'Dados gerais'!$D$33:$F$35,3,FALSE))</f>
        <v>#N/A</v>
      </c>
      <c r="K116" s="22" t="str">
        <f t="shared" si="17"/>
        <v/>
      </c>
      <c r="L116" s="22" t="str">
        <f t="shared" si="12"/>
        <v/>
      </c>
      <c r="M116" s="22" t="str">
        <f t="shared" si="13"/>
        <v/>
      </c>
      <c r="N116" s="114" t="str">
        <f t="shared" si="14"/>
        <v/>
      </c>
      <c r="O116" s="114" t="str">
        <f>IF(C116=$B$68,$E$90*H116*'Fatores de Emissão'!$E$250,"")</f>
        <v/>
      </c>
      <c r="P116" s="114" t="str">
        <f>IF(C116=$B$68,$E$89*H116*'Fatores de Emissão'!$E$251,"")</f>
        <v/>
      </c>
      <c r="Q116" s="114" t="str">
        <f>IF(C116=$B$69,$E$92*H116*'Fatores de Emissão'!$E$250/1000,"")</f>
        <v/>
      </c>
      <c r="R116" s="114" t="str">
        <f>IF(C116=$B$69,$E$91*H116*'Fatores de Emissão'!$E$251/1000,"")</f>
        <v/>
      </c>
      <c r="S116" s="115" t="str">
        <f t="shared" si="9"/>
        <v/>
      </c>
      <c r="T116" s="115" t="str">
        <f t="shared" si="10"/>
        <v/>
      </c>
      <c r="U116" s="115" t="str">
        <f t="shared" si="11"/>
        <v/>
      </c>
      <c r="V116" s="22" t="str" cm="1">
        <f t="array" ref="V116">_xlfn.IFS(G116&gt;0,G116,N116&gt;0,N116)</f>
        <v/>
      </c>
      <c r="W116" s="22" t="e">
        <f t="shared" si="15"/>
        <v>#N/A</v>
      </c>
      <c r="X116" s="22">
        <f t="shared" si="16"/>
        <v>0</v>
      </c>
    </row>
    <row r="117" spans="2:24" x14ac:dyDescent="0.35">
      <c r="B117" s="109">
        <f>'Emissões Fugitivas'!B88</f>
        <v>0</v>
      </c>
      <c r="C117" s="109">
        <f>'Emissões Fugitivas'!C88</f>
        <v>0</v>
      </c>
      <c r="D117" s="109">
        <f>'Emissões Fugitivas'!D88</f>
        <v>0</v>
      </c>
      <c r="E117" s="109">
        <f>'Emissões Fugitivas'!E88</f>
        <v>0</v>
      </c>
      <c r="F117" s="109" t="str">
        <f>'Emissões Fugitivas'!F88</f>
        <v/>
      </c>
      <c r="G117" s="109">
        <f>'Emissões Fugitivas'!G88</f>
        <v>0</v>
      </c>
      <c r="H117" s="109">
        <f>'Emissões Fugitivas'!H88</f>
        <v>0</v>
      </c>
      <c r="I117" s="109" t="str">
        <f>'Emissões Fugitivas'!I88</f>
        <v/>
      </c>
      <c r="J117" s="22" t="e">
        <f>IF(VLOOKUP(B117,'Dados gerais'!$D$33:$F$35,3,FALSE)="",2,VLOOKUP(B117,'Dados gerais'!$D$33:$F$35,3,FALSE))</f>
        <v>#N/A</v>
      </c>
      <c r="K117" s="22" t="str">
        <f t="shared" si="17"/>
        <v/>
      </c>
      <c r="L117" s="22" t="str">
        <f t="shared" si="12"/>
        <v/>
      </c>
      <c r="M117" s="22" t="str">
        <f t="shared" si="13"/>
        <v/>
      </c>
      <c r="N117" s="114" t="str">
        <f t="shared" si="14"/>
        <v/>
      </c>
      <c r="O117" s="114" t="str">
        <f>IF(C117=$B$68,$E$90*H117*'Fatores de Emissão'!$E$250,"")</f>
        <v/>
      </c>
      <c r="P117" s="114" t="str">
        <f>IF(C117=$B$68,$E$89*H117*'Fatores de Emissão'!$E$251,"")</f>
        <v/>
      </c>
      <c r="Q117" s="114" t="str">
        <f>IF(C117=$B$69,$E$92*H117*'Fatores de Emissão'!$E$250/1000,"")</f>
        <v/>
      </c>
      <c r="R117" s="114" t="str">
        <f>IF(C117=$B$69,$E$91*H117*'Fatores de Emissão'!$E$251/1000,"")</f>
        <v/>
      </c>
      <c r="S117" s="115" t="str">
        <f t="shared" si="9"/>
        <v/>
      </c>
      <c r="T117" s="115" t="str">
        <f t="shared" si="10"/>
        <v/>
      </c>
      <c r="U117" s="115" t="str">
        <f t="shared" si="11"/>
        <v/>
      </c>
      <c r="V117" s="22" t="str" cm="1">
        <f t="array" ref="V117">_xlfn.IFS(G117&gt;0,G117,N117&gt;0,N117)</f>
        <v/>
      </c>
      <c r="W117" s="22" t="e">
        <f t="shared" si="15"/>
        <v>#N/A</v>
      </c>
      <c r="X117" s="22">
        <f t="shared" si="16"/>
        <v>0</v>
      </c>
    </row>
    <row r="118" spans="2:24" x14ac:dyDescent="0.35">
      <c r="B118" s="109">
        <f>'Emissões Fugitivas'!B89</f>
        <v>0</v>
      </c>
      <c r="C118" s="109">
        <f>'Emissões Fugitivas'!C89</f>
        <v>0</v>
      </c>
      <c r="D118" s="109">
        <f>'Emissões Fugitivas'!D89</f>
        <v>0</v>
      </c>
      <c r="E118" s="109">
        <f>'Emissões Fugitivas'!E89</f>
        <v>0</v>
      </c>
      <c r="F118" s="109" t="str">
        <f>'Emissões Fugitivas'!F89</f>
        <v/>
      </c>
      <c r="G118" s="109">
        <f>'Emissões Fugitivas'!G89</f>
        <v>0</v>
      </c>
      <c r="H118" s="109">
        <f>'Emissões Fugitivas'!H89</f>
        <v>0</v>
      </c>
      <c r="I118" s="109" t="str">
        <f>'Emissões Fugitivas'!I89</f>
        <v/>
      </c>
      <c r="J118" s="22" t="e">
        <f>IF(VLOOKUP(B118,'Dados gerais'!$D$33:$F$35,3,FALSE)="",2,VLOOKUP(B118,'Dados gerais'!$D$33:$F$35,3,FALSE))</f>
        <v>#N/A</v>
      </c>
      <c r="K118" s="22" t="str">
        <f t="shared" si="17"/>
        <v/>
      </c>
      <c r="L118" s="22" t="str">
        <f t="shared" si="12"/>
        <v/>
      </c>
      <c r="M118" s="22" t="str">
        <f t="shared" si="13"/>
        <v/>
      </c>
      <c r="N118" s="114" t="str">
        <f t="shared" si="14"/>
        <v/>
      </c>
      <c r="O118" s="114" t="str">
        <f>IF(C118=$B$68,$E$90*H118*'Fatores de Emissão'!$E$250,"")</f>
        <v/>
      </c>
      <c r="P118" s="114" t="str">
        <f>IF(C118=$B$68,$E$89*H118*'Fatores de Emissão'!$E$251,"")</f>
        <v/>
      </c>
      <c r="Q118" s="114" t="str">
        <f>IF(C118=$B$69,$E$92*H118*'Fatores de Emissão'!$E$250/1000,"")</f>
        <v/>
      </c>
      <c r="R118" s="114" t="str">
        <f>IF(C118=$B$69,$E$91*H118*'Fatores de Emissão'!$E$251/1000,"")</f>
        <v/>
      </c>
      <c r="S118" s="115" t="str">
        <f t="shared" si="9"/>
        <v/>
      </c>
      <c r="T118" s="115" t="str">
        <f t="shared" si="10"/>
        <v/>
      </c>
      <c r="U118" s="115" t="str">
        <f t="shared" si="11"/>
        <v/>
      </c>
      <c r="V118" s="22" t="str" cm="1">
        <f t="array" ref="V118">_xlfn.IFS(G118&gt;0,G118,N118&gt;0,N118)</f>
        <v/>
      </c>
      <c r="W118" s="22" t="e">
        <f t="shared" si="15"/>
        <v>#N/A</v>
      </c>
      <c r="X118" s="22">
        <f>IF(V118="",SUM(N118:U118),V118*W118)</f>
        <v>0</v>
      </c>
    </row>
    <row r="119" spans="2:24" x14ac:dyDescent="0.35">
      <c r="B119" s="109">
        <f>'Emissões Fugitivas'!B90</f>
        <v>0</v>
      </c>
      <c r="C119" s="109">
        <f>'Emissões Fugitivas'!C90</f>
        <v>0</v>
      </c>
      <c r="D119" s="109">
        <f>'Emissões Fugitivas'!D90</f>
        <v>0</v>
      </c>
      <c r="E119" s="109">
        <f>'Emissões Fugitivas'!E90</f>
        <v>0</v>
      </c>
      <c r="F119" s="109" t="str">
        <f>'Emissões Fugitivas'!F90</f>
        <v/>
      </c>
      <c r="G119" s="109">
        <f>'Emissões Fugitivas'!G90</f>
        <v>0</v>
      </c>
      <c r="H119" s="109">
        <f>'Emissões Fugitivas'!H90</f>
        <v>0</v>
      </c>
      <c r="I119" s="109" t="str">
        <f>'Emissões Fugitivas'!I90</f>
        <v/>
      </c>
      <c r="J119" s="22" t="e">
        <f>IF(VLOOKUP(B119,'Dados gerais'!$D$33:$F$35,3,FALSE)="",2,VLOOKUP(B119,'Dados gerais'!$D$33:$F$35,3,FALSE))</f>
        <v>#N/A</v>
      </c>
      <c r="K119" s="22" t="str">
        <f t="shared" si="17"/>
        <v/>
      </c>
      <c r="L119" s="22" t="str">
        <f t="shared" si="12"/>
        <v/>
      </c>
      <c r="M119" s="22" t="str">
        <f t="shared" si="13"/>
        <v/>
      </c>
      <c r="N119" s="114" t="str">
        <f t="shared" si="14"/>
        <v/>
      </c>
      <c r="O119" s="114" t="str">
        <f>IF(C119=$B$68,$E$90*H119*'Fatores de Emissão'!$E$250,"")</f>
        <v/>
      </c>
      <c r="P119" s="114" t="str">
        <f>IF(C119=$B$68,$E$89*H119*'Fatores de Emissão'!$E$251,"")</f>
        <v/>
      </c>
      <c r="Q119" s="114" t="str">
        <f>IF(C119=$B$69,$E$92*H119*'Fatores de Emissão'!$E$250/1000,"")</f>
        <v/>
      </c>
      <c r="R119" s="114" t="str">
        <f>IF(C119=$B$69,$E$91*H119*'Fatores de Emissão'!$E$251/1000,"")</f>
        <v/>
      </c>
      <c r="S119" s="115" t="str">
        <f t="shared" si="9"/>
        <v/>
      </c>
      <c r="T119" s="115" t="str">
        <f t="shared" si="10"/>
        <v/>
      </c>
      <c r="U119" s="115" t="str">
        <f t="shared" si="11"/>
        <v/>
      </c>
      <c r="V119" s="22" t="str" cm="1">
        <f t="array" ref="V119">_xlfn.IFS(G119&gt;0,G119,N119&gt;0,N119)</f>
        <v/>
      </c>
      <c r="W119" s="22" t="e">
        <f t="shared" si="15"/>
        <v>#N/A</v>
      </c>
      <c r="X119" s="22">
        <f t="shared" si="16"/>
        <v>0</v>
      </c>
    </row>
    <row r="120" spans="2:24" x14ac:dyDescent="0.35">
      <c r="B120" s="109">
        <f>'Emissões Fugitivas'!B91</f>
        <v>0</v>
      </c>
      <c r="C120" s="109">
        <f>'Emissões Fugitivas'!C91</f>
        <v>0</v>
      </c>
      <c r="D120" s="109">
        <f>'Emissões Fugitivas'!D91</f>
        <v>0</v>
      </c>
      <c r="E120" s="109">
        <f>'Emissões Fugitivas'!E91</f>
        <v>0</v>
      </c>
      <c r="F120" s="109" t="str">
        <f>'Emissões Fugitivas'!F91</f>
        <v/>
      </c>
      <c r="G120" s="109">
        <f>'Emissões Fugitivas'!G91</f>
        <v>0</v>
      </c>
      <c r="H120" s="109">
        <f>'Emissões Fugitivas'!H91</f>
        <v>0</v>
      </c>
      <c r="I120" s="109" t="str">
        <f>'Emissões Fugitivas'!I91</f>
        <v/>
      </c>
      <c r="J120" s="22" t="e">
        <f>IF(VLOOKUP(B120,'Dados gerais'!$D$33:$F$35,3,FALSE)="",2,VLOOKUP(B120,'Dados gerais'!$D$33:$F$35,3,FALSE))</f>
        <v>#N/A</v>
      </c>
      <c r="K120" s="22" t="str">
        <f t="shared" si="17"/>
        <v/>
      </c>
      <c r="L120" s="22" t="str">
        <f t="shared" si="12"/>
        <v/>
      </c>
      <c r="M120" s="22" t="str">
        <f t="shared" si="13"/>
        <v/>
      </c>
      <c r="N120" s="114" t="str">
        <f t="shared" si="14"/>
        <v/>
      </c>
      <c r="O120" s="114" t="str">
        <f>IF(C120=$B$68,$E$90*H120*'Fatores de Emissão'!$E$250,"")</f>
        <v/>
      </c>
      <c r="P120" s="114" t="str">
        <f>IF(C120=$B$68,$E$89*H120*'Fatores de Emissão'!$E$251,"")</f>
        <v/>
      </c>
      <c r="Q120" s="114" t="str">
        <f>IF(C120=$B$69,$E$92*H120*'Fatores de Emissão'!$E$250/1000,"")</f>
        <v/>
      </c>
      <c r="R120" s="114" t="str">
        <f>IF(C120=$B$69,$E$91*H120*'Fatores de Emissão'!$E$251/1000,"")</f>
        <v/>
      </c>
      <c r="S120" s="115" t="str">
        <f t="shared" si="9"/>
        <v/>
      </c>
      <c r="T120" s="115" t="str">
        <f t="shared" si="10"/>
        <v/>
      </c>
      <c r="U120" s="115" t="str">
        <f t="shared" si="11"/>
        <v/>
      </c>
      <c r="V120" s="22" t="str" cm="1">
        <f t="array" ref="V120">_xlfn.IFS(G120&gt;0,G120,N120&gt;0,N120)</f>
        <v/>
      </c>
      <c r="W120" s="22" t="e">
        <f t="shared" si="15"/>
        <v>#N/A</v>
      </c>
      <c r="X120" s="22">
        <f t="shared" si="16"/>
        <v>0</v>
      </c>
    </row>
    <row r="121" spans="2:24" x14ac:dyDescent="0.35">
      <c r="B121" s="109">
        <f>'Emissões Fugitivas'!B92</f>
        <v>0</v>
      </c>
      <c r="C121" s="109">
        <f>'Emissões Fugitivas'!C92</f>
        <v>0</v>
      </c>
      <c r="D121" s="109">
        <f>'Emissões Fugitivas'!D92</f>
        <v>0</v>
      </c>
      <c r="E121" s="109">
        <f>'Emissões Fugitivas'!E92</f>
        <v>0</v>
      </c>
      <c r="F121" s="109" t="str">
        <f>'Emissões Fugitivas'!F92</f>
        <v/>
      </c>
      <c r="G121" s="109">
        <f>'Emissões Fugitivas'!G92</f>
        <v>0</v>
      </c>
      <c r="H121" s="109">
        <f>'Emissões Fugitivas'!H92</f>
        <v>0</v>
      </c>
      <c r="I121" s="109" t="str">
        <f>'Emissões Fugitivas'!I92</f>
        <v/>
      </c>
      <c r="J121" s="22" t="e">
        <f>IF(VLOOKUP(B121,'Dados gerais'!$D$33:$F$35,3,FALSE)="",2,VLOOKUP(B121,'Dados gerais'!$D$33:$F$35,3,FALSE))</f>
        <v>#N/A</v>
      </c>
      <c r="K121" s="22" t="str">
        <f t="shared" si="17"/>
        <v/>
      </c>
      <c r="L121" s="22" t="str">
        <f t="shared" si="12"/>
        <v/>
      </c>
      <c r="M121" s="22" t="str">
        <f t="shared" si="13"/>
        <v/>
      </c>
      <c r="N121" s="114" t="str">
        <f t="shared" si="14"/>
        <v/>
      </c>
      <c r="O121" s="114" t="str">
        <f>IF(C121=$B$68,$E$90*H121*'Fatores de Emissão'!$E$250,"")</f>
        <v/>
      </c>
      <c r="P121" s="114" t="str">
        <f>IF(C121=$B$68,$E$89*H121*'Fatores de Emissão'!$E$251,"")</f>
        <v/>
      </c>
      <c r="Q121" s="114" t="str">
        <f>IF(C121=$B$69,$E$92*H121*'Fatores de Emissão'!$E$250/1000,"")</f>
        <v/>
      </c>
      <c r="R121" s="114" t="str">
        <f>IF(C121=$B$69,$E$91*H121*'Fatores de Emissão'!$E$251/1000,"")</f>
        <v/>
      </c>
      <c r="S121" s="115" t="str">
        <f t="shared" si="9"/>
        <v/>
      </c>
      <c r="T121" s="115" t="str">
        <f t="shared" si="10"/>
        <v/>
      </c>
      <c r="U121" s="115" t="str">
        <f t="shared" si="11"/>
        <v/>
      </c>
      <c r="V121" s="22" t="str" cm="1">
        <f t="array" ref="V121">_xlfn.IFS(G121&gt;0,G121,N121&gt;0,N121)</f>
        <v/>
      </c>
      <c r="W121" s="22" t="e">
        <f t="shared" si="15"/>
        <v>#N/A</v>
      </c>
      <c r="X121" s="22">
        <f t="shared" si="16"/>
        <v>0</v>
      </c>
    </row>
    <row r="122" spans="2:24" x14ac:dyDescent="0.35">
      <c r="B122" s="109">
        <f>'Emissões Fugitivas'!B93</f>
        <v>0</v>
      </c>
      <c r="C122" s="109">
        <f>'Emissões Fugitivas'!C93</f>
        <v>0</v>
      </c>
      <c r="D122" s="109">
        <f>'Emissões Fugitivas'!D93</f>
        <v>0</v>
      </c>
      <c r="E122" s="109">
        <f>'Emissões Fugitivas'!E93</f>
        <v>0</v>
      </c>
      <c r="F122" s="109" t="str">
        <f>'Emissões Fugitivas'!F93</f>
        <v/>
      </c>
      <c r="G122" s="109">
        <f>'Emissões Fugitivas'!G93</f>
        <v>0</v>
      </c>
      <c r="H122" s="109">
        <f>'Emissões Fugitivas'!H93</f>
        <v>0</v>
      </c>
      <c r="I122" s="109" t="str">
        <f>'Emissões Fugitivas'!I93</f>
        <v/>
      </c>
      <c r="J122" s="22" t="e">
        <f>IF(VLOOKUP(B122,'Dados gerais'!$D$33:$F$35,3,FALSE)="",2,VLOOKUP(B122,'Dados gerais'!$D$33:$F$35,3,FALSE))</f>
        <v>#N/A</v>
      </c>
      <c r="K122" s="22" t="str">
        <f t="shared" ref="K122:K185" si="18">IF(C122=$B$66,$E$81,IF(C122=$B$67,$E$85,""))</f>
        <v/>
      </c>
      <c r="L122" s="22" t="str">
        <f t="shared" ref="L122:L185" si="19">IF(C122=$B$66,$E$82,IF(C122=$B$67,$E$86,""))</f>
        <v/>
      </c>
      <c r="M122" s="22" t="str">
        <f t="shared" ref="M122:M185" si="20">IF(C122=$B$66,$E$83,IF(C122=$B$67,$E$87,""))</f>
        <v/>
      </c>
      <c r="N122" s="114" t="str">
        <f t="shared" si="14"/>
        <v/>
      </c>
      <c r="O122" s="114" t="str">
        <f>IF(C122=$B$68,$E$90*H122*'Fatores de Emissão'!$E$250,"")</f>
        <v/>
      </c>
      <c r="P122" s="114" t="str">
        <f>IF(C122=$B$68,$E$89*H122*'Fatores de Emissão'!$E$251,"")</f>
        <v/>
      </c>
      <c r="Q122" s="114" t="str">
        <f>IF(C122=$B$69,$E$92*H122*'Fatores de Emissão'!$E$250/1000,"")</f>
        <v/>
      </c>
      <c r="R122" s="114" t="str">
        <f>IF(C122=$B$69,$E$91*H122*'Fatores de Emissão'!$E$251/1000,"")</f>
        <v/>
      </c>
      <c r="S122" s="115" t="str">
        <f t="shared" si="9"/>
        <v/>
      </c>
      <c r="T122" s="115" t="str">
        <f t="shared" si="10"/>
        <v/>
      </c>
      <c r="U122" s="115" t="str">
        <f t="shared" si="11"/>
        <v/>
      </c>
      <c r="V122" s="22" t="str" cm="1">
        <f t="array" ref="V122">_xlfn.IFS(G122&gt;0,G122,N122&gt;0,N122)</f>
        <v/>
      </c>
      <c r="W122" s="22" t="e">
        <f t="shared" ref="W122:W185" si="21">IF(VLOOKUP(C122,$B$59:$D$74,3,FALSE)="",E122,VLOOKUP(C122,$B$59:$D$74,3,FALSE))</f>
        <v>#N/A</v>
      </c>
      <c r="X122" s="22">
        <f t="shared" ref="X122:X185" si="22">IF(V122="",SUM(N122:U122),V122*W122)</f>
        <v>0</v>
      </c>
    </row>
    <row r="123" spans="2:24" x14ac:dyDescent="0.35">
      <c r="B123" s="109">
        <f>'Emissões Fugitivas'!B94</f>
        <v>0</v>
      </c>
      <c r="C123" s="109">
        <f>'Emissões Fugitivas'!C94</f>
        <v>0</v>
      </c>
      <c r="D123" s="109">
        <f>'Emissões Fugitivas'!D94</f>
        <v>0</v>
      </c>
      <c r="E123" s="109">
        <f>'Emissões Fugitivas'!E94</f>
        <v>0</v>
      </c>
      <c r="F123" s="109" t="str">
        <f>'Emissões Fugitivas'!F94</f>
        <v/>
      </c>
      <c r="G123" s="109">
        <f>'Emissões Fugitivas'!G94</f>
        <v>0</v>
      </c>
      <c r="H123" s="109">
        <f>'Emissões Fugitivas'!H94</f>
        <v>0</v>
      </c>
      <c r="I123" s="109" t="str">
        <f>'Emissões Fugitivas'!I94</f>
        <v/>
      </c>
      <c r="J123" s="22" t="e">
        <f>IF(VLOOKUP(B123,'Dados gerais'!$D$33:$F$35,3,FALSE)="",2,VLOOKUP(B123,'Dados gerais'!$D$33:$F$35,3,FALSE))</f>
        <v>#N/A</v>
      </c>
      <c r="K123" s="22" t="str">
        <f t="shared" si="18"/>
        <v/>
      </c>
      <c r="L123" s="22" t="str">
        <f t="shared" si="19"/>
        <v/>
      </c>
      <c r="M123" s="22" t="str">
        <f t="shared" si="20"/>
        <v/>
      </c>
      <c r="N123" s="114" t="str">
        <f t="shared" si="14"/>
        <v/>
      </c>
      <c r="O123" s="114" t="str">
        <f>IF(C123=$B$68,$E$90*H123*'Fatores de Emissão'!$E$250,"")</f>
        <v/>
      </c>
      <c r="P123" s="114" t="str">
        <f>IF(C123=$B$68,$E$89*H123*'Fatores de Emissão'!$E$251,"")</f>
        <v/>
      </c>
      <c r="Q123" s="114" t="str">
        <f>IF(C123=$B$69,$E$92*H123*'Fatores de Emissão'!$E$250/1000,"")</f>
        <v/>
      </c>
      <c r="R123" s="114" t="str">
        <f>IF(C123=$B$69,$E$91*H123*'Fatores de Emissão'!$E$251/1000,"")</f>
        <v/>
      </c>
      <c r="S123" s="115" t="str">
        <f t="shared" si="9"/>
        <v/>
      </c>
      <c r="T123" s="115" t="str">
        <f t="shared" si="10"/>
        <v/>
      </c>
      <c r="U123" s="115" t="str">
        <f t="shared" si="11"/>
        <v/>
      </c>
      <c r="V123" s="22" t="str" cm="1">
        <f t="array" ref="V123">_xlfn.IFS(G123&gt;0,G123,N123&gt;0,N123)</f>
        <v/>
      </c>
      <c r="W123" s="22" t="e">
        <f t="shared" si="21"/>
        <v>#N/A</v>
      </c>
      <c r="X123" s="22">
        <f t="shared" si="22"/>
        <v>0</v>
      </c>
    </row>
    <row r="124" spans="2:24" x14ac:dyDescent="0.35">
      <c r="B124" s="109">
        <f>'Emissões Fugitivas'!B95</f>
        <v>0</v>
      </c>
      <c r="C124" s="109">
        <f>'Emissões Fugitivas'!C95</f>
        <v>0</v>
      </c>
      <c r="D124" s="109">
        <f>'Emissões Fugitivas'!D95</f>
        <v>0</v>
      </c>
      <c r="E124" s="109">
        <f>'Emissões Fugitivas'!E95</f>
        <v>0</v>
      </c>
      <c r="F124" s="109" t="str">
        <f>'Emissões Fugitivas'!F95</f>
        <v/>
      </c>
      <c r="G124" s="109">
        <f>'Emissões Fugitivas'!G95</f>
        <v>0</v>
      </c>
      <c r="H124" s="109">
        <f>'Emissões Fugitivas'!H95</f>
        <v>0</v>
      </c>
      <c r="I124" s="109" t="str">
        <f>'Emissões Fugitivas'!I95</f>
        <v/>
      </c>
      <c r="J124" s="22" t="e">
        <f>IF(VLOOKUP(B124,'Dados gerais'!$D$33:$F$35,3,FALSE)="",2,VLOOKUP(B124,'Dados gerais'!$D$33:$F$35,3,FALSE))</f>
        <v>#N/A</v>
      </c>
      <c r="K124" s="22" t="str">
        <f t="shared" si="18"/>
        <v/>
      </c>
      <c r="L124" s="22" t="str">
        <f t="shared" si="19"/>
        <v/>
      </c>
      <c r="M124" s="22" t="str">
        <f t="shared" si="20"/>
        <v/>
      </c>
      <c r="N124" s="114" t="str">
        <f t="shared" si="14"/>
        <v/>
      </c>
      <c r="O124" s="114" t="str">
        <f>IF(C124=$B$68,$E$90*H124*'Fatores de Emissão'!$E$250,"")</f>
        <v/>
      </c>
      <c r="P124" s="114" t="str">
        <f>IF(C124=$B$68,$E$89*H124*'Fatores de Emissão'!$E$251,"")</f>
        <v/>
      </c>
      <c r="Q124" s="114" t="str">
        <f>IF(C124=$B$69,$E$92*H124*'Fatores de Emissão'!$E$250/1000,"")</f>
        <v/>
      </c>
      <c r="R124" s="114" t="str">
        <f>IF(C124=$B$69,$E$91*H124*'Fatores de Emissão'!$E$251/1000,"")</f>
        <v/>
      </c>
      <c r="S124" s="115" t="str">
        <f t="shared" si="9"/>
        <v/>
      </c>
      <c r="T124" s="115" t="str">
        <f t="shared" si="10"/>
        <v/>
      </c>
      <c r="U124" s="115" t="str">
        <f t="shared" si="11"/>
        <v/>
      </c>
      <c r="V124" s="22" t="str" cm="1">
        <f t="array" ref="V124">_xlfn.IFS(G124&gt;0,G124,N124&gt;0,N124)</f>
        <v/>
      </c>
      <c r="W124" s="22" t="e">
        <f t="shared" si="21"/>
        <v>#N/A</v>
      </c>
      <c r="X124" s="22">
        <f t="shared" si="22"/>
        <v>0</v>
      </c>
    </row>
    <row r="125" spans="2:24" x14ac:dyDescent="0.35">
      <c r="B125" s="109">
        <f>'Emissões Fugitivas'!B96</f>
        <v>0</v>
      </c>
      <c r="C125" s="109">
        <f>'Emissões Fugitivas'!C96</f>
        <v>0</v>
      </c>
      <c r="D125" s="109">
        <f>'Emissões Fugitivas'!D96</f>
        <v>0</v>
      </c>
      <c r="E125" s="109">
        <f>'Emissões Fugitivas'!E96</f>
        <v>0</v>
      </c>
      <c r="F125" s="109" t="str">
        <f>'Emissões Fugitivas'!F96</f>
        <v/>
      </c>
      <c r="G125" s="109">
        <f>'Emissões Fugitivas'!G96</f>
        <v>0</v>
      </c>
      <c r="H125" s="109">
        <f>'Emissões Fugitivas'!H96</f>
        <v>0</v>
      </c>
      <c r="I125" s="109" t="str">
        <f>'Emissões Fugitivas'!I96</f>
        <v/>
      </c>
      <c r="J125" s="22" t="e">
        <f>IF(VLOOKUP(B125,'Dados gerais'!$D$33:$F$35,3,FALSE)="",2,VLOOKUP(B125,'Dados gerais'!$D$33:$F$35,3,FALSE))</f>
        <v>#N/A</v>
      </c>
      <c r="K125" s="22" t="str">
        <f t="shared" si="18"/>
        <v/>
      </c>
      <c r="L125" s="22" t="str">
        <f t="shared" si="19"/>
        <v/>
      </c>
      <c r="M125" s="22" t="str">
        <f t="shared" si="20"/>
        <v/>
      </c>
      <c r="N125" s="114" t="str">
        <f t="shared" si="14"/>
        <v/>
      </c>
      <c r="O125" s="114" t="str">
        <f>IF(C125=$B$68,$E$90*H125*'Fatores de Emissão'!$E$250,"")</f>
        <v/>
      </c>
      <c r="P125" s="114" t="str">
        <f>IF(C125=$B$68,$E$89*H125*'Fatores de Emissão'!$E$251,"")</f>
        <v/>
      </c>
      <c r="Q125" s="114" t="str">
        <f>IF(C125=$B$69,$E$92*H125*'Fatores de Emissão'!$E$250/1000,"")</f>
        <v/>
      </c>
      <c r="R125" s="114" t="str">
        <f>IF(C125=$B$69,$E$91*H125*'Fatores de Emissão'!$E$251/1000,"")</f>
        <v/>
      </c>
      <c r="S125" s="115" t="str">
        <f t="shared" si="9"/>
        <v/>
      </c>
      <c r="T125" s="115" t="str">
        <f t="shared" si="10"/>
        <v/>
      </c>
      <c r="U125" s="115" t="str">
        <f t="shared" si="11"/>
        <v/>
      </c>
      <c r="V125" s="22" t="str" cm="1">
        <f t="array" ref="V125">_xlfn.IFS(G125&gt;0,G125,N125&gt;0,N125)</f>
        <v/>
      </c>
      <c r="W125" s="22" t="e">
        <f t="shared" si="21"/>
        <v>#N/A</v>
      </c>
      <c r="X125" s="22">
        <f t="shared" si="22"/>
        <v>0</v>
      </c>
    </row>
    <row r="126" spans="2:24" x14ac:dyDescent="0.35">
      <c r="B126" s="109">
        <f>'Emissões Fugitivas'!B97</f>
        <v>0</v>
      </c>
      <c r="C126" s="109">
        <f>'Emissões Fugitivas'!C97</f>
        <v>0</v>
      </c>
      <c r="D126" s="109">
        <f>'Emissões Fugitivas'!D97</f>
        <v>0</v>
      </c>
      <c r="E126" s="109">
        <f>'Emissões Fugitivas'!E97</f>
        <v>0</v>
      </c>
      <c r="F126" s="109" t="str">
        <f>'Emissões Fugitivas'!F97</f>
        <v/>
      </c>
      <c r="G126" s="109">
        <f>'Emissões Fugitivas'!G97</f>
        <v>0</v>
      </c>
      <c r="H126" s="109">
        <f>'Emissões Fugitivas'!H97</f>
        <v>0</v>
      </c>
      <c r="I126" s="109" t="str">
        <f>'Emissões Fugitivas'!I97</f>
        <v/>
      </c>
      <c r="J126" s="22" t="e">
        <f>IF(VLOOKUP(B126,'Dados gerais'!$D$33:$F$35,3,FALSE)="",2,VLOOKUP(B126,'Dados gerais'!$D$33:$F$35,3,FALSE))</f>
        <v>#N/A</v>
      </c>
      <c r="K126" s="22" t="str">
        <f t="shared" si="18"/>
        <v/>
      </c>
      <c r="L126" s="22" t="str">
        <f t="shared" si="19"/>
        <v/>
      </c>
      <c r="M126" s="22" t="str">
        <f t="shared" si="20"/>
        <v/>
      </c>
      <c r="N126" s="114" t="str">
        <f t="shared" si="14"/>
        <v/>
      </c>
      <c r="O126" s="114" t="str">
        <f>IF(C126=$B$68,$E$90*H126*'Fatores de Emissão'!$E$250,"")</f>
        <v/>
      </c>
      <c r="P126" s="114" t="str">
        <f>IF(C126=$B$68,$E$89*H126*'Fatores de Emissão'!$E$251,"")</f>
        <v/>
      </c>
      <c r="Q126" s="114" t="str">
        <f>IF(C126=$B$69,$E$92*H126*'Fatores de Emissão'!$E$250/1000,"")</f>
        <v/>
      </c>
      <c r="R126" s="114" t="str">
        <f>IF(C126=$B$69,$E$91*H126*'Fatores de Emissão'!$E$251/1000,"")</f>
        <v/>
      </c>
      <c r="S126" s="115" t="str">
        <f t="shared" si="9"/>
        <v/>
      </c>
      <c r="T126" s="115" t="str">
        <f t="shared" si="10"/>
        <v/>
      </c>
      <c r="U126" s="115" t="str">
        <f t="shared" si="11"/>
        <v/>
      </c>
      <c r="V126" s="22" t="str" cm="1">
        <f t="array" ref="V126">_xlfn.IFS(G126&gt;0,G126,N126&gt;0,N126)</f>
        <v/>
      </c>
      <c r="W126" s="22" t="e">
        <f t="shared" si="21"/>
        <v>#N/A</v>
      </c>
      <c r="X126" s="22">
        <f t="shared" si="22"/>
        <v>0</v>
      </c>
    </row>
    <row r="127" spans="2:24" x14ac:dyDescent="0.35">
      <c r="B127" s="109">
        <f>'Emissões Fugitivas'!B98</f>
        <v>0</v>
      </c>
      <c r="C127" s="109">
        <f>'Emissões Fugitivas'!C98</f>
        <v>0</v>
      </c>
      <c r="D127" s="109">
        <f>'Emissões Fugitivas'!D98</f>
        <v>0</v>
      </c>
      <c r="E127" s="109">
        <f>'Emissões Fugitivas'!E98</f>
        <v>0</v>
      </c>
      <c r="F127" s="109" t="str">
        <f>'Emissões Fugitivas'!F98</f>
        <v/>
      </c>
      <c r="G127" s="109">
        <f>'Emissões Fugitivas'!G98</f>
        <v>0</v>
      </c>
      <c r="H127" s="109">
        <f>'Emissões Fugitivas'!H98</f>
        <v>0</v>
      </c>
      <c r="I127" s="109" t="str">
        <f>'Emissões Fugitivas'!I98</f>
        <v/>
      </c>
      <c r="J127" s="22" t="e">
        <f>IF(VLOOKUP(B127,'Dados gerais'!$D$33:$F$35,3,FALSE)="",2,VLOOKUP(B127,'Dados gerais'!$D$33:$F$35,3,FALSE))</f>
        <v>#N/A</v>
      </c>
      <c r="K127" s="22" t="str">
        <f t="shared" si="18"/>
        <v/>
      </c>
      <c r="L127" s="22" t="str">
        <f t="shared" si="19"/>
        <v/>
      </c>
      <c r="M127" s="22" t="str">
        <f t="shared" si="20"/>
        <v/>
      </c>
      <c r="N127" s="114" t="str">
        <f t="shared" si="14"/>
        <v/>
      </c>
      <c r="O127" s="114" t="str">
        <f>IF(C127=$B$68,$E$90*H127*'Fatores de Emissão'!$E$250,"")</f>
        <v/>
      </c>
      <c r="P127" s="114" t="str">
        <f>IF(C127=$B$68,$E$89*H127*'Fatores de Emissão'!$E$251,"")</f>
        <v/>
      </c>
      <c r="Q127" s="114" t="str">
        <f>IF(C127=$B$69,$E$92*H127*'Fatores de Emissão'!$E$250/1000,"")</f>
        <v/>
      </c>
      <c r="R127" s="114" t="str">
        <f>IF(C127=$B$69,$E$91*H127*'Fatores de Emissão'!$E$251/1000,"")</f>
        <v/>
      </c>
      <c r="S127" s="115" t="str">
        <f t="shared" si="9"/>
        <v/>
      </c>
      <c r="T127" s="115" t="str">
        <f t="shared" si="10"/>
        <v/>
      </c>
      <c r="U127" s="115" t="str">
        <f t="shared" si="11"/>
        <v/>
      </c>
      <c r="V127" s="22" t="str" cm="1">
        <f t="array" ref="V127">_xlfn.IFS(G127&gt;0,G127,N127&gt;0,N127)</f>
        <v/>
      </c>
      <c r="W127" s="22" t="e">
        <f t="shared" si="21"/>
        <v>#N/A</v>
      </c>
      <c r="X127" s="22">
        <f t="shared" si="22"/>
        <v>0</v>
      </c>
    </row>
    <row r="128" spans="2:24" x14ac:dyDescent="0.35">
      <c r="B128" s="109">
        <f>'Emissões Fugitivas'!B99</f>
        <v>0</v>
      </c>
      <c r="C128" s="109">
        <f>'Emissões Fugitivas'!C99</f>
        <v>0</v>
      </c>
      <c r="D128" s="109">
        <f>'Emissões Fugitivas'!D99</f>
        <v>0</v>
      </c>
      <c r="E128" s="109">
        <f>'Emissões Fugitivas'!E99</f>
        <v>0</v>
      </c>
      <c r="F128" s="109" t="str">
        <f>'Emissões Fugitivas'!F99</f>
        <v/>
      </c>
      <c r="G128" s="109">
        <f>'Emissões Fugitivas'!G99</f>
        <v>0</v>
      </c>
      <c r="H128" s="109">
        <f>'Emissões Fugitivas'!H99</f>
        <v>0</v>
      </c>
      <c r="I128" s="109" t="str">
        <f>'Emissões Fugitivas'!I99</f>
        <v/>
      </c>
      <c r="J128" s="22" t="e">
        <f>IF(VLOOKUP(B128,'Dados gerais'!$D$33:$F$35,3,FALSE)="",2,VLOOKUP(B128,'Dados gerais'!$D$33:$F$35,3,FALSE))</f>
        <v>#N/A</v>
      </c>
      <c r="K128" s="22" t="str">
        <f t="shared" si="18"/>
        <v/>
      </c>
      <c r="L128" s="22" t="str">
        <f t="shared" si="19"/>
        <v/>
      </c>
      <c r="M128" s="22" t="str">
        <f t="shared" si="20"/>
        <v/>
      </c>
      <c r="N128" s="114" t="str">
        <f t="shared" si="14"/>
        <v/>
      </c>
      <c r="O128" s="114" t="str">
        <f>IF(C128=$B$68,$E$90*H128*'Fatores de Emissão'!$E$250,"")</f>
        <v/>
      </c>
      <c r="P128" s="114" t="str">
        <f>IF(C128=$B$68,$E$89*H128*'Fatores de Emissão'!$E$251,"")</f>
        <v/>
      </c>
      <c r="Q128" s="114" t="str">
        <f>IF(C128=$B$69,$E$92*H128*'Fatores de Emissão'!$E$250/1000,"")</f>
        <v/>
      </c>
      <c r="R128" s="114" t="str">
        <f>IF(C128=$B$69,$E$91*H128*'Fatores de Emissão'!$E$251/1000,"")</f>
        <v/>
      </c>
      <c r="S128" s="115" t="str">
        <f t="shared" si="9"/>
        <v/>
      </c>
      <c r="T128" s="115" t="str">
        <f t="shared" si="10"/>
        <v/>
      </c>
      <c r="U128" s="115" t="str">
        <f t="shared" si="11"/>
        <v/>
      </c>
      <c r="V128" s="22" t="str" cm="1">
        <f t="array" ref="V128">_xlfn.IFS(G128&gt;0,G128,N128&gt;0,N128)</f>
        <v/>
      </c>
      <c r="W128" s="22" t="e">
        <f t="shared" si="21"/>
        <v>#N/A</v>
      </c>
      <c r="X128" s="22">
        <f t="shared" si="22"/>
        <v>0</v>
      </c>
    </row>
    <row r="129" spans="2:24" x14ac:dyDescent="0.35">
      <c r="B129" s="109">
        <f>'Emissões Fugitivas'!B100</f>
        <v>0</v>
      </c>
      <c r="C129" s="109">
        <f>'Emissões Fugitivas'!C100</f>
        <v>0</v>
      </c>
      <c r="D129" s="109">
        <f>'Emissões Fugitivas'!D100</f>
        <v>0</v>
      </c>
      <c r="E129" s="109">
        <f>'Emissões Fugitivas'!E100</f>
        <v>0</v>
      </c>
      <c r="F129" s="109" t="str">
        <f>'Emissões Fugitivas'!F100</f>
        <v/>
      </c>
      <c r="G129" s="109">
        <f>'Emissões Fugitivas'!G100</f>
        <v>0</v>
      </c>
      <c r="H129" s="109">
        <f>'Emissões Fugitivas'!H100</f>
        <v>0</v>
      </c>
      <c r="I129" s="109" t="str">
        <f>'Emissões Fugitivas'!I100</f>
        <v/>
      </c>
      <c r="J129" s="22" t="e">
        <f>IF(VLOOKUP(B129,'Dados gerais'!$D$33:$F$35,3,FALSE)="",2,VLOOKUP(B129,'Dados gerais'!$D$33:$F$35,3,FALSE))</f>
        <v>#N/A</v>
      </c>
      <c r="K129" s="22" t="str">
        <f t="shared" si="18"/>
        <v/>
      </c>
      <c r="L129" s="22" t="str">
        <f t="shared" si="19"/>
        <v/>
      </c>
      <c r="M129" s="22" t="str">
        <f t="shared" si="20"/>
        <v/>
      </c>
      <c r="N129" s="114" t="str">
        <f t="shared" si="14"/>
        <v/>
      </c>
      <c r="O129" s="114" t="str">
        <f>IF(C129=$B$68,$E$90*H129*'Fatores de Emissão'!$E$250,"")</f>
        <v/>
      </c>
      <c r="P129" s="114" t="str">
        <f>IF(C129=$B$68,$E$89*H129*'Fatores de Emissão'!$E$251,"")</f>
        <v/>
      </c>
      <c r="Q129" s="114" t="str">
        <f>IF(C129=$B$69,$E$92*H129*'Fatores de Emissão'!$E$250/1000,"")</f>
        <v/>
      </c>
      <c r="R129" s="114" t="str">
        <f>IF(C129=$B$69,$E$91*H129*'Fatores de Emissão'!$E$251/1000,"")</f>
        <v/>
      </c>
      <c r="S129" s="115" t="str">
        <f t="shared" si="9"/>
        <v/>
      </c>
      <c r="T129" s="115" t="str">
        <f t="shared" si="10"/>
        <v/>
      </c>
      <c r="U129" s="115" t="str">
        <f t="shared" si="11"/>
        <v/>
      </c>
      <c r="V129" s="22" t="str" cm="1">
        <f t="array" ref="V129">_xlfn.IFS(G129&gt;0,G129,N129&gt;0,N129)</f>
        <v/>
      </c>
      <c r="W129" s="22" t="e">
        <f t="shared" si="21"/>
        <v>#N/A</v>
      </c>
      <c r="X129" s="22">
        <f t="shared" si="22"/>
        <v>0</v>
      </c>
    </row>
    <row r="130" spans="2:24" x14ac:dyDescent="0.35">
      <c r="B130" s="109">
        <f>'Emissões Fugitivas'!B101</f>
        <v>0</v>
      </c>
      <c r="C130" s="109">
        <f>'Emissões Fugitivas'!C101</f>
        <v>0</v>
      </c>
      <c r="D130" s="109">
        <f>'Emissões Fugitivas'!D101</f>
        <v>0</v>
      </c>
      <c r="E130" s="109">
        <f>'Emissões Fugitivas'!E101</f>
        <v>0</v>
      </c>
      <c r="F130" s="109" t="str">
        <f>'Emissões Fugitivas'!F101</f>
        <v/>
      </c>
      <c r="G130" s="109">
        <f>'Emissões Fugitivas'!G101</f>
        <v>0</v>
      </c>
      <c r="H130" s="109">
        <f>'Emissões Fugitivas'!H101</f>
        <v>0</v>
      </c>
      <c r="I130" s="109" t="str">
        <f>'Emissões Fugitivas'!I101</f>
        <v/>
      </c>
      <c r="J130" s="22" t="e">
        <f>IF(VLOOKUP(B130,'Dados gerais'!$D$33:$F$35,3,FALSE)="",2,VLOOKUP(B130,'Dados gerais'!$D$33:$F$35,3,FALSE))</f>
        <v>#N/A</v>
      </c>
      <c r="K130" s="22" t="str">
        <f t="shared" si="18"/>
        <v/>
      </c>
      <c r="L130" s="22" t="str">
        <f t="shared" si="19"/>
        <v/>
      </c>
      <c r="M130" s="22" t="str">
        <f t="shared" si="20"/>
        <v/>
      </c>
      <c r="N130" s="114" t="str">
        <f t="shared" si="14"/>
        <v/>
      </c>
      <c r="O130" s="114" t="str">
        <f>IF(C130=$B$68,$E$90*H130*'Fatores de Emissão'!$E$250,"")</f>
        <v/>
      </c>
      <c r="P130" s="114" t="str">
        <f>IF(C130=$B$68,$E$89*H130*'Fatores de Emissão'!$E$251,"")</f>
        <v/>
      </c>
      <c r="Q130" s="114" t="str">
        <f>IF(C130=$B$69,$E$92*H130*'Fatores de Emissão'!$E$250/1000,"")</f>
        <v/>
      </c>
      <c r="R130" s="114" t="str">
        <f>IF(C130=$B$69,$E$91*H130*'Fatores de Emissão'!$E$251/1000,"")</f>
        <v/>
      </c>
      <c r="S130" s="115" t="str">
        <f t="shared" si="9"/>
        <v/>
      </c>
      <c r="T130" s="115" t="str">
        <f t="shared" si="10"/>
        <v/>
      </c>
      <c r="U130" s="115" t="str">
        <f t="shared" si="11"/>
        <v/>
      </c>
      <c r="V130" s="22" t="str" cm="1">
        <f t="array" ref="V130">_xlfn.IFS(G130&gt;0,G130,N130&gt;0,N130)</f>
        <v/>
      </c>
      <c r="W130" s="22" t="e">
        <f t="shared" si="21"/>
        <v>#N/A</v>
      </c>
      <c r="X130" s="22">
        <f t="shared" si="22"/>
        <v>0</v>
      </c>
    </row>
    <row r="131" spans="2:24" x14ac:dyDescent="0.35">
      <c r="B131" s="109">
        <f>'Emissões Fugitivas'!B102</f>
        <v>0</v>
      </c>
      <c r="C131" s="109">
        <f>'Emissões Fugitivas'!C102</f>
        <v>0</v>
      </c>
      <c r="D131" s="109">
        <f>'Emissões Fugitivas'!D102</f>
        <v>0</v>
      </c>
      <c r="E131" s="109">
        <f>'Emissões Fugitivas'!E102</f>
        <v>0</v>
      </c>
      <c r="F131" s="109" t="str">
        <f>'Emissões Fugitivas'!F102</f>
        <v/>
      </c>
      <c r="G131" s="109">
        <f>'Emissões Fugitivas'!G102</f>
        <v>0</v>
      </c>
      <c r="H131" s="109">
        <f>'Emissões Fugitivas'!H102</f>
        <v>0</v>
      </c>
      <c r="I131" s="109" t="str">
        <f>'Emissões Fugitivas'!I102</f>
        <v/>
      </c>
      <c r="J131" s="22" t="e">
        <f>IF(VLOOKUP(B131,'Dados gerais'!$D$33:$F$35,3,FALSE)="",2,VLOOKUP(B131,'Dados gerais'!$D$33:$F$35,3,FALSE))</f>
        <v>#N/A</v>
      </c>
      <c r="K131" s="22" t="str">
        <f t="shared" si="18"/>
        <v/>
      </c>
      <c r="L131" s="22" t="str">
        <f t="shared" si="19"/>
        <v/>
      </c>
      <c r="M131" s="22" t="str">
        <f t="shared" si="20"/>
        <v/>
      </c>
      <c r="N131" s="114" t="str">
        <f t="shared" si="14"/>
        <v/>
      </c>
      <c r="O131" s="114" t="str">
        <f>IF(C131=$B$68,$E$90*H131*'Fatores de Emissão'!$E$250,"")</f>
        <v/>
      </c>
      <c r="P131" s="114" t="str">
        <f>IF(C131=$B$68,$E$89*H131*'Fatores de Emissão'!$E$251,"")</f>
        <v/>
      </c>
      <c r="Q131" s="114" t="str">
        <f>IF(C131=$B$69,$E$92*H131*'Fatores de Emissão'!$E$250/1000,"")</f>
        <v/>
      </c>
      <c r="R131" s="114" t="str">
        <f>IF(C131=$B$69,$E$91*H131*'Fatores de Emissão'!$E$251/1000,"")</f>
        <v/>
      </c>
      <c r="S131" s="115" t="str">
        <f t="shared" si="9"/>
        <v/>
      </c>
      <c r="T131" s="115" t="str">
        <f t="shared" si="10"/>
        <v/>
      </c>
      <c r="U131" s="115" t="str">
        <f t="shared" si="11"/>
        <v/>
      </c>
      <c r="V131" s="22" t="str" cm="1">
        <f t="array" ref="V131">_xlfn.IFS(G131&gt;0,G131,N131&gt;0,N131)</f>
        <v/>
      </c>
      <c r="W131" s="22" t="e">
        <f t="shared" si="21"/>
        <v>#N/A</v>
      </c>
      <c r="X131" s="22">
        <f t="shared" si="22"/>
        <v>0</v>
      </c>
    </row>
    <row r="132" spans="2:24" x14ac:dyDescent="0.35">
      <c r="B132" s="109">
        <f>'Emissões Fugitivas'!B103</f>
        <v>0</v>
      </c>
      <c r="C132" s="109">
        <f>'Emissões Fugitivas'!C103</f>
        <v>0</v>
      </c>
      <c r="D132" s="109">
        <f>'Emissões Fugitivas'!D103</f>
        <v>0</v>
      </c>
      <c r="E132" s="109">
        <f>'Emissões Fugitivas'!E103</f>
        <v>0</v>
      </c>
      <c r="F132" s="109" t="str">
        <f>'Emissões Fugitivas'!F103</f>
        <v/>
      </c>
      <c r="G132" s="109">
        <f>'Emissões Fugitivas'!G103</f>
        <v>0</v>
      </c>
      <c r="H132" s="109">
        <f>'Emissões Fugitivas'!H103</f>
        <v>0</v>
      </c>
      <c r="I132" s="109" t="str">
        <f>'Emissões Fugitivas'!I103</f>
        <v/>
      </c>
      <c r="J132" s="22" t="e">
        <f>IF(VLOOKUP(B132,'Dados gerais'!$D$33:$F$35,3,FALSE)="",2,VLOOKUP(B132,'Dados gerais'!$D$33:$F$35,3,FALSE))</f>
        <v>#N/A</v>
      </c>
      <c r="K132" s="22" t="str">
        <f t="shared" si="18"/>
        <v/>
      </c>
      <c r="L132" s="22" t="str">
        <f t="shared" si="19"/>
        <v/>
      </c>
      <c r="M132" s="22" t="str">
        <f t="shared" si="20"/>
        <v/>
      </c>
      <c r="N132" s="114" t="str">
        <f t="shared" si="14"/>
        <v/>
      </c>
      <c r="O132" s="114" t="str">
        <f>IF(C132=$B$68,$E$90*H132*'Fatores de Emissão'!$E$250,"")</f>
        <v/>
      </c>
      <c r="P132" s="114" t="str">
        <f>IF(C132=$B$68,$E$89*H132*'Fatores de Emissão'!$E$251,"")</f>
        <v/>
      </c>
      <c r="Q132" s="114" t="str">
        <f>IF(C132=$B$69,$E$92*H132*'Fatores de Emissão'!$E$250/1000,"")</f>
        <v/>
      </c>
      <c r="R132" s="114" t="str">
        <f>IF(C132=$B$69,$E$91*H132*'Fatores de Emissão'!$E$251/1000,"")</f>
        <v/>
      </c>
      <c r="S132" s="115" t="str">
        <f t="shared" si="9"/>
        <v/>
      </c>
      <c r="T132" s="115" t="str">
        <f t="shared" si="10"/>
        <v/>
      </c>
      <c r="U132" s="115" t="str">
        <f t="shared" si="11"/>
        <v/>
      </c>
      <c r="V132" s="22" t="str" cm="1">
        <f t="array" ref="V132">_xlfn.IFS(G132&gt;0,G132,N132&gt;0,N132)</f>
        <v/>
      </c>
      <c r="W132" s="22" t="e">
        <f t="shared" si="21"/>
        <v>#N/A</v>
      </c>
      <c r="X132" s="22">
        <f t="shared" si="22"/>
        <v>0</v>
      </c>
    </row>
    <row r="133" spans="2:24" x14ac:dyDescent="0.35">
      <c r="B133" s="109">
        <f>'Emissões Fugitivas'!B104</f>
        <v>0</v>
      </c>
      <c r="C133" s="109">
        <f>'Emissões Fugitivas'!C104</f>
        <v>0</v>
      </c>
      <c r="D133" s="109">
        <f>'Emissões Fugitivas'!D104</f>
        <v>0</v>
      </c>
      <c r="E133" s="109">
        <f>'Emissões Fugitivas'!E104</f>
        <v>0</v>
      </c>
      <c r="F133" s="109" t="str">
        <f>'Emissões Fugitivas'!F104</f>
        <v/>
      </c>
      <c r="G133" s="109">
        <f>'Emissões Fugitivas'!G104</f>
        <v>0</v>
      </c>
      <c r="H133" s="109">
        <f>'Emissões Fugitivas'!H104</f>
        <v>0</v>
      </c>
      <c r="I133" s="109" t="str">
        <f>'Emissões Fugitivas'!I104</f>
        <v/>
      </c>
      <c r="J133" s="22" t="e">
        <f>IF(VLOOKUP(B133,'Dados gerais'!$D$33:$F$35,3,FALSE)="",2,VLOOKUP(B133,'Dados gerais'!$D$33:$F$35,3,FALSE))</f>
        <v>#N/A</v>
      </c>
      <c r="K133" s="22" t="str">
        <f t="shared" si="18"/>
        <v/>
      </c>
      <c r="L133" s="22" t="str">
        <f t="shared" si="19"/>
        <v/>
      </c>
      <c r="M133" s="22" t="str">
        <f t="shared" si="20"/>
        <v/>
      </c>
      <c r="N133" s="114" t="str">
        <f t="shared" si="14"/>
        <v/>
      </c>
      <c r="O133" s="114" t="str">
        <f>IF(C133=$B$68,$E$90*H133*'Fatores de Emissão'!$E$250,"")</f>
        <v/>
      </c>
      <c r="P133" s="114" t="str">
        <f>IF(C133=$B$68,$E$89*H133*'Fatores de Emissão'!$E$251,"")</f>
        <v/>
      </c>
      <c r="Q133" s="114" t="str">
        <f>IF(C133=$B$69,$E$92*H133*'Fatores de Emissão'!$E$250/1000,"")</f>
        <v/>
      </c>
      <c r="R133" s="114" t="str">
        <f>IF(C133=$B$69,$E$91*H133*'Fatores de Emissão'!$E$251/1000,"")</f>
        <v/>
      </c>
      <c r="S133" s="115" t="str">
        <f t="shared" si="9"/>
        <v/>
      </c>
      <c r="T133" s="115" t="str">
        <f t="shared" si="10"/>
        <v/>
      </c>
      <c r="U133" s="115" t="str">
        <f t="shared" si="11"/>
        <v/>
      </c>
      <c r="V133" s="22" t="str" cm="1">
        <f t="array" ref="V133">_xlfn.IFS(G133&gt;0,G133,N133&gt;0,N133)</f>
        <v/>
      </c>
      <c r="W133" s="22" t="e">
        <f t="shared" si="21"/>
        <v>#N/A</v>
      </c>
      <c r="X133" s="22">
        <f t="shared" si="22"/>
        <v>0</v>
      </c>
    </row>
    <row r="134" spans="2:24" x14ac:dyDescent="0.35">
      <c r="B134" s="109">
        <f>'Emissões Fugitivas'!B105</f>
        <v>0</v>
      </c>
      <c r="C134" s="109">
        <f>'Emissões Fugitivas'!C105</f>
        <v>0</v>
      </c>
      <c r="D134" s="109">
        <f>'Emissões Fugitivas'!D105</f>
        <v>0</v>
      </c>
      <c r="E134" s="109">
        <f>'Emissões Fugitivas'!E105</f>
        <v>0</v>
      </c>
      <c r="F134" s="109" t="str">
        <f>'Emissões Fugitivas'!F105</f>
        <v/>
      </c>
      <c r="G134" s="109">
        <f>'Emissões Fugitivas'!G105</f>
        <v>0</v>
      </c>
      <c r="H134" s="109">
        <f>'Emissões Fugitivas'!H105</f>
        <v>0</v>
      </c>
      <c r="I134" s="109" t="str">
        <f>'Emissões Fugitivas'!I105</f>
        <v/>
      </c>
      <c r="J134" s="22" t="e">
        <f>IF(VLOOKUP(B134,'Dados gerais'!$D$33:$F$35,3,FALSE)="",2,VLOOKUP(B134,'Dados gerais'!$D$33:$F$35,3,FALSE))</f>
        <v>#N/A</v>
      </c>
      <c r="K134" s="22" t="str">
        <f t="shared" si="18"/>
        <v/>
      </c>
      <c r="L134" s="22" t="str">
        <f t="shared" si="19"/>
        <v/>
      </c>
      <c r="M134" s="22" t="str">
        <f t="shared" si="20"/>
        <v/>
      </c>
      <c r="N134" s="114" t="str">
        <f t="shared" si="14"/>
        <v/>
      </c>
      <c r="O134" s="114" t="str">
        <f>IF(C134=$B$68,$E$90*H134*'Fatores de Emissão'!$E$250,"")</f>
        <v/>
      </c>
      <c r="P134" s="114" t="str">
        <f>IF(C134=$B$68,$E$89*H134*'Fatores de Emissão'!$E$251,"")</f>
        <v/>
      </c>
      <c r="Q134" s="114" t="str">
        <f>IF(C134=$B$69,$E$92*H134*'Fatores de Emissão'!$E$250/1000,"")</f>
        <v/>
      </c>
      <c r="R134" s="114" t="str">
        <f>IF(C134=$B$69,$E$91*H134*'Fatores de Emissão'!$E$251/1000,"")</f>
        <v/>
      </c>
      <c r="S134" s="115" t="str">
        <f t="shared" si="9"/>
        <v/>
      </c>
      <c r="T134" s="115" t="str">
        <f t="shared" si="10"/>
        <v/>
      </c>
      <c r="U134" s="115" t="str">
        <f t="shared" si="11"/>
        <v/>
      </c>
      <c r="V134" s="22" t="str" cm="1">
        <f t="array" ref="V134">_xlfn.IFS(G134&gt;0,G134,N134&gt;0,N134)</f>
        <v/>
      </c>
      <c r="W134" s="22" t="e">
        <f t="shared" si="21"/>
        <v>#N/A</v>
      </c>
      <c r="X134" s="22">
        <f t="shared" si="22"/>
        <v>0</v>
      </c>
    </row>
    <row r="135" spans="2:24" x14ac:dyDescent="0.35">
      <c r="B135" s="109">
        <f>'Emissões Fugitivas'!B106</f>
        <v>0</v>
      </c>
      <c r="C135" s="109">
        <f>'Emissões Fugitivas'!C106</f>
        <v>0</v>
      </c>
      <c r="D135" s="109">
        <f>'Emissões Fugitivas'!D106</f>
        <v>0</v>
      </c>
      <c r="E135" s="109">
        <f>'Emissões Fugitivas'!E106</f>
        <v>0</v>
      </c>
      <c r="F135" s="109" t="str">
        <f>'Emissões Fugitivas'!F106</f>
        <v/>
      </c>
      <c r="G135" s="109">
        <f>'Emissões Fugitivas'!G106</f>
        <v>0</v>
      </c>
      <c r="H135" s="109">
        <f>'Emissões Fugitivas'!H106</f>
        <v>0</v>
      </c>
      <c r="I135" s="109" t="str">
        <f>'Emissões Fugitivas'!I106</f>
        <v/>
      </c>
      <c r="J135" s="22" t="e">
        <f>IF(VLOOKUP(B135,'Dados gerais'!$D$33:$F$35,3,FALSE)="",2,VLOOKUP(B135,'Dados gerais'!$D$33:$F$35,3,FALSE))</f>
        <v>#N/A</v>
      </c>
      <c r="K135" s="22" t="str">
        <f t="shared" si="18"/>
        <v/>
      </c>
      <c r="L135" s="22" t="str">
        <f t="shared" si="19"/>
        <v/>
      </c>
      <c r="M135" s="22" t="str">
        <f t="shared" si="20"/>
        <v/>
      </c>
      <c r="N135" s="114" t="str">
        <f t="shared" si="14"/>
        <v/>
      </c>
      <c r="O135" s="114" t="str">
        <f>IF(C135=$B$68,$E$90*H135*'Fatores de Emissão'!$E$250,"")</f>
        <v/>
      </c>
      <c r="P135" s="114" t="str">
        <f>IF(C135=$B$68,$E$89*H135*'Fatores de Emissão'!$E$251,"")</f>
        <v/>
      </c>
      <c r="Q135" s="114" t="str">
        <f>IF(C135=$B$69,$E$92*H135*'Fatores de Emissão'!$E$250/1000,"")</f>
        <v/>
      </c>
      <c r="R135" s="114" t="str">
        <f>IF(C135=$B$69,$E$91*H135*'Fatores de Emissão'!$E$251/1000,"")</f>
        <v/>
      </c>
      <c r="S135" s="115" t="str">
        <f t="shared" si="9"/>
        <v/>
      </c>
      <c r="T135" s="115" t="str">
        <f t="shared" si="10"/>
        <v/>
      </c>
      <c r="U135" s="115" t="str">
        <f t="shared" si="11"/>
        <v/>
      </c>
      <c r="V135" s="22" t="str" cm="1">
        <f t="array" ref="V135">_xlfn.IFS(G135&gt;0,G135,N135&gt;0,N135)</f>
        <v/>
      </c>
      <c r="W135" s="22" t="e">
        <f t="shared" si="21"/>
        <v>#N/A</v>
      </c>
      <c r="X135" s="22">
        <f t="shared" si="22"/>
        <v>0</v>
      </c>
    </row>
    <row r="136" spans="2:24" x14ac:dyDescent="0.35">
      <c r="B136" s="109">
        <f>'Emissões Fugitivas'!B107</f>
        <v>0</v>
      </c>
      <c r="C136" s="109">
        <f>'Emissões Fugitivas'!C107</f>
        <v>0</v>
      </c>
      <c r="D136" s="109">
        <f>'Emissões Fugitivas'!D107</f>
        <v>0</v>
      </c>
      <c r="E136" s="109">
        <f>'Emissões Fugitivas'!E107</f>
        <v>0</v>
      </c>
      <c r="F136" s="109" t="str">
        <f>'Emissões Fugitivas'!F107</f>
        <v/>
      </c>
      <c r="G136" s="109">
        <f>'Emissões Fugitivas'!G107</f>
        <v>0</v>
      </c>
      <c r="H136" s="109">
        <f>'Emissões Fugitivas'!H107</f>
        <v>0</v>
      </c>
      <c r="I136" s="109" t="str">
        <f>'Emissões Fugitivas'!I107</f>
        <v/>
      </c>
      <c r="J136" s="22" t="e">
        <f>IF(VLOOKUP(B136,'Dados gerais'!$D$33:$F$35,3,FALSE)="",2,VLOOKUP(B136,'Dados gerais'!$D$33:$F$35,3,FALSE))</f>
        <v>#N/A</v>
      </c>
      <c r="K136" s="22" t="str">
        <f t="shared" si="18"/>
        <v/>
      </c>
      <c r="L136" s="22" t="str">
        <f t="shared" si="19"/>
        <v/>
      </c>
      <c r="M136" s="22" t="str">
        <f t="shared" si="20"/>
        <v/>
      </c>
      <c r="N136" s="114" t="str">
        <f t="shared" si="14"/>
        <v/>
      </c>
      <c r="O136" s="114" t="str">
        <f>IF(C136=$B$68,$E$90*H136*'Fatores de Emissão'!$E$250,"")</f>
        <v/>
      </c>
      <c r="P136" s="114" t="str">
        <f>IF(C136=$B$68,$E$89*H136*'Fatores de Emissão'!$E$251,"")</f>
        <v/>
      </c>
      <c r="Q136" s="114" t="str">
        <f>IF(C136=$B$69,$E$92*H136*'Fatores de Emissão'!$E$250/1000,"")</f>
        <v/>
      </c>
      <c r="R136" s="114" t="str">
        <f>IF(C136=$B$69,$E$91*H136*'Fatores de Emissão'!$E$251/1000,"")</f>
        <v/>
      </c>
      <c r="S136" s="115" t="str">
        <f t="shared" si="9"/>
        <v/>
      </c>
      <c r="T136" s="115" t="str">
        <f t="shared" si="10"/>
        <v/>
      </c>
      <c r="U136" s="115" t="str">
        <f t="shared" si="11"/>
        <v/>
      </c>
      <c r="V136" s="22" t="str" cm="1">
        <f t="array" ref="V136">_xlfn.IFS(G136&gt;0,G136,N136&gt;0,N136)</f>
        <v/>
      </c>
      <c r="W136" s="22" t="e">
        <f t="shared" si="21"/>
        <v>#N/A</v>
      </c>
      <c r="X136" s="22">
        <f t="shared" si="22"/>
        <v>0</v>
      </c>
    </row>
    <row r="137" spans="2:24" x14ac:dyDescent="0.35">
      <c r="B137" s="109">
        <f>'Emissões Fugitivas'!B108</f>
        <v>0</v>
      </c>
      <c r="C137" s="109">
        <f>'Emissões Fugitivas'!C108</f>
        <v>0</v>
      </c>
      <c r="D137" s="109">
        <f>'Emissões Fugitivas'!D108</f>
        <v>0</v>
      </c>
      <c r="E137" s="109">
        <f>'Emissões Fugitivas'!E108</f>
        <v>0</v>
      </c>
      <c r="F137" s="109" t="str">
        <f>'Emissões Fugitivas'!F108</f>
        <v/>
      </c>
      <c r="G137" s="109">
        <f>'Emissões Fugitivas'!G108</f>
        <v>0</v>
      </c>
      <c r="H137" s="109">
        <f>'Emissões Fugitivas'!H108</f>
        <v>0</v>
      </c>
      <c r="I137" s="109" t="str">
        <f>'Emissões Fugitivas'!I108</f>
        <v/>
      </c>
      <c r="J137" s="22" t="e">
        <f>IF(VLOOKUP(B137,'Dados gerais'!$D$33:$F$35,3,FALSE)="",2,VLOOKUP(B137,'Dados gerais'!$D$33:$F$35,3,FALSE))</f>
        <v>#N/A</v>
      </c>
      <c r="K137" s="22" t="str">
        <f t="shared" si="18"/>
        <v/>
      </c>
      <c r="L137" s="22" t="str">
        <f t="shared" si="19"/>
        <v/>
      </c>
      <c r="M137" s="22" t="str">
        <f t="shared" si="20"/>
        <v/>
      </c>
      <c r="N137" s="114" t="str">
        <f t="shared" si="14"/>
        <v/>
      </c>
      <c r="O137" s="114" t="str">
        <f>IF(C137=$B$68,$E$90*H137*'Fatores de Emissão'!$E$250,"")</f>
        <v/>
      </c>
      <c r="P137" s="114" t="str">
        <f>IF(C137=$B$68,$E$89*H137*'Fatores de Emissão'!$E$251,"")</f>
        <v/>
      </c>
      <c r="Q137" s="114" t="str">
        <f>IF(C137=$B$69,$E$92*H137*'Fatores de Emissão'!$E$250/1000,"")</f>
        <v/>
      </c>
      <c r="R137" s="114" t="str">
        <f>IF(C137=$B$69,$E$91*H137*'Fatores de Emissão'!$E$251/1000,"")</f>
        <v/>
      </c>
      <c r="S137" s="115" t="str">
        <f t="shared" si="9"/>
        <v/>
      </c>
      <c r="T137" s="115" t="str">
        <f t="shared" si="10"/>
        <v/>
      </c>
      <c r="U137" s="115" t="str">
        <f t="shared" si="11"/>
        <v/>
      </c>
      <c r="V137" s="22" t="str" cm="1">
        <f t="array" ref="V137">_xlfn.IFS(G137&gt;0,G137,N137&gt;0,N137)</f>
        <v/>
      </c>
      <c r="W137" s="22" t="e">
        <f t="shared" si="21"/>
        <v>#N/A</v>
      </c>
      <c r="X137" s="22">
        <f t="shared" si="22"/>
        <v>0</v>
      </c>
    </row>
    <row r="138" spans="2:24" x14ac:dyDescent="0.35">
      <c r="B138" s="109">
        <f>'Emissões Fugitivas'!B109</f>
        <v>0</v>
      </c>
      <c r="C138" s="109">
        <f>'Emissões Fugitivas'!C109</f>
        <v>0</v>
      </c>
      <c r="D138" s="109">
        <f>'Emissões Fugitivas'!D109</f>
        <v>0</v>
      </c>
      <c r="E138" s="109">
        <f>'Emissões Fugitivas'!E109</f>
        <v>0</v>
      </c>
      <c r="F138" s="109" t="str">
        <f>'Emissões Fugitivas'!F109</f>
        <v/>
      </c>
      <c r="G138" s="109">
        <f>'Emissões Fugitivas'!G109</f>
        <v>0</v>
      </c>
      <c r="H138" s="109">
        <f>'Emissões Fugitivas'!H109</f>
        <v>0</v>
      </c>
      <c r="I138" s="109" t="str">
        <f>'Emissões Fugitivas'!I109</f>
        <v/>
      </c>
      <c r="J138" s="22" t="e">
        <f>IF(VLOOKUP(B138,'Dados gerais'!$D$33:$F$35,3,FALSE)="",2,VLOOKUP(B138,'Dados gerais'!$D$33:$F$35,3,FALSE))</f>
        <v>#N/A</v>
      </c>
      <c r="K138" s="22" t="str">
        <f t="shared" si="18"/>
        <v/>
      </c>
      <c r="L138" s="22" t="str">
        <f t="shared" si="19"/>
        <v/>
      </c>
      <c r="M138" s="22" t="str">
        <f t="shared" si="20"/>
        <v/>
      </c>
      <c r="N138" s="114" t="str">
        <f t="shared" si="14"/>
        <v/>
      </c>
      <c r="O138" s="114" t="str">
        <f>IF(C138=$B$68,$E$90*H138*'Fatores de Emissão'!$E$250,"")</f>
        <v/>
      </c>
      <c r="P138" s="114" t="str">
        <f>IF(C138=$B$68,$E$89*H138*'Fatores de Emissão'!$E$251,"")</f>
        <v/>
      </c>
      <c r="Q138" s="114" t="str">
        <f>IF(C138=$B$69,$E$92*H138*'Fatores de Emissão'!$E$250/1000,"")</f>
        <v/>
      </c>
      <c r="R138" s="114" t="str">
        <f>IF(C138=$B$69,$E$91*H138*'Fatores de Emissão'!$E$251/1000,"")</f>
        <v/>
      </c>
      <c r="S138" s="115" t="str">
        <f t="shared" si="9"/>
        <v/>
      </c>
      <c r="T138" s="115" t="str">
        <f t="shared" si="10"/>
        <v/>
      </c>
      <c r="U138" s="115" t="str">
        <f t="shared" si="11"/>
        <v/>
      </c>
      <c r="V138" s="22" t="str" cm="1">
        <f t="array" ref="V138">_xlfn.IFS(G138&gt;0,G138,N138&gt;0,N138)</f>
        <v/>
      </c>
      <c r="W138" s="22" t="e">
        <f t="shared" si="21"/>
        <v>#N/A</v>
      </c>
      <c r="X138" s="22">
        <f t="shared" si="22"/>
        <v>0</v>
      </c>
    </row>
    <row r="139" spans="2:24" x14ac:dyDescent="0.35">
      <c r="B139" s="109">
        <f>'Emissões Fugitivas'!B110</f>
        <v>0</v>
      </c>
      <c r="C139" s="109">
        <f>'Emissões Fugitivas'!C110</f>
        <v>0</v>
      </c>
      <c r="D139" s="109">
        <f>'Emissões Fugitivas'!D110</f>
        <v>0</v>
      </c>
      <c r="E139" s="109">
        <f>'Emissões Fugitivas'!E110</f>
        <v>0</v>
      </c>
      <c r="F139" s="109" t="str">
        <f>'Emissões Fugitivas'!F110</f>
        <v/>
      </c>
      <c r="G139" s="109">
        <f>'Emissões Fugitivas'!G110</f>
        <v>0</v>
      </c>
      <c r="H139" s="109">
        <f>'Emissões Fugitivas'!H110</f>
        <v>0</v>
      </c>
      <c r="I139" s="109" t="str">
        <f>'Emissões Fugitivas'!I110</f>
        <v/>
      </c>
      <c r="J139" s="22" t="e">
        <f>IF(VLOOKUP(B139,'Dados gerais'!$D$33:$F$35,3,FALSE)="",2,VLOOKUP(B139,'Dados gerais'!$D$33:$F$35,3,FALSE))</f>
        <v>#N/A</v>
      </c>
      <c r="K139" s="22" t="str">
        <f t="shared" si="18"/>
        <v/>
      </c>
      <c r="L139" s="22" t="str">
        <f t="shared" si="19"/>
        <v/>
      </c>
      <c r="M139" s="22" t="str">
        <f t="shared" si="20"/>
        <v/>
      </c>
      <c r="N139" s="114" t="str">
        <f t="shared" si="14"/>
        <v/>
      </c>
      <c r="O139" s="114" t="str">
        <f>IF(C139=$B$68,$E$90*H139*'Fatores de Emissão'!$E$250,"")</f>
        <v/>
      </c>
      <c r="P139" s="114" t="str">
        <f>IF(C139=$B$68,$E$89*H139*'Fatores de Emissão'!$E$251,"")</f>
        <v/>
      </c>
      <c r="Q139" s="114" t="str">
        <f>IF(C139=$B$69,$E$92*H139*'Fatores de Emissão'!$E$250/1000,"")</f>
        <v/>
      </c>
      <c r="R139" s="114" t="str">
        <f>IF(C139=$B$69,$E$91*H139*'Fatores de Emissão'!$E$251/1000,"")</f>
        <v/>
      </c>
      <c r="S139" s="115" t="str">
        <f t="shared" si="9"/>
        <v/>
      </c>
      <c r="T139" s="115" t="str">
        <f t="shared" si="10"/>
        <v/>
      </c>
      <c r="U139" s="115" t="str">
        <f t="shared" si="11"/>
        <v/>
      </c>
      <c r="V139" s="22" t="str" cm="1">
        <f t="array" ref="V139">_xlfn.IFS(G139&gt;0,G139,N139&gt;0,N139)</f>
        <v/>
      </c>
      <c r="W139" s="22" t="e">
        <f t="shared" si="21"/>
        <v>#N/A</v>
      </c>
      <c r="X139" s="22">
        <f t="shared" si="22"/>
        <v>0</v>
      </c>
    </row>
    <row r="140" spans="2:24" x14ac:dyDescent="0.35">
      <c r="B140" s="109">
        <f>'Emissões Fugitivas'!B111</f>
        <v>0</v>
      </c>
      <c r="C140" s="109">
        <f>'Emissões Fugitivas'!C111</f>
        <v>0</v>
      </c>
      <c r="D140" s="109">
        <f>'Emissões Fugitivas'!D111</f>
        <v>0</v>
      </c>
      <c r="E140" s="109">
        <f>'Emissões Fugitivas'!E111</f>
        <v>0</v>
      </c>
      <c r="F140" s="109" t="str">
        <f>'Emissões Fugitivas'!F111</f>
        <v/>
      </c>
      <c r="G140" s="109">
        <f>'Emissões Fugitivas'!G111</f>
        <v>0</v>
      </c>
      <c r="H140" s="109">
        <f>'Emissões Fugitivas'!H111</f>
        <v>0</v>
      </c>
      <c r="I140" s="109" t="str">
        <f>'Emissões Fugitivas'!I111</f>
        <v/>
      </c>
      <c r="J140" s="22" t="e">
        <f>IF(VLOOKUP(B140,'Dados gerais'!$D$33:$F$35,3,FALSE)="",2,VLOOKUP(B140,'Dados gerais'!$D$33:$F$35,3,FALSE))</f>
        <v>#N/A</v>
      </c>
      <c r="K140" s="22" t="str">
        <f t="shared" si="18"/>
        <v/>
      </c>
      <c r="L140" s="22" t="str">
        <f t="shared" si="19"/>
        <v/>
      </c>
      <c r="M140" s="22" t="str">
        <f t="shared" si="20"/>
        <v/>
      </c>
      <c r="N140" s="114" t="str">
        <f t="shared" si="14"/>
        <v/>
      </c>
      <c r="O140" s="114" t="str">
        <f>IF(C140=$B$68,$E$90*H140*'Fatores de Emissão'!$E$250,"")</f>
        <v/>
      </c>
      <c r="P140" s="114" t="str">
        <f>IF(C140=$B$68,$E$89*H140*'Fatores de Emissão'!$E$251,"")</f>
        <v/>
      </c>
      <c r="Q140" s="114" t="str">
        <f>IF(C140=$B$69,$E$92*H140*'Fatores de Emissão'!$E$250/1000,"")</f>
        <v/>
      </c>
      <c r="R140" s="114" t="str">
        <f>IF(C140=$B$69,$E$91*H140*'Fatores de Emissão'!$E$251/1000,"")</f>
        <v/>
      </c>
      <c r="S140" s="115" t="str">
        <f t="shared" si="9"/>
        <v/>
      </c>
      <c r="T140" s="115" t="str">
        <f t="shared" si="10"/>
        <v/>
      </c>
      <c r="U140" s="115" t="str">
        <f t="shared" si="11"/>
        <v/>
      </c>
      <c r="V140" s="22" t="str" cm="1">
        <f t="array" ref="V140">_xlfn.IFS(G140&gt;0,G140,N140&gt;0,N140)</f>
        <v/>
      </c>
      <c r="W140" s="22" t="e">
        <f t="shared" si="21"/>
        <v>#N/A</v>
      </c>
      <c r="X140" s="22">
        <f t="shared" si="22"/>
        <v>0</v>
      </c>
    </row>
    <row r="141" spans="2:24" x14ac:dyDescent="0.35">
      <c r="B141" s="109">
        <f>'Emissões Fugitivas'!B112</f>
        <v>0</v>
      </c>
      <c r="C141" s="109">
        <f>'Emissões Fugitivas'!C112</f>
        <v>0</v>
      </c>
      <c r="D141" s="109">
        <f>'Emissões Fugitivas'!D112</f>
        <v>0</v>
      </c>
      <c r="E141" s="109">
        <f>'Emissões Fugitivas'!E112</f>
        <v>0</v>
      </c>
      <c r="F141" s="109" t="str">
        <f>'Emissões Fugitivas'!F112</f>
        <v/>
      </c>
      <c r="G141" s="109">
        <f>'Emissões Fugitivas'!G112</f>
        <v>0</v>
      </c>
      <c r="H141" s="109">
        <f>'Emissões Fugitivas'!H112</f>
        <v>0</v>
      </c>
      <c r="I141" s="109" t="str">
        <f>'Emissões Fugitivas'!I112</f>
        <v/>
      </c>
      <c r="J141" s="22" t="e">
        <f>IF(VLOOKUP(B141,'Dados gerais'!$D$33:$F$35,3,FALSE)="",2,VLOOKUP(B141,'Dados gerais'!$D$33:$F$35,3,FALSE))</f>
        <v>#N/A</v>
      </c>
      <c r="K141" s="22" t="str">
        <f t="shared" si="18"/>
        <v/>
      </c>
      <c r="L141" s="22" t="str">
        <f t="shared" si="19"/>
        <v/>
      </c>
      <c r="M141" s="22" t="str">
        <f t="shared" si="20"/>
        <v/>
      </c>
      <c r="N141" s="114" t="str">
        <f t="shared" si="14"/>
        <v/>
      </c>
      <c r="O141" s="114" t="str">
        <f>IF(C141=$B$68,$E$90*H141*'Fatores de Emissão'!$E$250,"")</f>
        <v/>
      </c>
      <c r="P141" s="114" t="str">
        <f>IF(C141=$B$68,$E$89*H141*'Fatores de Emissão'!$E$251,"")</f>
        <v/>
      </c>
      <c r="Q141" s="114" t="str">
        <f>IF(C141=$B$69,$E$92*H141*'Fatores de Emissão'!$E$250/1000,"")</f>
        <v/>
      </c>
      <c r="R141" s="114" t="str">
        <f>IF(C141=$B$69,$E$91*H141*'Fatores de Emissão'!$E$251/1000,"")</f>
        <v/>
      </c>
      <c r="S141" s="115" t="str">
        <f t="shared" si="9"/>
        <v/>
      </c>
      <c r="T141" s="115" t="str">
        <f t="shared" si="10"/>
        <v/>
      </c>
      <c r="U141" s="115" t="str">
        <f t="shared" si="11"/>
        <v/>
      </c>
      <c r="V141" s="22" t="str" cm="1">
        <f t="array" ref="V141">_xlfn.IFS(G141&gt;0,G141,N141&gt;0,N141)</f>
        <v/>
      </c>
      <c r="W141" s="22" t="e">
        <f t="shared" si="21"/>
        <v>#N/A</v>
      </c>
      <c r="X141" s="22">
        <f t="shared" si="22"/>
        <v>0</v>
      </c>
    </row>
    <row r="142" spans="2:24" x14ac:dyDescent="0.35">
      <c r="B142" s="109">
        <f>'Emissões Fugitivas'!B113</f>
        <v>0</v>
      </c>
      <c r="C142" s="109">
        <f>'Emissões Fugitivas'!C113</f>
        <v>0</v>
      </c>
      <c r="D142" s="109">
        <f>'Emissões Fugitivas'!D113</f>
        <v>0</v>
      </c>
      <c r="E142" s="109">
        <f>'Emissões Fugitivas'!E113</f>
        <v>0</v>
      </c>
      <c r="F142" s="109" t="str">
        <f>'Emissões Fugitivas'!F113</f>
        <v/>
      </c>
      <c r="G142" s="109">
        <f>'Emissões Fugitivas'!G113</f>
        <v>0</v>
      </c>
      <c r="H142" s="109">
        <f>'Emissões Fugitivas'!H113</f>
        <v>0</v>
      </c>
      <c r="I142" s="109" t="str">
        <f>'Emissões Fugitivas'!I113</f>
        <v/>
      </c>
      <c r="J142" s="22" t="e">
        <f>IF(VLOOKUP(B142,'Dados gerais'!$D$33:$F$35,3,FALSE)="",2,VLOOKUP(B142,'Dados gerais'!$D$33:$F$35,3,FALSE))</f>
        <v>#N/A</v>
      </c>
      <c r="K142" s="22" t="str">
        <f t="shared" si="18"/>
        <v/>
      </c>
      <c r="L142" s="22" t="str">
        <f t="shared" si="19"/>
        <v/>
      </c>
      <c r="M142" s="22" t="str">
        <f t="shared" si="20"/>
        <v/>
      </c>
      <c r="N142" s="114" t="str">
        <f t="shared" si="14"/>
        <v/>
      </c>
      <c r="O142" s="114" t="str">
        <f>IF(C142=$B$68,$E$90*H142*'Fatores de Emissão'!$E$250,"")</f>
        <v/>
      </c>
      <c r="P142" s="114" t="str">
        <f>IF(C142=$B$68,$E$89*H142*'Fatores de Emissão'!$E$251,"")</f>
        <v/>
      </c>
      <c r="Q142" s="114" t="str">
        <f>IF(C142=$B$69,$E$92*H142*'Fatores de Emissão'!$E$250/1000,"")</f>
        <v/>
      </c>
      <c r="R142" s="114" t="str">
        <f>IF(C142=$B$69,$E$91*H142*'Fatores de Emissão'!$E$251/1000,"")</f>
        <v/>
      </c>
      <c r="S142" s="115" t="str">
        <f t="shared" si="9"/>
        <v/>
      </c>
      <c r="T142" s="115" t="str">
        <f t="shared" si="10"/>
        <v/>
      </c>
      <c r="U142" s="115" t="str">
        <f t="shared" si="11"/>
        <v/>
      </c>
      <c r="V142" s="22" t="str" cm="1">
        <f t="array" ref="V142">_xlfn.IFS(G142&gt;0,G142,N142&gt;0,N142)</f>
        <v/>
      </c>
      <c r="W142" s="22" t="e">
        <f t="shared" si="21"/>
        <v>#N/A</v>
      </c>
      <c r="X142" s="22">
        <f t="shared" si="22"/>
        <v>0</v>
      </c>
    </row>
    <row r="143" spans="2:24" x14ac:dyDescent="0.35">
      <c r="B143" s="109">
        <f>'Emissões Fugitivas'!B114</f>
        <v>0</v>
      </c>
      <c r="C143" s="109">
        <f>'Emissões Fugitivas'!C114</f>
        <v>0</v>
      </c>
      <c r="D143" s="109">
        <f>'Emissões Fugitivas'!D114</f>
        <v>0</v>
      </c>
      <c r="E143" s="109">
        <f>'Emissões Fugitivas'!E114</f>
        <v>0</v>
      </c>
      <c r="F143" s="109" t="str">
        <f>'Emissões Fugitivas'!F114</f>
        <v/>
      </c>
      <c r="G143" s="109">
        <f>'Emissões Fugitivas'!G114</f>
        <v>0</v>
      </c>
      <c r="H143" s="109">
        <f>'Emissões Fugitivas'!H114</f>
        <v>0</v>
      </c>
      <c r="I143" s="109" t="str">
        <f>'Emissões Fugitivas'!I114</f>
        <v/>
      </c>
      <c r="J143" s="22" t="e">
        <f>IF(VLOOKUP(B143,'Dados gerais'!$D$33:$F$35,3,FALSE)="",2,VLOOKUP(B143,'Dados gerais'!$D$33:$F$35,3,FALSE))</f>
        <v>#N/A</v>
      </c>
      <c r="K143" s="22" t="str">
        <f t="shared" si="18"/>
        <v/>
      </c>
      <c r="L143" s="22" t="str">
        <f t="shared" si="19"/>
        <v/>
      </c>
      <c r="M143" s="22" t="str">
        <f t="shared" si="20"/>
        <v/>
      </c>
      <c r="N143" s="114" t="str">
        <f t="shared" si="14"/>
        <v/>
      </c>
      <c r="O143" s="114" t="str">
        <f>IF(C143=$B$68,$E$90*H143*'Fatores de Emissão'!$E$250,"")</f>
        <v/>
      </c>
      <c r="P143" s="114" t="str">
        <f>IF(C143=$B$68,$E$89*H143*'Fatores de Emissão'!$E$251,"")</f>
        <v/>
      </c>
      <c r="Q143" s="114" t="str">
        <f>IF(C143=$B$69,$E$92*H143*'Fatores de Emissão'!$E$250/1000,"")</f>
        <v/>
      </c>
      <c r="R143" s="114" t="str">
        <f>IF(C143=$B$69,$E$91*H143*'Fatores de Emissão'!$E$251/1000,"")</f>
        <v/>
      </c>
      <c r="S143" s="115" t="str">
        <f t="shared" ref="S143:S174" si="23">IF($C143=S$109,$E$96*$H143,"")</f>
        <v/>
      </c>
      <c r="T143" s="115" t="str">
        <f t="shared" ref="T143:T174" si="24">IF($C143=T$109,$E$104*$H143,"")</f>
        <v/>
      </c>
      <c r="U143" s="115" t="str">
        <f t="shared" ref="U143:U174" si="25">IF($C143=U$109,$E$100*$H143,"")</f>
        <v/>
      </c>
      <c r="V143" s="22" t="str" cm="1">
        <f t="array" ref="V143">_xlfn.IFS(G143&gt;0,G143,N143&gt;0,N143)</f>
        <v/>
      </c>
      <c r="W143" s="22" t="e">
        <f t="shared" si="21"/>
        <v>#N/A</v>
      </c>
      <c r="X143" s="22">
        <f t="shared" si="22"/>
        <v>0</v>
      </c>
    </row>
    <row r="144" spans="2:24" x14ac:dyDescent="0.35">
      <c r="B144" s="109">
        <f>'Emissões Fugitivas'!B115</f>
        <v>0</v>
      </c>
      <c r="C144" s="109">
        <f>'Emissões Fugitivas'!C115</f>
        <v>0</v>
      </c>
      <c r="D144" s="109">
        <f>'Emissões Fugitivas'!D115</f>
        <v>0</v>
      </c>
      <c r="E144" s="109">
        <f>'Emissões Fugitivas'!E115</f>
        <v>0</v>
      </c>
      <c r="F144" s="109" t="str">
        <f>'Emissões Fugitivas'!F115</f>
        <v/>
      </c>
      <c r="G144" s="109">
        <f>'Emissões Fugitivas'!G115</f>
        <v>0</v>
      </c>
      <c r="H144" s="109">
        <f>'Emissões Fugitivas'!H115</f>
        <v>0</v>
      </c>
      <c r="I144" s="109" t="str">
        <f>'Emissões Fugitivas'!I115</f>
        <v/>
      </c>
      <c r="J144" s="22" t="e">
        <f>IF(VLOOKUP(B144,'Dados gerais'!$D$33:$F$35,3,FALSE)="",2,VLOOKUP(B144,'Dados gerais'!$D$33:$F$35,3,FALSE))</f>
        <v>#N/A</v>
      </c>
      <c r="K144" s="22" t="str">
        <f t="shared" si="18"/>
        <v/>
      </c>
      <c r="L144" s="22" t="str">
        <f t="shared" si="19"/>
        <v/>
      </c>
      <c r="M144" s="22" t="str">
        <f t="shared" si="20"/>
        <v/>
      </c>
      <c r="N144" s="114" t="str">
        <f t="shared" si="14"/>
        <v/>
      </c>
      <c r="O144" s="114" t="str">
        <f>IF(C144=$B$68,$E$90*H144*'Fatores de Emissão'!$E$250,"")</f>
        <v/>
      </c>
      <c r="P144" s="114" t="str">
        <f>IF(C144=$B$68,$E$89*H144*'Fatores de Emissão'!$E$251,"")</f>
        <v/>
      </c>
      <c r="Q144" s="114" t="str">
        <f>IF(C144=$B$69,$E$92*H144*'Fatores de Emissão'!$E$250/1000,"")</f>
        <v/>
      </c>
      <c r="R144" s="114" t="str">
        <f>IF(C144=$B$69,$E$91*H144*'Fatores de Emissão'!$E$251/1000,"")</f>
        <v/>
      </c>
      <c r="S144" s="115" t="str">
        <f t="shared" si="23"/>
        <v/>
      </c>
      <c r="T144" s="115" t="str">
        <f t="shared" si="24"/>
        <v/>
      </c>
      <c r="U144" s="115" t="str">
        <f t="shared" si="25"/>
        <v/>
      </c>
      <c r="V144" s="22" t="str" cm="1">
        <f t="array" ref="V144">_xlfn.IFS(G144&gt;0,G144,N144&gt;0,N144)</f>
        <v/>
      </c>
      <c r="W144" s="22" t="e">
        <f t="shared" si="21"/>
        <v>#N/A</v>
      </c>
      <c r="X144" s="22">
        <f t="shared" si="22"/>
        <v>0</v>
      </c>
    </row>
    <row r="145" spans="2:24" x14ac:dyDescent="0.35">
      <c r="B145" s="109">
        <f>'Emissões Fugitivas'!B116</f>
        <v>0</v>
      </c>
      <c r="C145" s="109">
        <f>'Emissões Fugitivas'!C116</f>
        <v>0</v>
      </c>
      <c r="D145" s="109">
        <f>'Emissões Fugitivas'!D116</f>
        <v>0</v>
      </c>
      <c r="E145" s="109">
        <f>'Emissões Fugitivas'!E116</f>
        <v>0</v>
      </c>
      <c r="F145" s="109" t="str">
        <f>'Emissões Fugitivas'!F116</f>
        <v/>
      </c>
      <c r="G145" s="109">
        <f>'Emissões Fugitivas'!G116</f>
        <v>0</v>
      </c>
      <c r="H145" s="109">
        <f>'Emissões Fugitivas'!H116</f>
        <v>0</v>
      </c>
      <c r="I145" s="109" t="str">
        <f>'Emissões Fugitivas'!I116</f>
        <v/>
      </c>
      <c r="J145" s="22" t="e">
        <f>IF(VLOOKUP(B145,'Dados gerais'!$D$33:$F$35,3,FALSE)="",2,VLOOKUP(B145,'Dados gerais'!$D$33:$F$35,3,FALSE))</f>
        <v>#N/A</v>
      </c>
      <c r="K145" s="22" t="str">
        <f t="shared" si="18"/>
        <v/>
      </c>
      <c r="L145" s="22" t="str">
        <f t="shared" si="19"/>
        <v/>
      </c>
      <c r="M145" s="22" t="str">
        <f t="shared" si="20"/>
        <v/>
      </c>
      <c r="N145" s="114" t="str">
        <f t="shared" si="14"/>
        <v/>
      </c>
      <c r="O145" s="114" t="str">
        <f>IF(C145=$B$68,$E$90*H145*'Fatores de Emissão'!$E$250,"")</f>
        <v/>
      </c>
      <c r="P145" s="114" t="str">
        <f>IF(C145=$B$68,$E$89*H145*'Fatores de Emissão'!$E$251,"")</f>
        <v/>
      </c>
      <c r="Q145" s="114" t="str">
        <f>IF(C145=$B$69,$E$92*H145*'Fatores de Emissão'!$E$250/1000,"")</f>
        <v/>
      </c>
      <c r="R145" s="114" t="str">
        <f>IF(C145=$B$69,$E$91*H145*'Fatores de Emissão'!$E$251/1000,"")</f>
        <v/>
      </c>
      <c r="S145" s="115" t="str">
        <f t="shared" si="23"/>
        <v/>
      </c>
      <c r="T145" s="115" t="str">
        <f t="shared" si="24"/>
        <v/>
      </c>
      <c r="U145" s="115" t="str">
        <f t="shared" si="25"/>
        <v/>
      </c>
      <c r="V145" s="22" t="str" cm="1">
        <f t="array" ref="V145">_xlfn.IFS(G145&gt;0,G145,N145&gt;0,N145)</f>
        <v/>
      </c>
      <c r="W145" s="22" t="e">
        <f t="shared" si="21"/>
        <v>#N/A</v>
      </c>
      <c r="X145" s="22">
        <f t="shared" si="22"/>
        <v>0</v>
      </c>
    </row>
    <row r="146" spans="2:24" x14ac:dyDescent="0.35">
      <c r="B146" s="109">
        <f>'Emissões Fugitivas'!B117</f>
        <v>0</v>
      </c>
      <c r="C146" s="109">
        <f>'Emissões Fugitivas'!C117</f>
        <v>0</v>
      </c>
      <c r="D146" s="109">
        <f>'Emissões Fugitivas'!D117</f>
        <v>0</v>
      </c>
      <c r="E146" s="109">
        <f>'Emissões Fugitivas'!E117</f>
        <v>0</v>
      </c>
      <c r="F146" s="109" t="str">
        <f>'Emissões Fugitivas'!F117</f>
        <v/>
      </c>
      <c r="G146" s="109">
        <f>'Emissões Fugitivas'!G117</f>
        <v>0</v>
      </c>
      <c r="H146" s="109">
        <f>'Emissões Fugitivas'!H117</f>
        <v>0</v>
      </c>
      <c r="I146" s="109" t="str">
        <f>'Emissões Fugitivas'!I117</f>
        <v/>
      </c>
      <c r="J146" s="22" t="e">
        <f>IF(VLOOKUP(B146,'Dados gerais'!$D$33:$F$35,3,FALSE)="",2,VLOOKUP(B146,'Dados gerais'!$D$33:$F$35,3,FALSE))</f>
        <v>#N/A</v>
      </c>
      <c r="K146" s="22" t="str">
        <f t="shared" si="18"/>
        <v/>
      </c>
      <c r="L146" s="22" t="str">
        <f t="shared" si="19"/>
        <v/>
      </c>
      <c r="M146" s="22" t="str">
        <f t="shared" si="20"/>
        <v/>
      </c>
      <c r="N146" s="114" t="str">
        <f t="shared" si="14"/>
        <v/>
      </c>
      <c r="O146" s="114" t="str">
        <f>IF(C146=$B$68,$E$90*H146*'Fatores de Emissão'!$E$250,"")</f>
        <v/>
      </c>
      <c r="P146" s="114" t="str">
        <f>IF(C146=$B$68,$E$89*H146*'Fatores de Emissão'!$E$251,"")</f>
        <v/>
      </c>
      <c r="Q146" s="114" t="str">
        <f>IF(C146=$B$69,$E$92*H146*'Fatores de Emissão'!$E$250/1000,"")</f>
        <v/>
      </c>
      <c r="R146" s="114" t="str">
        <f>IF(C146=$B$69,$E$91*H146*'Fatores de Emissão'!$E$251/1000,"")</f>
        <v/>
      </c>
      <c r="S146" s="115" t="str">
        <f t="shared" si="23"/>
        <v/>
      </c>
      <c r="T146" s="115" t="str">
        <f t="shared" si="24"/>
        <v/>
      </c>
      <c r="U146" s="115" t="str">
        <f t="shared" si="25"/>
        <v/>
      </c>
      <c r="V146" s="22" t="str" cm="1">
        <f t="array" ref="V146">_xlfn.IFS(G146&gt;0,G146,N146&gt;0,N146)</f>
        <v/>
      </c>
      <c r="W146" s="22" t="e">
        <f t="shared" si="21"/>
        <v>#N/A</v>
      </c>
      <c r="X146" s="22">
        <f t="shared" si="22"/>
        <v>0</v>
      </c>
    </row>
    <row r="147" spans="2:24" x14ac:dyDescent="0.35">
      <c r="B147" s="109">
        <f>'Emissões Fugitivas'!B118</f>
        <v>0</v>
      </c>
      <c r="C147" s="109">
        <f>'Emissões Fugitivas'!C118</f>
        <v>0</v>
      </c>
      <c r="D147" s="109">
        <f>'Emissões Fugitivas'!D118</f>
        <v>0</v>
      </c>
      <c r="E147" s="109">
        <f>'Emissões Fugitivas'!E118</f>
        <v>0</v>
      </c>
      <c r="F147" s="109" t="str">
        <f>'Emissões Fugitivas'!F118</f>
        <v/>
      </c>
      <c r="G147" s="109">
        <f>'Emissões Fugitivas'!G118</f>
        <v>0</v>
      </c>
      <c r="H147" s="109">
        <f>'Emissões Fugitivas'!H118</f>
        <v>0</v>
      </c>
      <c r="I147" s="109" t="str">
        <f>'Emissões Fugitivas'!I118</f>
        <v/>
      </c>
      <c r="J147" s="22" t="e">
        <f>IF(VLOOKUP(B147,'Dados gerais'!$D$33:$F$35,3,FALSE)="",2,VLOOKUP(B147,'Dados gerais'!$D$33:$F$35,3,FALSE))</f>
        <v>#N/A</v>
      </c>
      <c r="K147" s="22" t="str">
        <f t="shared" si="18"/>
        <v/>
      </c>
      <c r="L147" s="22" t="str">
        <f t="shared" si="19"/>
        <v/>
      </c>
      <c r="M147" s="22" t="str">
        <f t="shared" si="20"/>
        <v/>
      </c>
      <c r="N147" s="114" t="str">
        <f t="shared" si="14"/>
        <v/>
      </c>
      <c r="O147" s="114" t="str">
        <f>IF(C147=$B$68,$E$90*H147*'Fatores de Emissão'!$E$250,"")</f>
        <v/>
      </c>
      <c r="P147" s="114" t="str">
        <f>IF(C147=$B$68,$E$89*H147*'Fatores de Emissão'!$E$251,"")</f>
        <v/>
      </c>
      <c r="Q147" s="114" t="str">
        <f>IF(C147=$B$69,$E$92*H147*'Fatores de Emissão'!$E$250/1000,"")</f>
        <v/>
      </c>
      <c r="R147" s="114" t="str">
        <f>IF(C147=$B$69,$E$91*H147*'Fatores de Emissão'!$E$251/1000,"")</f>
        <v/>
      </c>
      <c r="S147" s="115" t="str">
        <f t="shared" si="23"/>
        <v/>
      </c>
      <c r="T147" s="115" t="str">
        <f t="shared" si="24"/>
        <v/>
      </c>
      <c r="U147" s="115" t="str">
        <f t="shared" si="25"/>
        <v/>
      </c>
      <c r="V147" s="22" t="str" cm="1">
        <f t="array" ref="V147">_xlfn.IFS(G147&gt;0,G147,N147&gt;0,N147)</f>
        <v/>
      </c>
      <c r="W147" s="22" t="e">
        <f t="shared" si="21"/>
        <v>#N/A</v>
      </c>
      <c r="X147" s="22">
        <f t="shared" si="22"/>
        <v>0</v>
      </c>
    </row>
    <row r="148" spans="2:24" x14ac:dyDescent="0.35">
      <c r="B148" s="109">
        <f>'Emissões Fugitivas'!B119</f>
        <v>0</v>
      </c>
      <c r="C148" s="109">
        <f>'Emissões Fugitivas'!C119</f>
        <v>0</v>
      </c>
      <c r="D148" s="109">
        <f>'Emissões Fugitivas'!D119</f>
        <v>0</v>
      </c>
      <c r="E148" s="109">
        <f>'Emissões Fugitivas'!E119</f>
        <v>0</v>
      </c>
      <c r="F148" s="109" t="str">
        <f>'Emissões Fugitivas'!F119</f>
        <v/>
      </c>
      <c r="G148" s="109">
        <f>'Emissões Fugitivas'!G119</f>
        <v>0</v>
      </c>
      <c r="H148" s="109">
        <f>'Emissões Fugitivas'!H119</f>
        <v>0</v>
      </c>
      <c r="I148" s="109" t="str">
        <f>'Emissões Fugitivas'!I119</f>
        <v/>
      </c>
      <c r="J148" s="22" t="e">
        <f>IF(VLOOKUP(B148,'Dados gerais'!$D$33:$F$35,3,FALSE)="",2,VLOOKUP(B148,'Dados gerais'!$D$33:$F$35,3,FALSE))</f>
        <v>#N/A</v>
      </c>
      <c r="K148" s="22" t="str">
        <f t="shared" si="18"/>
        <v/>
      </c>
      <c r="L148" s="22" t="str">
        <f t="shared" si="19"/>
        <v/>
      </c>
      <c r="M148" s="22" t="str">
        <f t="shared" si="20"/>
        <v/>
      </c>
      <c r="N148" s="114" t="str">
        <f t="shared" si="14"/>
        <v/>
      </c>
      <c r="O148" s="114" t="str">
        <f>IF(C148=$B$68,$E$90*H148*'Fatores de Emissão'!$E$250,"")</f>
        <v/>
      </c>
      <c r="P148" s="114" t="str">
        <f>IF(C148=$B$68,$E$89*H148*'Fatores de Emissão'!$E$251,"")</f>
        <v/>
      </c>
      <c r="Q148" s="114" t="str">
        <f>IF(C148=$B$69,$E$92*H148*'Fatores de Emissão'!$E$250/1000,"")</f>
        <v/>
      </c>
      <c r="R148" s="114" t="str">
        <f>IF(C148=$B$69,$E$91*H148*'Fatores de Emissão'!$E$251/1000,"")</f>
        <v/>
      </c>
      <c r="S148" s="115" t="str">
        <f t="shared" si="23"/>
        <v/>
      </c>
      <c r="T148" s="115" t="str">
        <f t="shared" si="24"/>
        <v/>
      </c>
      <c r="U148" s="115" t="str">
        <f t="shared" si="25"/>
        <v/>
      </c>
      <c r="V148" s="22" t="str" cm="1">
        <f t="array" ref="V148">_xlfn.IFS(G148&gt;0,G148,N148&gt;0,N148)</f>
        <v/>
      </c>
      <c r="W148" s="22" t="e">
        <f t="shared" si="21"/>
        <v>#N/A</v>
      </c>
      <c r="X148" s="22">
        <f t="shared" si="22"/>
        <v>0</v>
      </c>
    </row>
    <row r="149" spans="2:24" x14ac:dyDescent="0.35">
      <c r="B149" s="109">
        <f>'Emissões Fugitivas'!B120</f>
        <v>0</v>
      </c>
      <c r="C149" s="109">
        <f>'Emissões Fugitivas'!C120</f>
        <v>0</v>
      </c>
      <c r="D149" s="109">
        <f>'Emissões Fugitivas'!D120</f>
        <v>0</v>
      </c>
      <c r="E149" s="109">
        <f>'Emissões Fugitivas'!E120</f>
        <v>0</v>
      </c>
      <c r="F149" s="109" t="str">
        <f>'Emissões Fugitivas'!F120</f>
        <v/>
      </c>
      <c r="G149" s="109">
        <f>'Emissões Fugitivas'!G120</f>
        <v>0</v>
      </c>
      <c r="H149" s="109">
        <f>'Emissões Fugitivas'!H120</f>
        <v>0</v>
      </c>
      <c r="I149" s="109" t="str">
        <f>'Emissões Fugitivas'!I120</f>
        <v/>
      </c>
      <c r="J149" s="22" t="e">
        <f>IF(VLOOKUP(B149,'Dados gerais'!$D$33:$F$35,3,FALSE)="",2,VLOOKUP(B149,'Dados gerais'!$D$33:$F$35,3,FALSE))</f>
        <v>#N/A</v>
      </c>
      <c r="K149" s="22" t="str">
        <f t="shared" si="18"/>
        <v/>
      </c>
      <c r="L149" s="22" t="str">
        <f t="shared" si="19"/>
        <v/>
      </c>
      <c r="M149" s="22" t="str">
        <f t="shared" si="20"/>
        <v/>
      </c>
      <c r="N149" s="114" t="str">
        <f t="shared" si="14"/>
        <v/>
      </c>
      <c r="O149" s="114" t="str">
        <f>IF(C149=$B$68,$E$90*H149*'Fatores de Emissão'!$E$250,"")</f>
        <v/>
      </c>
      <c r="P149" s="114" t="str">
        <f>IF(C149=$B$68,$E$89*H149*'Fatores de Emissão'!$E$251,"")</f>
        <v/>
      </c>
      <c r="Q149" s="114" t="str">
        <f>IF(C149=$B$69,$E$92*H149*'Fatores de Emissão'!$E$250/1000,"")</f>
        <v/>
      </c>
      <c r="R149" s="114" t="str">
        <f>IF(C149=$B$69,$E$91*H149*'Fatores de Emissão'!$E$251/1000,"")</f>
        <v/>
      </c>
      <c r="S149" s="115" t="str">
        <f t="shared" si="23"/>
        <v/>
      </c>
      <c r="T149" s="115" t="str">
        <f t="shared" si="24"/>
        <v/>
      </c>
      <c r="U149" s="115" t="str">
        <f t="shared" si="25"/>
        <v/>
      </c>
      <c r="V149" s="22" t="str" cm="1">
        <f t="array" ref="V149">_xlfn.IFS(G149&gt;0,G149,N149&gt;0,N149)</f>
        <v/>
      </c>
      <c r="W149" s="22" t="e">
        <f t="shared" si="21"/>
        <v>#N/A</v>
      </c>
      <c r="X149" s="22">
        <f t="shared" si="22"/>
        <v>0</v>
      </c>
    </row>
    <row r="150" spans="2:24" x14ac:dyDescent="0.35">
      <c r="B150" s="109">
        <f>'Emissões Fugitivas'!B121</f>
        <v>0</v>
      </c>
      <c r="C150" s="109">
        <f>'Emissões Fugitivas'!C121</f>
        <v>0</v>
      </c>
      <c r="D150" s="109">
        <f>'Emissões Fugitivas'!D121</f>
        <v>0</v>
      </c>
      <c r="E150" s="109">
        <f>'Emissões Fugitivas'!E121</f>
        <v>0</v>
      </c>
      <c r="F150" s="109" t="str">
        <f>'Emissões Fugitivas'!F121</f>
        <v/>
      </c>
      <c r="G150" s="109">
        <f>'Emissões Fugitivas'!G121</f>
        <v>0</v>
      </c>
      <c r="H150" s="109">
        <f>'Emissões Fugitivas'!H121</f>
        <v>0</v>
      </c>
      <c r="I150" s="109" t="str">
        <f>'Emissões Fugitivas'!I121</f>
        <v/>
      </c>
      <c r="J150" s="22" t="e">
        <f>IF(VLOOKUP(B150,'Dados gerais'!$D$33:$F$35,3,FALSE)="",2,VLOOKUP(B150,'Dados gerais'!$D$33:$F$35,3,FALSE))</f>
        <v>#N/A</v>
      </c>
      <c r="K150" s="22" t="str">
        <f t="shared" si="18"/>
        <v/>
      </c>
      <c r="L150" s="22" t="str">
        <f t="shared" si="19"/>
        <v/>
      </c>
      <c r="M150" s="22" t="str">
        <f t="shared" si="20"/>
        <v/>
      </c>
      <c r="N150" s="114" t="str">
        <f t="shared" si="14"/>
        <v/>
      </c>
      <c r="O150" s="114" t="str">
        <f>IF(C150=$B$68,$E$90*H150*'Fatores de Emissão'!$E$250,"")</f>
        <v/>
      </c>
      <c r="P150" s="114" t="str">
        <f>IF(C150=$B$68,$E$89*H150*'Fatores de Emissão'!$E$251,"")</f>
        <v/>
      </c>
      <c r="Q150" s="114" t="str">
        <f>IF(C150=$B$69,$E$92*H150*'Fatores de Emissão'!$E$250/1000,"")</f>
        <v/>
      </c>
      <c r="R150" s="114" t="str">
        <f>IF(C150=$B$69,$E$91*H150*'Fatores de Emissão'!$E$251/1000,"")</f>
        <v/>
      </c>
      <c r="S150" s="115" t="str">
        <f t="shared" si="23"/>
        <v/>
      </c>
      <c r="T150" s="115" t="str">
        <f t="shared" si="24"/>
        <v/>
      </c>
      <c r="U150" s="115" t="str">
        <f t="shared" si="25"/>
        <v/>
      </c>
      <c r="V150" s="22" t="str" cm="1">
        <f t="array" ref="V150">_xlfn.IFS(G150&gt;0,G150,N150&gt;0,N150)</f>
        <v/>
      </c>
      <c r="W150" s="22" t="e">
        <f t="shared" si="21"/>
        <v>#N/A</v>
      </c>
      <c r="X150" s="22">
        <f t="shared" si="22"/>
        <v>0</v>
      </c>
    </row>
    <row r="151" spans="2:24" x14ac:dyDescent="0.35">
      <c r="B151" s="109">
        <f>'Emissões Fugitivas'!B122</f>
        <v>0</v>
      </c>
      <c r="C151" s="109">
        <f>'Emissões Fugitivas'!C122</f>
        <v>0</v>
      </c>
      <c r="D151" s="109">
        <f>'Emissões Fugitivas'!D122</f>
        <v>0</v>
      </c>
      <c r="E151" s="109">
        <f>'Emissões Fugitivas'!E122</f>
        <v>0</v>
      </c>
      <c r="F151" s="109" t="str">
        <f>'Emissões Fugitivas'!F122</f>
        <v/>
      </c>
      <c r="G151" s="109">
        <f>'Emissões Fugitivas'!G122</f>
        <v>0</v>
      </c>
      <c r="H151" s="109">
        <f>'Emissões Fugitivas'!H122</f>
        <v>0</v>
      </c>
      <c r="I151" s="109" t="str">
        <f>'Emissões Fugitivas'!I122</f>
        <v/>
      </c>
      <c r="J151" s="22" t="e">
        <f>IF(VLOOKUP(B151,'Dados gerais'!$D$33:$F$35,3,FALSE)="",2,VLOOKUP(B151,'Dados gerais'!$D$33:$F$35,3,FALSE))</f>
        <v>#N/A</v>
      </c>
      <c r="K151" s="22" t="str">
        <f t="shared" si="18"/>
        <v/>
      </c>
      <c r="L151" s="22" t="str">
        <f t="shared" si="19"/>
        <v/>
      </c>
      <c r="M151" s="22" t="str">
        <f t="shared" si="20"/>
        <v/>
      </c>
      <c r="N151" s="114" t="str">
        <f t="shared" si="14"/>
        <v/>
      </c>
      <c r="O151" s="114" t="str">
        <f>IF(C151=$B$68,$E$90*H151*'Fatores de Emissão'!$E$250,"")</f>
        <v/>
      </c>
      <c r="P151" s="114" t="str">
        <f>IF(C151=$B$68,$E$89*H151*'Fatores de Emissão'!$E$251,"")</f>
        <v/>
      </c>
      <c r="Q151" s="114" t="str">
        <f>IF(C151=$B$69,$E$92*H151*'Fatores de Emissão'!$E$250/1000,"")</f>
        <v/>
      </c>
      <c r="R151" s="114" t="str">
        <f>IF(C151=$B$69,$E$91*H151*'Fatores de Emissão'!$E$251/1000,"")</f>
        <v/>
      </c>
      <c r="S151" s="115" t="str">
        <f t="shared" si="23"/>
        <v/>
      </c>
      <c r="T151" s="115" t="str">
        <f t="shared" si="24"/>
        <v/>
      </c>
      <c r="U151" s="115" t="str">
        <f t="shared" si="25"/>
        <v/>
      </c>
      <c r="V151" s="22" t="str" cm="1">
        <f t="array" ref="V151">_xlfn.IFS(G151&gt;0,G151,N151&gt;0,N151)</f>
        <v/>
      </c>
      <c r="W151" s="22" t="e">
        <f t="shared" si="21"/>
        <v>#N/A</v>
      </c>
      <c r="X151" s="22">
        <f t="shared" si="22"/>
        <v>0</v>
      </c>
    </row>
    <row r="152" spans="2:24" x14ac:dyDescent="0.35">
      <c r="B152" s="109">
        <f>'Emissões Fugitivas'!B123</f>
        <v>0</v>
      </c>
      <c r="C152" s="109">
        <f>'Emissões Fugitivas'!C123</f>
        <v>0</v>
      </c>
      <c r="D152" s="109">
        <f>'Emissões Fugitivas'!D123</f>
        <v>0</v>
      </c>
      <c r="E152" s="109">
        <f>'Emissões Fugitivas'!E123</f>
        <v>0</v>
      </c>
      <c r="F152" s="109" t="str">
        <f>'Emissões Fugitivas'!F123</f>
        <v/>
      </c>
      <c r="G152" s="109">
        <f>'Emissões Fugitivas'!G123</f>
        <v>0</v>
      </c>
      <c r="H152" s="109">
        <f>'Emissões Fugitivas'!H123</f>
        <v>0</v>
      </c>
      <c r="I152" s="109" t="str">
        <f>'Emissões Fugitivas'!I123</f>
        <v/>
      </c>
      <c r="J152" s="22" t="e">
        <f>IF(VLOOKUP(B152,'Dados gerais'!$D$33:$F$35,3,FALSE)="",2,VLOOKUP(B152,'Dados gerais'!$D$33:$F$35,3,FALSE))</f>
        <v>#N/A</v>
      </c>
      <c r="K152" s="22" t="str">
        <f t="shared" si="18"/>
        <v/>
      </c>
      <c r="L152" s="22" t="str">
        <f t="shared" si="19"/>
        <v/>
      </c>
      <c r="M152" s="22" t="str">
        <f t="shared" si="20"/>
        <v/>
      </c>
      <c r="N152" s="114" t="str">
        <f t="shared" si="14"/>
        <v/>
      </c>
      <c r="O152" s="114" t="str">
        <f>IF(C152=$B$68,$E$90*H152*'Fatores de Emissão'!$E$250,"")</f>
        <v/>
      </c>
      <c r="P152" s="114" t="str">
        <f>IF(C152=$B$68,$E$89*H152*'Fatores de Emissão'!$E$251,"")</f>
        <v/>
      </c>
      <c r="Q152" s="114" t="str">
        <f>IF(C152=$B$69,$E$92*H152*'Fatores de Emissão'!$E$250/1000,"")</f>
        <v/>
      </c>
      <c r="R152" s="114" t="str">
        <f>IF(C152=$B$69,$E$91*H152*'Fatores de Emissão'!$E$251/1000,"")</f>
        <v/>
      </c>
      <c r="S152" s="115" t="str">
        <f t="shared" si="23"/>
        <v/>
      </c>
      <c r="T152" s="115" t="str">
        <f t="shared" si="24"/>
        <v/>
      </c>
      <c r="U152" s="115" t="str">
        <f t="shared" si="25"/>
        <v/>
      </c>
      <c r="V152" s="22" t="str" cm="1">
        <f t="array" ref="V152">_xlfn.IFS(G152&gt;0,G152,N152&gt;0,N152)</f>
        <v/>
      </c>
      <c r="W152" s="22" t="e">
        <f t="shared" si="21"/>
        <v>#N/A</v>
      </c>
      <c r="X152" s="22">
        <f t="shared" si="22"/>
        <v>0</v>
      </c>
    </row>
    <row r="153" spans="2:24" x14ac:dyDescent="0.35">
      <c r="B153" s="109">
        <f>'Emissões Fugitivas'!B124</f>
        <v>0</v>
      </c>
      <c r="C153" s="109">
        <f>'Emissões Fugitivas'!C124</f>
        <v>0</v>
      </c>
      <c r="D153" s="109">
        <f>'Emissões Fugitivas'!D124</f>
        <v>0</v>
      </c>
      <c r="E153" s="109">
        <f>'Emissões Fugitivas'!E124</f>
        <v>0</v>
      </c>
      <c r="F153" s="109" t="str">
        <f>'Emissões Fugitivas'!F124</f>
        <v/>
      </c>
      <c r="G153" s="109">
        <f>'Emissões Fugitivas'!G124</f>
        <v>0</v>
      </c>
      <c r="H153" s="109">
        <f>'Emissões Fugitivas'!H124</f>
        <v>0</v>
      </c>
      <c r="I153" s="109" t="str">
        <f>'Emissões Fugitivas'!I124</f>
        <v/>
      </c>
      <c r="J153" s="22" t="e">
        <f>IF(VLOOKUP(B153,'Dados gerais'!$D$33:$F$35,3,FALSE)="",2,VLOOKUP(B153,'Dados gerais'!$D$33:$F$35,3,FALSE))</f>
        <v>#N/A</v>
      </c>
      <c r="K153" s="22" t="str">
        <f t="shared" si="18"/>
        <v/>
      </c>
      <c r="L153" s="22" t="str">
        <f t="shared" si="19"/>
        <v/>
      </c>
      <c r="M153" s="22" t="str">
        <f t="shared" si="20"/>
        <v/>
      </c>
      <c r="N153" s="114" t="str">
        <f t="shared" si="14"/>
        <v/>
      </c>
      <c r="O153" s="114" t="str">
        <f>IF(C153=$B$68,$E$90*H153*'Fatores de Emissão'!$E$250,"")</f>
        <v/>
      </c>
      <c r="P153" s="114" t="str">
        <f>IF(C153=$B$68,$E$89*H153*'Fatores de Emissão'!$E$251,"")</f>
        <v/>
      </c>
      <c r="Q153" s="114" t="str">
        <f>IF(C153=$B$69,$E$92*H153*'Fatores de Emissão'!$E$250/1000,"")</f>
        <v/>
      </c>
      <c r="R153" s="114" t="str">
        <f>IF(C153=$B$69,$E$91*H153*'Fatores de Emissão'!$E$251/1000,"")</f>
        <v/>
      </c>
      <c r="S153" s="115" t="str">
        <f t="shared" si="23"/>
        <v/>
      </c>
      <c r="T153" s="115" t="str">
        <f t="shared" si="24"/>
        <v/>
      </c>
      <c r="U153" s="115" t="str">
        <f t="shared" si="25"/>
        <v/>
      </c>
      <c r="V153" s="22" t="str" cm="1">
        <f t="array" ref="V153">_xlfn.IFS(G153&gt;0,G153,N153&gt;0,N153)</f>
        <v/>
      </c>
      <c r="W153" s="22" t="e">
        <f t="shared" si="21"/>
        <v>#N/A</v>
      </c>
      <c r="X153" s="22">
        <f t="shared" si="22"/>
        <v>0</v>
      </c>
    </row>
    <row r="154" spans="2:24" x14ac:dyDescent="0.35">
      <c r="B154" s="109">
        <f>'Emissões Fugitivas'!B125</f>
        <v>0</v>
      </c>
      <c r="C154" s="109">
        <f>'Emissões Fugitivas'!C125</f>
        <v>0</v>
      </c>
      <c r="D154" s="109">
        <f>'Emissões Fugitivas'!D125</f>
        <v>0</v>
      </c>
      <c r="E154" s="109">
        <f>'Emissões Fugitivas'!E125</f>
        <v>0</v>
      </c>
      <c r="F154" s="109" t="str">
        <f>'Emissões Fugitivas'!F125</f>
        <v/>
      </c>
      <c r="G154" s="109">
        <f>'Emissões Fugitivas'!G125</f>
        <v>0</v>
      </c>
      <c r="H154" s="109">
        <f>'Emissões Fugitivas'!H125</f>
        <v>0</v>
      </c>
      <c r="I154" s="109" t="str">
        <f>'Emissões Fugitivas'!I125</f>
        <v/>
      </c>
      <c r="J154" s="22" t="e">
        <f>IF(VLOOKUP(B154,'Dados gerais'!$D$33:$F$35,3,FALSE)="",2,VLOOKUP(B154,'Dados gerais'!$D$33:$F$35,3,FALSE))</f>
        <v>#N/A</v>
      </c>
      <c r="K154" s="22" t="str">
        <f t="shared" si="18"/>
        <v/>
      </c>
      <c r="L154" s="22" t="str">
        <f t="shared" si="19"/>
        <v/>
      </c>
      <c r="M154" s="22" t="str">
        <f t="shared" si="20"/>
        <v/>
      </c>
      <c r="N154" s="114" t="str">
        <f t="shared" si="14"/>
        <v/>
      </c>
      <c r="O154" s="114" t="str">
        <f>IF(C154=$B$68,$E$90*H154*'Fatores de Emissão'!$E$250,"")</f>
        <v/>
      </c>
      <c r="P154" s="114" t="str">
        <f>IF(C154=$B$68,$E$89*H154*'Fatores de Emissão'!$E$251,"")</f>
        <v/>
      </c>
      <c r="Q154" s="114" t="str">
        <f>IF(C154=$B$69,$E$92*H154*'Fatores de Emissão'!$E$250/1000,"")</f>
        <v/>
      </c>
      <c r="R154" s="114" t="str">
        <f>IF(C154=$B$69,$E$91*H154*'Fatores de Emissão'!$E$251/1000,"")</f>
        <v/>
      </c>
      <c r="S154" s="115" t="str">
        <f t="shared" si="23"/>
        <v/>
      </c>
      <c r="T154" s="115" t="str">
        <f t="shared" si="24"/>
        <v/>
      </c>
      <c r="U154" s="115" t="str">
        <f t="shared" si="25"/>
        <v/>
      </c>
      <c r="V154" s="22" t="str" cm="1">
        <f t="array" ref="V154">_xlfn.IFS(G154&gt;0,G154,N154&gt;0,N154)</f>
        <v/>
      </c>
      <c r="W154" s="22" t="e">
        <f t="shared" si="21"/>
        <v>#N/A</v>
      </c>
      <c r="X154" s="22">
        <f t="shared" si="22"/>
        <v>0</v>
      </c>
    </row>
    <row r="155" spans="2:24" x14ac:dyDescent="0.35">
      <c r="B155" s="109">
        <f>'Emissões Fugitivas'!B126</f>
        <v>0</v>
      </c>
      <c r="C155" s="109">
        <f>'Emissões Fugitivas'!C126</f>
        <v>0</v>
      </c>
      <c r="D155" s="109">
        <f>'Emissões Fugitivas'!D126</f>
        <v>0</v>
      </c>
      <c r="E155" s="109">
        <f>'Emissões Fugitivas'!E126</f>
        <v>0</v>
      </c>
      <c r="F155" s="109" t="str">
        <f>'Emissões Fugitivas'!F126</f>
        <v/>
      </c>
      <c r="G155" s="109">
        <f>'Emissões Fugitivas'!G126</f>
        <v>0</v>
      </c>
      <c r="H155" s="109">
        <f>'Emissões Fugitivas'!H126</f>
        <v>0</v>
      </c>
      <c r="I155" s="109" t="str">
        <f>'Emissões Fugitivas'!I126</f>
        <v/>
      </c>
      <c r="J155" s="22" t="e">
        <f>IF(VLOOKUP(B155,'Dados gerais'!$D$33:$F$35,3,FALSE)="",2,VLOOKUP(B155,'Dados gerais'!$D$33:$F$35,3,FALSE))</f>
        <v>#N/A</v>
      </c>
      <c r="K155" s="22" t="str">
        <f t="shared" si="18"/>
        <v/>
      </c>
      <c r="L155" s="22" t="str">
        <f t="shared" si="19"/>
        <v/>
      </c>
      <c r="M155" s="22" t="str">
        <f t="shared" si="20"/>
        <v/>
      </c>
      <c r="N155" s="114" t="str">
        <f t="shared" si="14"/>
        <v/>
      </c>
      <c r="O155" s="114" t="str">
        <f>IF(C155=$B$68,$E$90*H155*'Fatores de Emissão'!$E$250,"")</f>
        <v/>
      </c>
      <c r="P155" s="114" t="str">
        <f>IF(C155=$B$68,$E$89*H155*'Fatores de Emissão'!$E$251,"")</f>
        <v/>
      </c>
      <c r="Q155" s="114" t="str">
        <f>IF(C155=$B$69,$E$92*H155*'Fatores de Emissão'!$E$250/1000,"")</f>
        <v/>
      </c>
      <c r="R155" s="114" t="str">
        <f>IF(C155=$B$69,$E$91*H155*'Fatores de Emissão'!$E$251/1000,"")</f>
        <v/>
      </c>
      <c r="S155" s="115" t="str">
        <f t="shared" si="23"/>
        <v/>
      </c>
      <c r="T155" s="115" t="str">
        <f t="shared" si="24"/>
        <v/>
      </c>
      <c r="U155" s="115" t="str">
        <f t="shared" si="25"/>
        <v/>
      </c>
      <c r="V155" s="22" t="str" cm="1">
        <f t="array" ref="V155">_xlfn.IFS(G155&gt;0,G155,N155&gt;0,N155)</f>
        <v/>
      </c>
      <c r="W155" s="22" t="e">
        <f t="shared" si="21"/>
        <v>#N/A</v>
      </c>
      <c r="X155" s="22">
        <f t="shared" si="22"/>
        <v>0</v>
      </c>
    </row>
    <row r="156" spans="2:24" x14ac:dyDescent="0.35">
      <c r="B156" s="109">
        <f>'Emissões Fugitivas'!B127</f>
        <v>0</v>
      </c>
      <c r="C156" s="109">
        <f>'Emissões Fugitivas'!C127</f>
        <v>0</v>
      </c>
      <c r="D156" s="109">
        <f>'Emissões Fugitivas'!D127</f>
        <v>0</v>
      </c>
      <c r="E156" s="109">
        <f>'Emissões Fugitivas'!E127</f>
        <v>0</v>
      </c>
      <c r="F156" s="109" t="str">
        <f>'Emissões Fugitivas'!F127</f>
        <v/>
      </c>
      <c r="G156" s="109">
        <f>'Emissões Fugitivas'!G127</f>
        <v>0</v>
      </c>
      <c r="H156" s="109">
        <f>'Emissões Fugitivas'!H127</f>
        <v>0</v>
      </c>
      <c r="I156" s="109" t="str">
        <f>'Emissões Fugitivas'!I127</f>
        <v/>
      </c>
      <c r="J156" s="22" t="e">
        <f>IF(VLOOKUP(B156,'Dados gerais'!$D$33:$F$35,3,FALSE)="",2,VLOOKUP(B156,'Dados gerais'!$D$33:$F$35,3,FALSE))</f>
        <v>#N/A</v>
      </c>
      <c r="K156" s="22" t="str">
        <f t="shared" si="18"/>
        <v/>
      </c>
      <c r="L156" s="22" t="str">
        <f t="shared" si="19"/>
        <v/>
      </c>
      <c r="M156" s="22" t="str">
        <f t="shared" si="20"/>
        <v/>
      </c>
      <c r="N156" s="114" t="str">
        <f t="shared" si="14"/>
        <v/>
      </c>
      <c r="O156" s="114" t="str">
        <f>IF(C156=$B$68,$E$90*H156*'Fatores de Emissão'!$E$250,"")</f>
        <v/>
      </c>
      <c r="P156" s="114" t="str">
        <f>IF(C156=$B$68,$E$89*H156*'Fatores de Emissão'!$E$251,"")</f>
        <v/>
      </c>
      <c r="Q156" s="114" t="str">
        <f>IF(C156=$B$69,$E$92*H156*'Fatores de Emissão'!$E$250/1000,"")</f>
        <v/>
      </c>
      <c r="R156" s="114" t="str">
        <f>IF(C156=$B$69,$E$91*H156*'Fatores de Emissão'!$E$251/1000,"")</f>
        <v/>
      </c>
      <c r="S156" s="115" t="str">
        <f t="shared" si="23"/>
        <v/>
      </c>
      <c r="T156" s="115" t="str">
        <f t="shared" si="24"/>
        <v/>
      </c>
      <c r="U156" s="115" t="str">
        <f t="shared" si="25"/>
        <v/>
      </c>
      <c r="V156" s="22" t="str" cm="1">
        <f t="array" ref="V156">_xlfn.IFS(G156&gt;0,G156,N156&gt;0,N156)</f>
        <v/>
      </c>
      <c r="W156" s="22" t="e">
        <f t="shared" si="21"/>
        <v>#N/A</v>
      </c>
      <c r="X156" s="22">
        <f t="shared" si="22"/>
        <v>0</v>
      </c>
    </row>
    <row r="157" spans="2:24" x14ac:dyDescent="0.35">
      <c r="B157" s="109">
        <f>'Emissões Fugitivas'!B128</f>
        <v>0</v>
      </c>
      <c r="C157" s="109">
        <f>'Emissões Fugitivas'!C128</f>
        <v>0</v>
      </c>
      <c r="D157" s="109">
        <f>'Emissões Fugitivas'!D128</f>
        <v>0</v>
      </c>
      <c r="E157" s="109">
        <f>'Emissões Fugitivas'!E128</f>
        <v>0</v>
      </c>
      <c r="F157" s="109" t="str">
        <f>'Emissões Fugitivas'!F128</f>
        <v/>
      </c>
      <c r="G157" s="109">
        <f>'Emissões Fugitivas'!G128</f>
        <v>0</v>
      </c>
      <c r="H157" s="109">
        <f>'Emissões Fugitivas'!H128</f>
        <v>0</v>
      </c>
      <c r="I157" s="109" t="str">
        <f>'Emissões Fugitivas'!I128</f>
        <v/>
      </c>
      <c r="J157" s="22" t="e">
        <f>IF(VLOOKUP(B157,'Dados gerais'!$D$33:$F$35,3,FALSE)="",2,VLOOKUP(B157,'Dados gerais'!$D$33:$F$35,3,FALSE))</f>
        <v>#N/A</v>
      </c>
      <c r="K157" s="22" t="str">
        <f t="shared" si="18"/>
        <v/>
      </c>
      <c r="L157" s="22" t="str">
        <f t="shared" si="19"/>
        <v/>
      </c>
      <c r="M157" s="22" t="str">
        <f t="shared" si="20"/>
        <v/>
      </c>
      <c r="N157" s="114" t="str">
        <f t="shared" si="14"/>
        <v/>
      </c>
      <c r="O157" s="114" t="str">
        <f>IF(C157=$B$68,$E$90*H157*'Fatores de Emissão'!$E$250,"")</f>
        <v/>
      </c>
      <c r="P157" s="114" t="str">
        <f>IF(C157=$B$68,$E$89*H157*'Fatores de Emissão'!$E$251,"")</f>
        <v/>
      </c>
      <c r="Q157" s="114" t="str">
        <f>IF(C157=$B$69,$E$92*H157*'Fatores de Emissão'!$E$250/1000,"")</f>
        <v/>
      </c>
      <c r="R157" s="114" t="str">
        <f>IF(C157=$B$69,$E$91*H157*'Fatores de Emissão'!$E$251/1000,"")</f>
        <v/>
      </c>
      <c r="S157" s="115" t="str">
        <f t="shared" si="23"/>
        <v/>
      </c>
      <c r="T157" s="115" t="str">
        <f t="shared" si="24"/>
        <v/>
      </c>
      <c r="U157" s="115" t="str">
        <f t="shared" si="25"/>
        <v/>
      </c>
      <c r="V157" s="22" t="str" cm="1">
        <f t="array" ref="V157">_xlfn.IFS(G157&gt;0,G157,N157&gt;0,N157)</f>
        <v/>
      </c>
      <c r="W157" s="22" t="e">
        <f t="shared" si="21"/>
        <v>#N/A</v>
      </c>
      <c r="X157" s="22">
        <f t="shared" si="22"/>
        <v>0</v>
      </c>
    </row>
    <row r="158" spans="2:24" x14ac:dyDescent="0.35">
      <c r="B158" s="109">
        <f>'Emissões Fugitivas'!B129</f>
        <v>0</v>
      </c>
      <c r="C158" s="109">
        <f>'Emissões Fugitivas'!C129</f>
        <v>0</v>
      </c>
      <c r="D158" s="109">
        <f>'Emissões Fugitivas'!D129</f>
        <v>0</v>
      </c>
      <c r="E158" s="109">
        <f>'Emissões Fugitivas'!E129</f>
        <v>0</v>
      </c>
      <c r="F158" s="109" t="str">
        <f>'Emissões Fugitivas'!F129</f>
        <v/>
      </c>
      <c r="G158" s="109">
        <f>'Emissões Fugitivas'!G129</f>
        <v>0</v>
      </c>
      <c r="H158" s="109">
        <f>'Emissões Fugitivas'!H129</f>
        <v>0</v>
      </c>
      <c r="I158" s="109" t="str">
        <f>'Emissões Fugitivas'!I129</f>
        <v/>
      </c>
      <c r="J158" s="22" t="e">
        <f>IF(VLOOKUP(B158,'Dados gerais'!$D$33:$F$35,3,FALSE)="",2,VLOOKUP(B158,'Dados gerais'!$D$33:$F$35,3,FALSE))</f>
        <v>#N/A</v>
      </c>
      <c r="K158" s="22" t="str">
        <f t="shared" si="18"/>
        <v/>
      </c>
      <c r="L158" s="22" t="str">
        <f t="shared" si="19"/>
        <v/>
      </c>
      <c r="M158" s="22" t="str">
        <f t="shared" si="20"/>
        <v/>
      </c>
      <c r="N158" s="114" t="str">
        <f t="shared" si="14"/>
        <v/>
      </c>
      <c r="O158" s="114" t="str">
        <f>IF(C158=$B$68,$E$90*H158*'Fatores de Emissão'!$E$250,"")</f>
        <v/>
      </c>
      <c r="P158" s="114" t="str">
        <f>IF(C158=$B$68,$E$89*H158*'Fatores de Emissão'!$E$251,"")</f>
        <v/>
      </c>
      <c r="Q158" s="114" t="str">
        <f>IF(C158=$B$69,$E$92*H158*'Fatores de Emissão'!$E$250/1000,"")</f>
        <v/>
      </c>
      <c r="R158" s="114" t="str">
        <f>IF(C158=$B$69,$E$91*H158*'Fatores de Emissão'!$E$251/1000,"")</f>
        <v/>
      </c>
      <c r="S158" s="115" t="str">
        <f t="shared" si="23"/>
        <v/>
      </c>
      <c r="T158" s="115" t="str">
        <f t="shared" si="24"/>
        <v/>
      </c>
      <c r="U158" s="115" t="str">
        <f t="shared" si="25"/>
        <v/>
      </c>
      <c r="V158" s="22" t="str" cm="1">
        <f t="array" ref="V158">_xlfn.IFS(G158&gt;0,G158,N158&gt;0,N158)</f>
        <v/>
      </c>
      <c r="W158" s="22" t="e">
        <f t="shared" si="21"/>
        <v>#N/A</v>
      </c>
      <c r="X158" s="22">
        <f t="shared" si="22"/>
        <v>0</v>
      </c>
    </row>
    <row r="159" spans="2:24" x14ac:dyDescent="0.35">
      <c r="B159" s="109">
        <f>'Emissões Fugitivas'!B130</f>
        <v>0</v>
      </c>
      <c r="C159" s="109">
        <f>'Emissões Fugitivas'!C130</f>
        <v>0</v>
      </c>
      <c r="D159" s="109">
        <f>'Emissões Fugitivas'!D130</f>
        <v>0</v>
      </c>
      <c r="E159" s="109">
        <f>'Emissões Fugitivas'!E130</f>
        <v>0</v>
      </c>
      <c r="F159" s="109" t="str">
        <f>'Emissões Fugitivas'!F130</f>
        <v/>
      </c>
      <c r="G159" s="109">
        <f>'Emissões Fugitivas'!G130</f>
        <v>0</v>
      </c>
      <c r="H159" s="109">
        <f>'Emissões Fugitivas'!H130</f>
        <v>0</v>
      </c>
      <c r="I159" s="109" t="str">
        <f>'Emissões Fugitivas'!I130</f>
        <v/>
      </c>
      <c r="J159" s="22" t="e">
        <f>IF(VLOOKUP(B159,'Dados gerais'!$D$33:$F$35,3,FALSE)="",2,VLOOKUP(B159,'Dados gerais'!$D$33:$F$35,3,FALSE))</f>
        <v>#N/A</v>
      </c>
      <c r="K159" s="22" t="str">
        <f t="shared" si="18"/>
        <v/>
      </c>
      <c r="L159" s="22" t="str">
        <f t="shared" si="19"/>
        <v/>
      </c>
      <c r="M159" s="22" t="str">
        <f t="shared" si="20"/>
        <v/>
      </c>
      <c r="N159" s="114" t="str">
        <f t="shared" si="14"/>
        <v/>
      </c>
      <c r="O159" s="114" t="str">
        <f>IF(C159=$B$68,$E$90*H159*'Fatores de Emissão'!$E$250,"")</f>
        <v/>
      </c>
      <c r="P159" s="114" t="str">
        <f>IF(C159=$B$68,$E$89*H159*'Fatores de Emissão'!$E$251,"")</f>
        <v/>
      </c>
      <c r="Q159" s="114" t="str">
        <f>IF(C159=$B$69,$E$92*H159*'Fatores de Emissão'!$E$250/1000,"")</f>
        <v/>
      </c>
      <c r="R159" s="114" t="str">
        <f>IF(C159=$B$69,$E$91*H159*'Fatores de Emissão'!$E$251/1000,"")</f>
        <v/>
      </c>
      <c r="S159" s="115" t="str">
        <f t="shared" si="23"/>
        <v/>
      </c>
      <c r="T159" s="115" t="str">
        <f t="shared" si="24"/>
        <v/>
      </c>
      <c r="U159" s="115" t="str">
        <f t="shared" si="25"/>
        <v/>
      </c>
      <c r="V159" s="22" t="str" cm="1">
        <f t="array" ref="V159">_xlfn.IFS(G159&gt;0,G159,N159&gt;0,N159)</f>
        <v/>
      </c>
      <c r="W159" s="22" t="e">
        <f t="shared" si="21"/>
        <v>#N/A</v>
      </c>
      <c r="X159" s="22">
        <f t="shared" si="22"/>
        <v>0</v>
      </c>
    </row>
    <row r="160" spans="2:24" x14ac:dyDescent="0.35">
      <c r="B160" s="109">
        <f>'Emissões Fugitivas'!B131</f>
        <v>0</v>
      </c>
      <c r="C160" s="109">
        <f>'Emissões Fugitivas'!C131</f>
        <v>0</v>
      </c>
      <c r="D160" s="109">
        <f>'Emissões Fugitivas'!D131</f>
        <v>0</v>
      </c>
      <c r="E160" s="109">
        <f>'Emissões Fugitivas'!E131</f>
        <v>0</v>
      </c>
      <c r="F160" s="109" t="str">
        <f>'Emissões Fugitivas'!F131</f>
        <v/>
      </c>
      <c r="G160" s="109">
        <f>'Emissões Fugitivas'!G131</f>
        <v>0</v>
      </c>
      <c r="H160" s="109">
        <f>'Emissões Fugitivas'!H131</f>
        <v>0</v>
      </c>
      <c r="I160" s="109" t="str">
        <f>'Emissões Fugitivas'!I131</f>
        <v/>
      </c>
      <c r="J160" s="22" t="e">
        <f>IF(VLOOKUP(B160,'Dados gerais'!$D$33:$F$35,3,FALSE)="",2,VLOOKUP(B160,'Dados gerais'!$D$33:$F$35,3,FALSE))</f>
        <v>#N/A</v>
      </c>
      <c r="K160" s="22" t="str">
        <f t="shared" si="18"/>
        <v/>
      </c>
      <c r="L160" s="22" t="str">
        <f t="shared" si="19"/>
        <v/>
      </c>
      <c r="M160" s="22" t="str">
        <f t="shared" si="20"/>
        <v/>
      </c>
      <c r="N160" s="114" t="str">
        <f t="shared" si="14"/>
        <v/>
      </c>
      <c r="O160" s="114" t="str">
        <f>IF(C160=$B$68,$E$90*H160*'Fatores de Emissão'!$E$250,"")</f>
        <v/>
      </c>
      <c r="P160" s="114" t="str">
        <f>IF(C160=$B$68,$E$89*H160*'Fatores de Emissão'!$E$251,"")</f>
        <v/>
      </c>
      <c r="Q160" s="114" t="str">
        <f>IF(C160=$B$69,$E$92*H160*'Fatores de Emissão'!$E$250/1000,"")</f>
        <v/>
      </c>
      <c r="R160" s="114" t="str">
        <f>IF(C160=$B$69,$E$91*H160*'Fatores de Emissão'!$E$251/1000,"")</f>
        <v/>
      </c>
      <c r="S160" s="115" t="str">
        <f t="shared" si="23"/>
        <v/>
      </c>
      <c r="T160" s="115" t="str">
        <f t="shared" si="24"/>
        <v/>
      </c>
      <c r="U160" s="115" t="str">
        <f t="shared" si="25"/>
        <v/>
      </c>
      <c r="V160" s="22" t="str" cm="1">
        <f t="array" ref="V160">_xlfn.IFS(G160&gt;0,G160,N160&gt;0,N160)</f>
        <v/>
      </c>
      <c r="W160" s="22" t="e">
        <f t="shared" si="21"/>
        <v>#N/A</v>
      </c>
      <c r="X160" s="22">
        <f t="shared" si="22"/>
        <v>0</v>
      </c>
    </row>
    <row r="161" spans="2:24" x14ac:dyDescent="0.35">
      <c r="B161" s="109">
        <f>'Emissões Fugitivas'!B132</f>
        <v>0</v>
      </c>
      <c r="C161" s="109">
        <f>'Emissões Fugitivas'!C132</f>
        <v>0</v>
      </c>
      <c r="D161" s="109">
        <f>'Emissões Fugitivas'!D132</f>
        <v>0</v>
      </c>
      <c r="E161" s="109">
        <f>'Emissões Fugitivas'!E132</f>
        <v>0</v>
      </c>
      <c r="F161" s="109" t="str">
        <f>'Emissões Fugitivas'!F132</f>
        <v/>
      </c>
      <c r="G161" s="109">
        <f>'Emissões Fugitivas'!G132</f>
        <v>0</v>
      </c>
      <c r="H161" s="109">
        <f>'Emissões Fugitivas'!H132</f>
        <v>0</v>
      </c>
      <c r="I161" s="109" t="str">
        <f>'Emissões Fugitivas'!I132</f>
        <v/>
      </c>
      <c r="J161" s="22" t="e">
        <f>IF(VLOOKUP(B161,'Dados gerais'!$D$33:$F$35,3,FALSE)="",2,VLOOKUP(B161,'Dados gerais'!$D$33:$F$35,3,FALSE))</f>
        <v>#N/A</v>
      </c>
      <c r="K161" s="22" t="str">
        <f t="shared" si="18"/>
        <v/>
      </c>
      <c r="L161" s="22" t="str">
        <f t="shared" si="19"/>
        <v/>
      </c>
      <c r="M161" s="22" t="str">
        <f t="shared" si="20"/>
        <v/>
      </c>
      <c r="N161" s="114" t="str">
        <f t="shared" si="14"/>
        <v/>
      </c>
      <c r="O161" s="114" t="str">
        <f>IF(C161=$B$68,$E$90*H161*'Fatores de Emissão'!$E$250,"")</f>
        <v/>
      </c>
      <c r="P161" s="114" t="str">
        <f>IF(C161=$B$68,$E$89*H161*'Fatores de Emissão'!$E$251,"")</f>
        <v/>
      </c>
      <c r="Q161" s="114" t="str">
        <f>IF(C161=$B$69,$E$92*H161*'Fatores de Emissão'!$E$250/1000,"")</f>
        <v/>
      </c>
      <c r="R161" s="114" t="str">
        <f>IF(C161=$B$69,$E$91*H161*'Fatores de Emissão'!$E$251/1000,"")</f>
        <v/>
      </c>
      <c r="S161" s="115" t="str">
        <f t="shared" si="23"/>
        <v/>
      </c>
      <c r="T161" s="115" t="str">
        <f t="shared" si="24"/>
        <v/>
      </c>
      <c r="U161" s="115" t="str">
        <f t="shared" si="25"/>
        <v/>
      </c>
      <c r="V161" s="22" t="str" cm="1">
        <f t="array" ref="V161">_xlfn.IFS(G161&gt;0,G161,N161&gt;0,N161)</f>
        <v/>
      </c>
      <c r="W161" s="22" t="e">
        <f t="shared" si="21"/>
        <v>#N/A</v>
      </c>
      <c r="X161" s="22">
        <f t="shared" si="22"/>
        <v>0</v>
      </c>
    </row>
    <row r="162" spans="2:24" x14ac:dyDescent="0.35">
      <c r="B162" s="109">
        <f>'Emissões Fugitivas'!B133</f>
        <v>0</v>
      </c>
      <c r="C162" s="109">
        <f>'Emissões Fugitivas'!C133</f>
        <v>0</v>
      </c>
      <c r="D162" s="109">
        <f>'Emissões Fugitivas'!D133</f>
        <v>0</v>
      </c>
      <c r="E162" s="109">
        <f>'Emissões Fugitivas'!E133</f>
        <v>0</v>
      </c>
      <c r="F162" s="109" t="str">
        <f>'Emissões Fugitivas'!F133</f>
        <v/>
      </c>
      <c r="G162" s="109">
        <f>'Emissões Fugitivas'!G133</f>
        <v>0</v>
      </c>
      <c r="H162" s="109">
        <f>'Emissões Fugitivas'!H133</f>
        <v>0</v>
      </c>
      <c r="I162" s="109" t="str">
        <f>'Emissões Fugitivas'!I133</f>
        <v/>
      </c>
      <c r="J162" s="22" t="e">
        <f>IF(VLOOKUP(B162,'Dados gerais'!$D$33:$F$35,3,FALSE)="",2,VLOOKUP(B162,'Dados gerais'!$D$33:$F$35,3,FALSE))</f>
        <v>#N/A</v>
      </c>
      <c r="K162" s="22" t="str">
        <f t="shared" si="18"/>
        <v/>
      </c>
      <c r="L162" s="22" t="str">
        <f t="shared" si="19"/>
        <v/>
      </c>
      <c r="M162" s="22" t="str">
        <f t="shared" si="20"/>
        <v/>
      </c>
      <c r="N162" s="114" t="str">
        <f t="shared" si="14"/>
        <v/>
      </c>
      <c r="O162" s="114" t="str">
        <f>IF(C162=$B$68,$E$90*H162*'Fatores de Emissão'!$E$250,"")</f>
        <v/>
      </c>
      <c r="P162" s="114" t="str">
        <f>IF(C162=$B$68,$E$89*H162*'Fatores de Emissão'!$E$251,"")</f>
        <v/>
      </c>
      <c r="Q162" s="114" t="str">
        <f>IF(C162=$B$69,$E$92*H162*'Fatores de Emissão'!$E$250/1000,"")</f>
        <v/>
      </c>
      <c r="R162" s="114" t="str">
        <f>IF(C162=$B$69,$E$91*H162*'Fatores de Emissão'!$E$251/1000,"")</f>
        <v/>
      </c>
      <c r="S162" s="115" t="str">
        <f t="shared" si="23"/>
        <v/>
      </c>
      <c r="T162" s="115" t="str">
        <f t="shared" si="24"/>
        <v/>
      </c>
      <c r="U162" s="115" t="str">
        <f t="shared" si="25"/>
        <v/>
      </c>
      <c r="V162" s="22" t="str" cm="1">
        <f t="array" ref="V162">_xlfn.IFS(G162&gt;0,G162,N162&gt;0,N162)</f>
        <v/>
      </c>
      <c r="W162" s="22" t="e">
        <f t="shared" si="21"/>
        <v>#N/A</v>
      </c>
      <c r="X162" s="22">
        <f t="shared" si="22"/>
        <v>0</v>
      </c>
    </row>
    <row r="163" spans="2:24" x14ac:dyDescent="0.35">
      <c r="B163" s="109">
        <f>'Emissões Fugitivas'!B134</f>
        <v>0</v>
      </c>
      <c r="C163" s="109">
        <f>'Emissões Fugitivas'!C134</f>
        <v>0</v>
      </c>
      <c r="D163" s="109">
        <f>'Emissões Fugitivas'!D134</f>
        <v>0</v>
      </c>
      <c r="E163" s="109">
        <f>'Emissões Fugitivas'!E134</f>
        <v>0</v>
      </c>
      <c r="F163" s="109" t="str">
        <f>'Emissões Fugitivas'!F134</f>
        <v/>
      </c>
      <c r="G163" s="109">
        <f>'Emissões Fugitivas'!G134</f>
        <v>0</v>
      </c>
      <c r="H163" s="109">
        <f>'Emissões Fugitivas'!H134</f>
        <v>0</v>
      </c>
      <c r="I163" s="109" t="str">
        <f>'Emissões Fugitivas'!I134</f>
        <v/>
      </c>
      <c r="J163" s="22" t="e">
        <f>IF(VLOOKUP(B163,'Dados gerais'!$D$33:$F$35,3,FALSE)="",2,VLOOKUP(B163,'Dados gerais'!$D$33:$F$35,3,FALSE))</f>
        <v>#N/A</v>
      </c>
      <c r="K163" s="22" t="str">
        <f t="shared" si="18"/>
        <v/>
      </c>
      <c r="L163" s="22" t="str">
        <f t="shared" si="19"/>
        <v/>
      </c>
      <c r="M163" s="22" t="str">
        <f t="shared" si="20"/>
        <v/>
      </c>
      <c r="N163" s="114" t="str">
        <f t="shared" si="14"/>
        <v/>
      </c>
      <c r="O163" s="114" t="str">
        <f>IF(C163=$B$68,$E$90*H163*'Fatores de Emissão'!$E$250,"")</f>
        <v/>
      </c>
      <c r="P163" s="114" t="str">
        <f>IF(C163=$B$68,$E$89*H163*'Fatores de Emissão'!$E$251,"")</f>
        <v/>
      </c>
      <c r="Q163" s="114" t="str">
        <f>IF(C163=$B$69,$E$92*H163*'Fatores de Emissão'!$E$250/1000,"")</f>
        <v/>
      </c>
      <c r="R163" s="114" t="str">
        <f>IF(C163=$B$69,$E$91*H163*'Fatores de Emissão'!$E$251/1000,"")</f>
        <v/>
      </c>
      <c r="S163" s="115" t="str">
        <f t="shared" si="23"/>
        <v/>
      </c>
      <c r="T163" s="115" t="str">
        <f t="shared" si="24"/>
        <v/>
      </c>
      <c r="U163" s="115" t="str">
        <f t="shared" si="25"/>
        <v/>
      </c>
      <c r="V163" s="22" t="str" cm="1">
        <f t="array" ref="V163">_xlfn.IFS(G163&gt;0,G163,N163&gt;0,N163)</f>
        <v/>
      </c>
      <c r="W163" s="22" t="e">
        <f t="shared" si="21"/>
        <v>#N/A</v>
      </c>
      <c r="X163" s="22">
        <f t="shared" si="22"/>
        <v>0</v>
      </c>
    </row>
    <row r="164" spans="2:24" x14ac:dyDescent="0.35">
      <c r="B164" s="109">
        <f>'Emissões Fugitivas'!B135</f>
        <v>0</v>
      </c>
      <c r="C164" s="109">
        <f>'Emissões Fugitivas'!C135</f>
        <v>0</v>
      </c>
      <c r="D164" s="109">
        <f>'Emissões Fugitivas'!D135</f>
        <v>0</v>
      </c>
      <c r="E164" s="109">
        <f>'Emissões Fugitivas'!E135</f>
        <v>0</v>
      </c>
      <c r="F164" s="109" t="str">
        <f>'Emissões Fugitivas'!F135</f>
        <v/>
      </c>
      <c r="G164" s="109">
        <f>'Emissões Fugitivas'!G135</f>
        <v>0</v>
      </c>
      <c r="H164" s="109">
        <f>'Emissões Fugitivas'!H135</f>
        <v>0</v>
      </c>
      <c r="I164" s="109" t="str">
        <f>'Emissões Fugitivas'!I135</f>
        <v/>
      </c>
      <c r="J164" s="22" t="e">
        <f>IF(VLOOKUP(B164,'Dados gerais'!$D$33:$F$35,3,FALSE)="",2,VLOOKUP(B164,'Dados gerais'!$D$33:$F$35,3,FALSE))</f>
        <v>#N/A</v>
      </c>
      <c r="K164" s="22" t="str">
        <f t="shared" si="18"/>
        <v/>
      </c>
      <c r="L164" s="22" t="str">
        <f t="shared" si="19"/>
        <v/>
      </c>
      <c r="M164" s="22" t="str">
        <f t="shared" si="20"/>
        <v/>
      </c>
      <c r="N164" s="114" t="str">
        <f t="shared" si="14"/>
        <v/>
      </c>
      <c r="O164" s="114" t="str">
        <f>IF(C164=$B$68,$E$90*H164*'Fatores de Emissão'!$E$250,"")</f>
        <v/>
      </c>
      <c r="P164" s="114" t="str">
        <f>IF(C164=$B$68,$E$89*H164*'Fatores de Emissão'!$E$251,"")</f>
        <v/>
      </c>
      <c r="Q164" s="114" t="str">
        <f>IF(C164=$B$69,$E$92*H164*'Fatores de Emissão'!$E$250/1000,"")</f>
        <v/>
      </c>
      <c r="R164" s="114" t="str">
        <f>IF(C164=$B$69,$E$91*H164*'Fatores de Emissão'!$E$251/1000,"")</f>
        <v/>
      </c>
      <c r="S164" s="115" t="str">
        <f t="shared" si="23"/>
        <v/>
      </c>
      <c r="T164" s="115" t="str">
        <f t="shared" si="24"/>
        <v/>
      </c>
      <c r="U164" s="115" t="str">
        <f t="shared" si="25"/>
        <v/>
      </c>
      <c r="V164" s="22" t="str" cm="1">
        <f t="array" ref="V164">_xlfn.IFS(G164&gt;0,G164,N164&gt;0,N164)</f>
        <v/>
      </c>
      <c r="W164" s="22" t="e">
        <f t="shared" si="21"/>
        <v>#N/A</v>
      </c>
      <c r="X164" s="22">
        <f t="shared" si="22"/>
        <v>0</v>
      </c>
    </row>
    <row r="165" spans="2:24" x14ac:dyDescent="0.35">
      <c r="B165" s="109">
        <f>'Emissões Fugitivas'!B136</f>
        <v>0</v>
      </c>
      <c r="C165" s="109">
        <f>'Emissões Fugitivas'!C136</f>
        <v>0</v>
      </c>
      <c r="D165" s="109">
        <f>'Emissões Fugitivas'!D136</f>
        <v>0</v>
      </c>
      <c r="E165" s="109">
        <f>'Emissões Fugitivas'!E136</f>
        <v>0</v>
      </c>
      <c r="F165" s="109" t="str">
        <f>'Emissões Fugitivas'!F136</f>
        <v/>
      </c>
      <c r="G165" s="109">
        <f>'Emissões Fugitivas'!G136</f>
        <v>0</v>
      </c>
      <c r="H165" s="109">
        <f>'Emissões Fugitivas'!H136</f>
        <v>0</v>
      </c>
      <c r="I165" s="109" t="str">
        <f>'Emissões Fugitivas'!I136</f>
        <v/>
      </c>
      <c r="J165" s="22" t="e">
        <f>IF(VLOOKUP(B165,'Dados gerais'!$D$33:$F$35,3,FALSE)="",2,VLOOKUP(B165,'Dados gerais'!$D$33:$F$35,3,FALSE))</f>
        <v>#N/A</v>
      </c>
      <c r="K165" s="22" t="str">
        <f t="shared" si="18"/>
        <v/>
      </c>
      <c r="L165" s="22" t="str">
        <f t="shared" si="19"/>
        <v/>
      </c>
      <c r="M165" s="22" t="str">
        <f t="shared" si="20"/>
        <v/>
      </c>
      <c r="N165" s="114" t="str">
        <f t="shared" si="14"/>
        <v/>
      </c>
      <c r="O165" s="114" t="str">
        <f>IF(C165=$B$68,$E$90*H165*'Fatores de Emissão'!$E$250,"")</f>
        <v/>
      </c>
      <c r="P165" s="114" t="str">
        <f>IF(C165=$B$68,$E$89*H165*'Fatores de Emissão'!$E$251,"")</f>
        <v/>
      </c>
      <c r="Q165" s="114" t="str">
        <f>IF(C165=$B$69,$E$92*H165*'Fatores de Emissão'!$E$250/1000,"")</f>
        <v/>
      </c>
      <c r="R165" s="114" t="str">
        <f>IF(C165=$B$69,$E$91*H165*'Fatores de Emissão'!$E$251/1000,"")</f>
        <v/>
      </c>
      <c r="S165" s="115" t="str">
        <f t="shared" si="23"/>
        <v/>
      </c>
      <c r="T165" s="115" t="str">
        <f t="shared" si="24"/>
        <v/>
      </c>
      <c r="U165" s="115" t="str">
        <f t="shared" si="25"/>
        <v/>
      </c>
      <c r="V165" s="22" t="str" cm="1">
        <f t="array" ref="V165">_xlfn.IFS(G165&gt;0,G165,N165&gt;0,N165)</f>
        <v/>
      </c>
      <c r="W165" s="22" t="e">
        <f t="shared" si="21"/>
        <v>#N/A</v>
      </c>
      <c r="X165" s="22">
        <f t="shared" si="22"/>
        <v>0</v>
      </c>
    </row>
    <row r="166" spans="2:24" x14ac:dyDescent="0.35">
      <c r="B166" s="109">
        <f>'Emissões Fugitivas'!B137</f>
        <v>0</v>
      </c>
      <c r="C166" s="109">
        <f>'Emissões Fugitivas'!C137</f>
        <v>0</v>
      </c>
      <c r="D166" s="109">
        <f>'Emissões Fugitivas'!D137</f>
        <v>0</v>
      </c>
      <c r="E166" s="109">
        <f>'Emissões Fugitivas'!E137</f>
        <v>0</v>
      </c>
      <c r="F166" s="109" t="str">
        <f>'Emissões Fugitivas'!F137</f>
        <v/>
      </c>
      <c r="G166" s="109">
        <f>'Emissões Fugitivas'!G137</f>
        <v>0</v>
      </c>
      <c r="H166" s="109">
        <f>'Emissões Fugitivas'!H137</f>
        <v>0</v>
      </c>
      <c r="I166" s="109" t="str">
        <f>'Emissões Fugitivas'!I137</f>
        <v/>
      </c>
      <c r="J166" s="22" t="e">
        <f>IF(VLOOKUP(B166,'Dados gerais'!$D$33:$F$35,3,FALSE)="",2,VLOOKUP(B166,'Dados gerais'!$D$33:$F$35,3,FALSE))</f>
        <v>#N/A</v>
      </c>
      <c r="K166" s="22" t="str">
        <f t="shared" si="18"/>
        <v/>
      </c>
      <c r="L166" s="22" t="str">
        <f t="shared" si="19"/>
        <v/>
      </c>
      <c r="M166" s="22" t="str">
        <f t="shared" si="20"/>
        <v/>
      </c>
      <c r="N166" s="114" t="str">
        <f t="shared" si="14"/>
        <v/>
      </c>
      <c r="O166" s="114" t="str">
        <f>IF(C166=$B$68,$E$90*H166*'Fatores de Emissão'!$E$250,"")</f>
        <v/>
      </c>
      <c r="P166" s="114" t="str">
        <f>IF(C166=$B$68,$E$89*H166*'Fatores de Emissão'!$E$251,"")</f>
        <v/>
      </c>
      <c r="Q166" s="114" t="str">
        <f>IF(C166=$B$69,$E$92*H166*'Fatores de Emissão'!$E$250/1000,"")</f>
        <v/>
      </c>
      <c r="R166" s="114" t="str">
        <f>IF(C166=$B$69,$E$91*H166*'Fatores de Emissão'!$E$251/1000,"")</f>
        <v/>
      </c>
      <c r="S166" s="115" t="str">
        <f t="shared" si="23"/>
        <v/>
      </c>
      <c r="T166" s="115" t="str">
        <f t="shared" si="24"/>
        <v/>
      </c>
      <c r="U166" s="115" t="str">
        <f t="shared" si="25"/>
        <v/>
      </c>
      <c r="V166" s="22" t="str" cm="1">
        <f t="array" ref="V166">_xlfn.IFS(G166&gt;0,G166,N166&gt;0,N166)</f>
        <v/>
      </c>
      <c r="W166" s="22" t="e">
        <f t="shared" si="21"/>
        <v>#N/A</v>
      </c>
      <c r="X166" s="22">
        <f t="shared" si="22"/>
        <v>0</v>
      </c>
    </row>
    <row r="167" spans="2:24" x14ac:dyDescent="0.35">
      <c r="B167" s="109">
        <f>'Emissões Fugitivas'!B138</f>
        <v>0</v>
      </c>
      <c r="C167" s="109">
        <f>'Emissões Fugitivas'!C138</f>
        <v>0</v>
      </c>
      <c r="D167" s="109">
        <f>'Emissões Fugitivas'!D138</f>
        <v>0</v>
      </c>
      <c r="E167" s="109">
        <f>'Emissões Fugitivas'!E138</f>
        <v>0</v>
      </c>
      <c r="F167" s="109" t="str">
        <f>'Emissões Fugitivas'!F138</f>
        <v/>
      </c>
      <c r="G167" s="109">
        <f>'Emissões Fugitivas'!G138</f>
        <v>0</v>
      </c>
      <c r="H167" s="109">
        <f>'Emissões Fugitivas'!H138</f>
        <v>0</v>
      </c>
      <c r="I167" s="109" t="str">
        <f>'Emissões Fugitivas'!I138</f>
        <v/>
      </c>
      <c r="J167" s="22" t="e">
        <f>IF(VLOOKUP(B167,'Dados gerais'!$D$33:$F$35,3,FALSE)="",2,VLOOKUP(B167,'Dados gerais'!$D$33:$F$35,3,FALSE))</f>
        <v>#N/A</v>
      </c>
      <c r="K167" s="22" t="str">
        <f t="shared" si="18"/>
        <v/>
      </c>
      <c r="L167" s="22" t="str">
        <f t="shared" si="19"/>
        <v/>
      </c>
      <c r="M167" s="22" t="str">
        <f t="shared" si="20"/>
        <v/>
      </c>
      <c r="N167" s="114" t="str">
        <f t="shared" si="14"/>
        <v/>
      </c>
      <c r="O167" s="114" t="str">
        <f>IF(C167=$B$68,$E$90*H167*'Fatores de Emissão'!$E$250,"")</f>
        <v/>
      </c>
      <c r="P167" s="114" t="str">
        <f>IF(C167=$B$68,$E$89*H167*'Fatores de Emissão'!$E$251,"")</f>
        <v/>
      </c>
      <c r="Q167" s="114" t="str">
        <f>IF(C167=$B$69,$E$92*H167*'Fatores de Emissão'!$E$250/1000,"")</f>
        <v/>
      </c>
      <c r="R167" s="114" t="str">
        <f>IF(C167=$B$69,$E$91*H167*'Fatores de Emissão'!$E$251/1000,"")</f>
        <v/>
      </c>
      <c r="S167" s="115" t="str">
        <f t="shared" si="23"/>
        <v/>
      </c>
      <c r="T167" s="115" t="str">
        <f t="shared" si="24"/>
        <v/>
      </c>
      <c r="U167" s="115" t="str">
        <f t="shared" si="25"/>
        <v/>
      </c>
      <c r="V167" s="22" t="str" cm="1">
        <f t="array" ref="V167">_xlfn.IFS(G167&gt;0,G167,N167&gt;0,N167)</f>
        <v/>
      </c>
      <c r="W167" s="22" t="e">
        <f t="shared" si="21"/>
        <v>#N/A</v>
      </c>
      <c r="X167" s="22">
        <f t="shared" si="22"/>
        <v>0</v>
      </c>
    </row>
    <row r="168" spans="2:24" x14ac:dyDescent="0.35">
      <c r="B168" s="109">
        <f>'Emissões Fugitivas'!B139</f>
        <v>0</v>
      </c>
      <c r="C168" s="109">
        <f>'Emissões Fugitivas'!C139</f>
        <v>0</v>
      </c>
      <c r="D168" s="109">
        <f>'Emissões Fugitivas'!D139</f>
        <v>0</v>
      </c>
      <c r="E168" s="109">
        <f>'Emissões Fugitivas'!E139</f>
        <v>0</v>
      </c>
      <c r="F168" s="109" t="str">
        <f>'Emissões Fugitivas'!F139</f>
        <v/>
      </c>
      <c r="G168" s="109">
        <f>'Emissões Fugitivas'!G139</f>
        <v>0</v>
      </c>
      <c r="H168" s="109">
        <f>'Emissões Fugitivas'!H139</f>
        <v>0</v>
      </c>
      <c r="I168" s="109" t="str">
        <f>'Emissões Fugitivas'!I139</f>
        <v/>
      </c>
      <c r="J168" s="22" t="e">
        <f>IF(VLOOKUP(B168,'Dados gerais'!$D$33:$F$35,3,FALSE)="",2,VLOOKUP(B168,'Dados gerais'!$D$33:$F$35,3,FALSE))</f>
        <v>#N/A</v>
      </c>
      <c r="K168" s="22" t="str">
        <f t="shared" si="18"/>
        <v/>
      </c>
      <c r="L168" s="22" t="str">
        <f t="shared" si="19"/>
        <v/>
      </c>
      <c r="M168" s="22" t="str">
        <f t="shared" si="20"/>
        <v/>
      </c>
      <c r="N168" s="114" t="str">
        <f t="shared" si="14"/>
        <v/>
      </c>
      <c r="O168" s="114" t="str">
        <f>IF(C168=$B$68,$E$90*H168*'Fatores de Emissão'!$E$250,"")</f>
        <v/>
      </c>
      <c r="P168" s="114" t="str">
        <f>IF(C168=$B$68,$E$89*H168*'Fatores de Emissão'!$E$251,"")</f>
        <v/>
      </c>
      <c r="Q168" s="114" t="str">
        <f>IF(C168=$B$69,$E$92*H168*'Fatores de Emissão'!$E$250/1000,"")</f>
        <v/>
      </c>
      <c r="R168" s="114" t="str">
        <f>IF(C168=$B$69,$E$91*H168*'Fatores de Emissão'!$E$251/1000,"")</f>
        <v/>
      </c>
      <c r="S168" s="115" t="str">
        <f t="shared" si="23"/>
        <v/>
      </c>
      <c r="T168" s="115" t="str">
        <f t="shared" si="24"/>
        <v/>
      </c>
      <c r="U168" s="115" t="str">
        <f t="shared" si="25"/>
        <v/>
      </c>
      <c r="V168" s="22" t="str" cm="1">
        <f t="array" ref="V168">_xlfn.IFS(G168&gt;0,G168,N168&gt;0,N168)</f>
        <v/>
      </c>
      <c r="W168" s="22" t="e">
        <f t="shared" si="21"/>
        <v>#N/A</v>
      </c>
      <c r="X168" s="22">
        <f t="shared" si="22"/>
        <v>0</v>
      </c>
    </row>
    <row r="169" spans="2:24" x14ac:dyDescent="0.35">
      <c r="B169" s="109">
        <f>'Emissões Fugitivas'!B140</f>
        <v>0</v>
      </c>
      <c r="C169" s="109">
        <f>'Emissões Fugitivas'!C140</f>
        <v>0</v>
      </c>
      <c r="D169" s="109">
        <f>'Emissões Fugitivas'!D140</f>
        <v>0</v>
      </c>
      <c r="E169" s="109">
        <f>'Emissões Fugitivas'!E140</f>
        <v>0</v>
      </c>
      <c r="F169" s="109" t="str">
        <f>'Emissões Fugitivas'!F140</f>
        <v/>
      </c>
      <c r="G169" s="109">
        <f>'Emissões Fugitivas'!G140</f>
        <v>0</v>
      </c>
      <c r="H169" s="109">
        <f>'Emissões Fugitivas'!H140</f>
        <v>0</v>
      </c>
      <c r="I169" s="109" t="str">
        <f>'Emissões Fugitivas'!I140</f>
        <v/>
      </c>
      <c r="J169" s="22" t="e">
        <f>IF(VLOOKUP(B169,'Dados gerais'!$D$33:$F$35,3,FALSE)="",2,VLOOKUP(B169,'Dados gerais'!$D$33:$F$35,3,FALSE))</f>
        <v>#N/A</v>
      </c>
      <c r="K169" s="22" t="str">
        <f t="shared" si="18"/>
        <v/>
      </c>
      <c r="L169" s="22" t="str">
        <f t="shared" si="19"/>
        <v/>
      </c>
      <c r="M169" s="22" t="str">
        <f t="shared" si="20"/>
        <v/>
      </c>
      <c r="N169" s="114" t="str">
        <f t="shared" si="14"/>
        <v/>
      </c>
      <c r="O169" s="114" t="str">
        <f>IF(C169=$B$68,$E$90*H169*'Fatores de Emissão'!$E$250,"")</f>
        <v/>
      </c>
      <c r="P169" s="114" t="str">
        <f>IF(C169=$B$68,$E$89*H169*'Fatores de Emissão'!$E$251,"")</f>
        <v/>
      </c>
      <c r="Q169" s="114" t="str">
        <f>IF(C169=$B$69,$E$92*H169*'Fatores de Emissão'!$E$250/1000,"")</f>
        <v/>
      </c>
      <c r="R169" s="114" t="str">
        <f>IF(C169=$B$69,$E$91*H169*'Fatores de Emissão'!$E$251/1000,"")</f>
        <v/>
      </c>
      <c r="S169" s="115" t="str">
        <f t="shared" si="23"/>
        <v/>
      </c>
      <c r="T169" s="115" t="str">
        <f t="shared" si="24"/>
        <v/>
      </c>
      <c r="U169" s="115" t="str">
        <f t="shared" si="25"/>
        <v/>
      </c>
      <c r="V169" s="22" t="str" cm="1">
        <f t="array" ref="V169">_xlfn.IFS(G169&gt;0,G169,N169&gt;0,N169)</f>
        <v/>
      </c>
      <c r="W169" s="22" t="e">
        <f t="shared" si="21"/>
        <v>#N/A</v>
      </c>
      <c r="X169" s="22">
        <f t="shared" si="22"/>
        <v>0</v>
      </c>
    </row>
    <row r="170" spans="2:24" x14ac:dyDescent="0.35">
      <c r="B170" s="109">
        <f>'Emissões Fugitivas'!B141</f>
        <v>0</v>
      </c>
      <c r="C170" s="109">
        <f>'Emissões Fugitivas'!C141</f>
        <v>0</v>
      </c>
      <c r="D170" s="109">
        <f>'Emissões Fugitivas'!D141</f>
        <v>0</v>
      </c>
      <c r="E170" s="109">
        <f>'Emissões Fugitivas'!E141</f>
        <v>0</v>
      </c>
      <c r="F170" s="109" t="str">
        <f>'Emissões Fugitivas'!F141</f>
        <v/>
      </c>
      <c r="G170" s="109">
        <f>'Emissões Fugitivas'!G141</f>
        <v>0</v>
      </c>
      <c r="H170" s="109">
        <f>'Emissões Fugitivas'!H141</f>
        <v>0</v>
      </c>
      <c r="I170" s="109" t="str">
        <f>'Emissões Fugitivas'!I141</f>
        <v/>
      </c>
      <c r="J170" s="22" t="e">
        <f>IF(VLOOKUP(B170,'Dados gerais'!$D$33:$F$35,3,FALSE)="",2,VLOOKUP(B170,'Dados gerais'!$D$33:$F$35,3,FALSE))</f>
        <v>#N/A</v>
      </c>
      <c r="K170" s="22" t="str">
        <f t="shared" si="18"/>
        <v/>
      </c>
      <c r="L170" s="22" t="str">
        <f t="shared" si="19"/>
        <v/>
      </c>
      <c r="M170" s="22" t="str">
        <f t="shared" si="20"/>
        <v/>
      </c>
      <c r="N170" s="114" t="str">
        <f t="shared" si="14"/>
        <v/>
      </c>
      <c r="O170" s="114" t="str">
        <f>IF(C170=$B$68,$E$90*H170*'Fatores de Emissão'!$E$250,"")</f>
        <v/>
      </c>
      <c r="P170" s="114" t="str">
        <f>IF(C170=$B$68,$E$89*H170*'Fatores de Emissão'!$E$251,"")</f>
        <v/>
      </c>
      <c r="Q170" s="114" t="str">
        <f>IF(C170=$B$69,$E$92*H170*'Fatores de Emissão'!$E$250/1000,"")</f>
        <v/>
      </c>
      <c r="R170" s="114" t="str">
        <f>IF(C170=$B$69,$E$91*H170*'Fatores de Emissão'!$E$251/1000,"")</f>
        <v/>
      </c>
      <c r="S170" s="115" t="str">
        <f t="shared" si="23"/>
        <v/>
      </c>
      <c r="T170" s="115" t="str">
        <f t="shared" si="24"/>
        <v/>
      </c>
      <c r="U170" s="115" t="str">
        <f t="shared" si="25"/>
        <v/>
      </c>
      <c r="V170" s="22" t="str" cm="1">
        <f t="array" ref="V170">_xlfn.IFS(G170&gt;0,G170,N170&gt;0,N170)</f>
        <v/>
      </c>
      <c r="W170" s="22" t="e">
        <f t="shared" si="21"/>
        <v>#N/A</v>
      </c>
      <c r="X170" s="22">
        <f t="shared" si="22"/>
        <v>0</v>
      </c>
    </row>
    <row r="171" spans="2:24" x14ac:dyDescent="0.35">
      <c r="B171" s="109">
        <f>'Emissões Fugitivas'!B142</f>
        <v>0</v>
      </c>
      <c r="C171" s="109">
        <f>'Emissões Fugitivas'!C142</f>
        <v>0</v>
      </c>
      <c r="D171" s="109">
        <f>'Emissões Fugitivas'!D142</f>
        <v>0</v>
      </c>
      <c r="E171" s="109">
        <f>'Emissões Fugitivas'!E142</f>
        <v>0</v>
      </c>
      <c r="F171" s="109" t="str">
        <f>'Emissões Fugitivas'!F142</f>
        <v/>
      </c>
      <c r="G171" s="109">
        <f>'Emissões Fugitivas'!G142</f>
        <v>0</v>
      </c>
      <c r="H171" s="109">
        <f>'Emissões Fugitivas'!H142</f>
        <v>0</v>
      </c>
      <c r="I171" s="109" t="str">
        <f>'Emissões Fugitivas'!I142</f>
        <v/>
      </c>
      <c r="J171" s="22" t="e">
        <f>IF(VLOOKUP(B171,'Dados gerais'!$D$33:$F$35,3,FALSE)="",2,VLOOKUP(B171,'Dados gerais'!$D$33:$F$35,3,FALSE))</f>
        <v>#N/A</v>
      </c>
      <c r="K171" s="22" t="str">
        <f t="shared" si="18"/>
        <v/>
      </c>
      <c r="L171" s="22" t="str">
        <f t="shared" si="19"/>
        <v/>
      </c>
      <c r="M171" s="22" t="str">
        <f t="shared" si="20"/>
        <v/>
      </c>
      <c r="N171" s="114" t="str">
        <f t="shared" si="14"/>
        <v/>
      </c>
      <c r="O171" s="114" t="str">
        <f>IF(C171=$B$68,$E$90*H171*'Fatores de Emissão'!$E$250,"")</f>
        <v/>
      </c>
      <c r="P171" s="114" t="str">
        <f>IF(C171=$B$68,$E$89*H171*'Fatores de Emissão'!$E$251,"")</f>
        <v/>
      </c>
      <c r="Q171" s="114" t="str">
        <f>IF(C171=$B$69,$E$92*H171*'Fatores de Emissão'!$E$250/1000,"")</f>
        <v/>
      </c>
      <c r="R171" s="114" t="str">
        <f>IF(C171=$B$69,$E$91*H171*'Fatores de Emissão'!$E$251/1000,"")</f>
        <v/>
      </c>
      <c r="S171" s="115" t="str">
        <f t="shared" si="23"/>
        <v/>
      </c>
      <c r="T171" s="115" t="str">
        <f t="shared" si="24"/>
        <v/>
      </c>
      <c r="U171" s="115" t="str">
        <f t="shared" si="25"/>
        <v/>
      </c>
      <c r="V171" s="22" t="str" cm="1">
        <f t="array" ref="V171">_xlfn.IFS(G171&gt;0,G171,N171&gt;0,N171)</f>
        <v/>
      </c>
      <c r="W171" s="22" t="e">
        <f t="shared" si="21"/>
        <v>#N/A</v>
      </c>
      <c r="X171" s="22">
        <f t="shared" si="22"/>
        <v>0</v>
      </c>
    </row>
    <row r="172" spans="2:24" x14ac:dyDescent="0.35">
      <c r="B172" s="109">
        <f>'Emissões Fugitivas'!B143</f>
        <v>0</v>
      </c>
      <c r="C172" s="109">
        <f>'Emissões Fugitivas'!C143</f>
        <v>0</v>
      </c>
      <c r="D172" s="109">
        <f>'Emissões Fugitivas'!D143</f>
        <v>0</v>
      </c>
      <c r="E172" s="109">
        <f>'Emissões Fugitivas'!E143</f>
        <v>0</v>
      </c>
      <c r="F172" s="109" t="str">
        <f>'Emissões Fugitivas'!F143</f>
        <v/>
      </c>
      <c r="G172" s="109">
        <f>'Emissões Fugitivas'!G143</f>
        <v>0</v>
      </c>
      <c r="H172" s="109">
        <f>'Emissões Fugitivas'!H143</f>
        <v>0</v>
      </c>
      <c r="I172" s="109" t="str">
        <f>'Emissões Fugitivas'!I143</f>
        <v/>
      </c>
      <c r="J172" s="22" t="e">
        <f>IF(VLOOKUP(B172,'Dados gerais'!$D$33:$F$35,3,FALSE)="",2,VLOOKUP(B172,'Dados gerais'!$D$33:$F$35,3,FALSE))</f>
        <v>#N/A</v>
      </c>
      <c r="K172" s="22" t="str">
        <f t="shared" si="18"/>
        <v/>
      </c>
      <c r="L172" s="22" t="str">
        <f t="shared" si="19"/>
        <v/>
      </c>
      <c r="M172" s="22" t="str">
        <f t="shared" si="20"/>
        <v/>
      </c>
      <c r="N172" s="114" t="str">
        <f t="shared" si="14"/>
        <v/>
      </c>
      <c r="O172" s="114" t="str">
        <f>IF(C172=$B$68,$E$90*H172*'Fatores de Emissão'!$E$250,"")</f>
        <v/>
      </c>
      <c r="P172" s="114" t="str">
        <f>IF(C172=$B$68,$E$89*H172*'Fatores de Emissão'!$E$251,"")</f>
        <v/>
      </c>
      <c r="Q172" s="114" t="str">
        <f>IF(C172=$B$69,$E$92*H172*'Fatores de Emissão'!$E$250/1000,"")</f>
        <v/>
      </c>
      <c r="R172" s="114" t="str">
        <f>IF(C172=$B$69,$E$91*H172*'Fatores de Emissão'!$E$251/1000,"")</f>
        <v/>
      </c>
      <c r="S172" s="115" t="str">
        <f t="shared" si="23"/>
        <v/>
      </c>
      <c r="T172" s="115" t="str">
        <f t="shared" si="24"/>
        <v/>
      </c>
      <c r="U172" s="115" t="str">
        <f t="shared" si="25"/>
        <v/>
      </c>
      <c r="V172" s="22" t="str" cm="1">
        <f t="array" ref="V172">_xlfn.IFS(G172&gt;0,G172,N172&gt;0,N172)</f>
        <v/>
      </c>
      <c r="W172" s="22" t="e">
        <f t="shared" si="21"/>
        <v>#N/A</v>
      </c>
      <c r="X172" s="22">
        <f t="shared" si="22"/>
        <v>0</v>
      </c>
    </row>
    <row r="173" spans="2:24" x14ac:dyDescent="0.35">
      <c r="B173" s="109">
        <f>'Emissões Fugitivas'!B144</f>
        <v>0</v>
      </c>
      <c r="C173" s="109">
        <f>'Emissões Fugitivas'!C144</f>
        <v>0</v>
      </c>
      <c r="D173" s="109">
        <f>'Emissões Fugitivas'!D144</f>
        <v>0</v>
      </c>
      <c r="E173" s="109">
        <f>'Emissões Fugitivas'!E144</f>
        <v>0</v>
      </c>
      <c r="F173" s="109" t="str">
        <f>'Emissões Fugitivas'!F144</f>
        <v/>
      </c>
      <c r="G173" s="109">
        <f>'Emissões Fugitivas'!G144</f>
        <v>0</v>
      </c>
      <c r="H173" s="109">
        <f>'Emissões Fugitivas'!H144</f>
        <v>0</v>
      </c>
      <c r="I173" s="109" t="str">
        <f>'Emissões Fugitivas'!I144</f>
        <v/>
      </c>
      <c r="J173" s="22" t="e">
        <f>IF(VLOOKUP(B173,'Dados gerais'!$D$33:$F$35,3,FALSE)="",2,VLOOKUP(B173,'Dados gerais'!$D$33:$F$35,3,FALSE))</f>
        <v>#N/A</v>
      </c>
      <c r="K173" s="22" t="str">
        <f t="shared" si="18"/>
        <v/>
      </c>
      <c r="L173" s="22" t="str">
        <f t="shared" si="19"/>
        <v/>
      </c>
      <c r="M173" s="22" t="str">
        <f t="shared" si="20"/>
        <v/>
      </c>
      <c r="N173" s="114" t="str">
        <f t="shared" si="14"/>
        <v/>
      </c>
      <c r="O173" s="114" t="str">
        <f>IF(C173=$B$68,$E$90*H173*'Fatores de Emissão'!$E$250,"")</f>
        <v/>
      </c>
      <c r="P173" s="114" t="str">
        <f>IF(C173=$B$68,$E$89*H173*'Fatores de Emissão'!$E$251,"")</f>
        <v/>
      </c>
      <c r="Q173" s="114" t="str">
        <f>IF(C173=$B$69,$E$92*H173*'Fatores de Emissão'!$E$250/1000,"")</f>
        <v/>
      </c>
      <c r="R173" s="114" t="str">
        <f>IF(C173=$B$69,$E$91*H173*'Fatores de Emissão'!$E$251/1000,"")</f>
        <v/>
      </c>
      <c r="S173" s="115" t="str">
        <f t="shared" si="23"/>
        <v/>
      </c>
      <c r="T173" s="115" t="str">
        <f t="shared" si="24"/>
        <v/>
      </c>
      <c r="U173" s="115" t="str">
        <f t="shared" si="25"/>
        <v/>
      </c>
      <c r="V173" s="22" t="str" cm="1">
        <f t="array" ref="V173">_xlfn.IFS(G173&gt;0,G173,N173&gt;0,N173)</f>
        <v/>
      </c>
      <c r="W173" s="22" t="e">
        <f t="shared" si="21"/>
        <v>#N/A</v>
      </c>
      <c r="X173" s="22">
        <f t="shared" si="22"/>
        <v>0</v>
      </c>
    </row>
    <row r="174" spans="2:24" x14ac:dyDescent="0.35">
      <c r="B174" s="109">
        <f>'Emissões Fugitivas'!B145</f>
        <v>0</v>
      </c>
      <c r="C174" s="109">
        <f>'Emissões Fugitivas'!C145</f>
        <v>0</v>
      </c>
      <c r="D174" s="109">
        <f>'Emissões Fugitivas'!D145</f>
        <v>0</v>
      </c>
      <c r="E174" s="109">
        <f>'Emissões Fugitivas'!E145</f>
        <v>0</v>
      </c>
      <c r="F174" s="109" t="str">
        <f>'Emissões Fugitivas'!F145</f>
        <v/>
      </c>
      <c r="G174" s="109">
        <f>'Emissões Fugitivas'!G145</f>
        <v>0</v>
      </c>
      <c r="H174" s="109">
        <f>'Emissões Fugitivas'!H145</f>
        <v>0</v>
      </c>
      <c r="I174" s="109" t="str">
        <f>'Emissões Fugitivas'!I145</f>
        <v/>
      </c>
      <c r="J174" s="22" t="e">
        <f>IF(VLOOKUP(B174,'Dados gerais'!$D$33:$F$35,3,FALSE)="",2,VLOOKUP(B174,'Dados gerais'!$D$33:$F$35,3,FALSE))</f>
        <v>#N/A</v>
      </c>
      <c r="K174" s="22" t="str">
        <f t="shared" si="18"/>
        <v/>
      </c>
      <c r="L174" s="22" t="str">
        <f t="shared" si="19"/>
        <v/>
      </c>
      <c r="M174" s="22" t="str">
        <f t="shared" si="20"/>
        <v/>
      </c>
      <c r="N174" s="114" t="str">
        <f t="shared" si="14"/>
        <v/>
      </c>
      <c r="O174" s="114" t="str">
        <f>IF(C174=$B$68,$E$90*H174*'Fatores de Emissão'!$E$250,"")</f>
        <v/>
      </c>
      <c r="P174" s="114" t="str">
        <f>IF(C174=$B$68,$E$89*H174*'Fatores de Emissão'!$E$251,"")</f>
        <v/>
      </c>
      <c r="Q174" s="114" t="str">
        <f>IF(C174=$B$69,$E$92*H174*'Fatores de Emissão'!$E$250/1000,"")</f>
        <v/>
      </c>
      <c r="R174" s="114" t="str">
        <f>IF(C174=$B$69,$E$91*H174*'Fatores de Emissão'!$E$251/1000,"")</f>
        <v/>
      </c>
      <c r="S174" s="115" t="str">
        <f t="shared" si="23"/>
        <v/>
      </c>
      <c r="T174" s="115" t="str">
        <f t="shared" si="24"/>
        <v/>
      </c>
      <c r="U174" s="115" t="str">
        <f t="shared" si="25"/>
        <v/>
      </c>
      <c r="V174" s="22" t="str" cm="1">
        <f t="array" ref="V174">_xlfn.IFS(G174&gt;0,G174,N174&gt;0,N174)</f>
        <v/>
      </c>
      <c r="W174" s="22" t="e">
        <f t="shared" si="21"/>
        <v>#N/A</v>
      </c>
      <c r="X174" s="22">
        <f t="shared" si="22"/>
        <v>0</v>
      </c>
    </row>
    <row r="175" spans="2:24" x14ac:dyDescent="0.35">
      <c r="B175" s="109">
        <f>'Emissões Fugitivas'!B146</f>
        <v>0</v>
      </c>
      <c r="C175" s="109">
        <f>'Emissões Fugitivas'!C146</f>
        <v>0</v>
      </c>
      <c r="D175" s="109">
        <f>'Emissões Fugitivas'!D146</f>
        <v>0</v>
      </c>
      <c r="E175" s="109">
        <f>'Emissões Fugitivas'!E146</f>
        <v>0</v>
      </c>
      <c r="F175" s="109" t="str">
        <f>'Emissões Fugitivas'!F146</f>
        <v/>
      </c>
      <c r="G175" s="109">
        <f>'Emissões Fugitivas'!G146</f>
        <v>0</v>
      </c>
      <c r="H175" s="109">
        <f>'Emissões Fugitivas'!H146</f>
        <v>0</v>
      </c>
      <c r="I175" s="109" t="str">
        <f>'Emissões Fugitivas'!I146</f>
        <v/>
      </c>
      <c r="J175" s="22" t="e">
        <f>IF(VLOOKUP(B175,'Dados gerais'!$D$33:$F$35,3,FALSE)="",2,VLOOKUP(B175,'Dados gerais'!$D$33:$F$35,3,FALSE))</f>
        <v>#N/A</v>
      </c>
      <c r="K175" s="22" t="str">
        <f t="shared" si="18"/>
        <v/>
      </c>
      <c r="L175" s="22" t="str">
        <f t="shared" si="19"/>
        <v/>
      </c>
      <c r="M175" s="22" t="str">
        <f t="shared" si="20"/>
        <v/>
      </c>
      <c r="N175" s="114" t="str">
        <f t="shared" si="14"/>
        <v/>
      </c>
      <c r="O175" s="114" t="str">
        <f>IF(C175=$B$68,$E$90*H175*'Fatores de Emissão'!$E$250,"")</f>
        <v/>
      </c>
      <c r="P175" s="114" t="str">
        <f>IF(C175=$B$68,$E$89*H175*'Fatores de Emissão'!$E$251,"")</f>
        <v/>
      </c>
      <c r="Q175" s="114" t="str">
        <f>IF(C175=$B$69,$E$92*H175*'Fatores de Emissão'!$E$250/1000,"")</f>
        <v/>
      </c>
      <c r="R175" s="114" t="str">
        <f>IF(C175=$B$69,$E$91*H175*'Fatores de Emissão'!$E$251/1000,"")</f>
        <v/>
      </c>
      <c r="S175" s="115" t="str">
        <f t="shared" ref="S175:S211" si="26">IF($C175=S$109,$E$96*$H175,"")</f>
        <v/>
      </c>
      <c r="T175" s="115" t="str">
        <f t="shared" ref="T175:T211" si="27">IF($C175=T$109,$E$104*$H175,"")</f>
        <v/>
      </c>
      <c r="U175" s="115" t="str">
        <f t="shared" ref="U175:U211" si="28">IF($C175=U$109,$E$100*$H175,"")</f>
        <v/>
      </c>
      <c r="V175" s="22" t="str" cm="1">
        <f t="array" ref="V175">_xlfn.IFS(G175&gt;0,G175,N175&gt;0,N175)</f>
        <v/>
      </c>
      <c r="W175" s="22" t="e">
        <f t="shared" si="21"/>
        <v>#N/A</v>
      </c>
      <c r="X175" s="22">
        <f t="shared" si="22"/>
        <v>0</v>
      </c>
    </row>
    <row r="176" spans="2:24" x14ac:dyDescent="0.35">
      <c r="B176" s="109">
        <f>'Emissões Fugitivas'!B147</f>
        <v>0</v>
      </c>
      <c r="C176" s="109">
        <f>'Emissões Fugitivas'!C147</f>
        <v>0</v>
      </c>
      <c r="D176" s="109">
        <f>'Emissões Fugitivas'!D147</f>
        <v>0</v>
      </c>
      <c r="E176" s="109">
        <f>'Emissões Fugitivas'!E147</f>
        <v>0</v>
      </c>
      <c r="F176" s="109" t="str">
        <f>'Emissões Fugitivas'!F147</f>
        <v/>
      </c>
      <c r="G176" s="109">
        <f>'Emissões Fugitivas'!G147</f>
        <v>0</v>
      </c>
      <c r="H176" s="109">
        <f>'Emissões Fugitivas'!H147</f>
        <v>0</v>
      </c>
      <c r="I176" s="109" t="str">
        <f>'Emissões Fugitivas'!I147</f>
        <v/>
      </c>
      <c r="J176" s="22" t="e">
        <f>IF(VLOOKUP(B176,'Dados gerais'!$D$33:$F$35,3,FALSE)="",2,VLOOKUP(B176,'Dados gerais'!$D$33:$F$35,3,FALSE))</f>
        <v>#N/A</v>
      </c>
      <c r="K176" s="22" t="str">
        <f t="shared" si="18"/>
        <v/>
      </c>
      <c r="L176" s="22" t="str">
        <f t="shared" si="19"/>
        <v/>
      </c>
      <c r="M176" s="22" t="str">
        <f t="shared" si="20"/>
        <v/>
      </c>
      <c r="N176" s="114" t="str">
        <f t="shared" ref="N176:N211" si="29">IFERROR((L176*H176+(K176*H176*J176))/J176,"")</f>
        <v/>
      </c>
      <c r="O176" s="114" t="str">
        <f>IF(C176=$B$68,$E$90*H176*'Fatores de Emissão'!$E$250,"")</f>
        <v/>
      </c>
      <c r="P176" s="114" t="str">
        <f>IF(C176=$B$68,$E$89*H176*'Fatores de Emissão'!$E$251,"")</f>
        <v/>
      </c>
      <c r="Q176" s="114" t="str">
        <f>IF(C176=$B$69,$E$92*H176*'Fatores de Emissão'!$E$250/1000,"")</f>
        <v/>
      </c>
      <c r="R176" s="114" t="str">
        <f>IF(C176=$B$69,$E$91*H176*'Fatores de Emissão'!$E$251/1000,"")</f>
        <v/>
      </c>
      <c r="S176" s="115" t="str">
        <f t="shared" si="26"/>
        <v/>
      </c>
      <c r="T176" s="115" t="str">
        <f t="shared" si="27"/>
        <v/>
      </c>
      <c r="U176" s="115" t="str">
        <f t="shared" si="28"/>
        <v/>
      </c>
      <c r="V176" s="22" t="str" cm="1">
        <f t="array" ref="V176">_xlfn.IFS(G176&gt;0,G176,N176&gt;0,N176)</f>
        <v/>
      </c>
      <c r="W176" s="22" t="e">
        <f t="shared" si="21"/>
        <v>#N/A</v>
      </c>
      <c r="X176" s="22">
        <f t="shared" si="22"/>
        <v>0</v>
      </c>
    </row>
    <row r="177" spans="2:24" x14ac:dyDescent="0.35">
      <c r="B177" s="109">
        <f>'Emissões Fugitivas'!B148</f>
        <v>0</v>
      </c>
      <c r="C177" s="109">
        <f>'Emissões Fugitivas'!C148</f>
        <v>0</v>
      </c>
      <c r="D177" s="109">
        <f>'Emissões Fugitivas'!D148</f>
        <v>0</v>
      </c>
      <c r="E177" s="109">
        <f>'Emissões Fugitivas'!E148</f>
        <v>0</v>
      </c>
      <c r="F177" s="109" t="str">
        <f>'Emissões Fugitivas'!F148</f>
        <v/>
      </c>
      <c r="G177" s="109">
        <f>'Emissões Fugitivas'!G148</f>
        <v>0</v>
      </c>
      <c r="H177" s="109">
        <f>'Emissões Fugitivas'!H148</f>
        <v>0</v>
      </c>
      <c r="I177" s="109" t="str">
        <f>'Emissões Fugitivas'!I148</f>
        <v/>
      </c>
      <c r="J177" s="22" t="e">
        <f>IF(VLOOKUP(B177,'Dados gerais'!$D$33:$F$35,3,FALSE)="",2,VLOOKUP(B177,'Dados gerais'!$D$33:$F$35,3,FALSE))</f>
        <v>#N/A</v>
      </c>
      <c r="K177" s="22" t="str">
        <f t="shared" si="18"/>
        <v/>
      </c>
      <c r="L177" s="22" t="str">
        <f t="shared" si="19"/>
        <v/>
      </c>
      <c r="M177" s="22" t="str">
        <f t="shared" si="20"/>
        <v/>
      </c>
      <c r="N177" s="114" t="str">
        <f t="shared" si="29"/>
        <v/>
      </c>
      <c r="O177" s="114" t="str">
        <f>IF(C177=$B$68,$E$90*H177*'Fatores de Emissão'!$E$250,"")</f>
        <v/>
      </c>
      <c r="P177" s="114" t="str">
        <f>IF(C177=$B$68,$E$89*H177*'Fatores de Emissão'!$E$251,"")</f>
        <v/>
      </c>
      <c r="Q177" s="114" t="str">
        <f>IF(C177=$B$69,$E$92*H177*'Fatores de Emissão'!$E$250/1000,"")</f>
        <v/>
      </c>
      <c r="R177" s="114" t="str">
        <f>IF(C177=$B$69,$E$91*H177*'Fatores de Emissão'!$E$251/1000,"")</f>
        <v/>
      </c>
      <c r="S177" s="115" t="str">
        <f t="shared" si="26"/>
        <v/>
      </c>
      <c r="T177" s="115" t="str">
        <f t="shared" si="27"/>
        <v/>
      </c>
      <c r="U177" s="115" t="str">
        <f t="shared" si="28"/>
        <v/>
      </c>
      <c r="V177" s="22" t="str" cm="1">
        <f t="array" ref="V177">_xlfn.IFS(G177&gt;0,G177,N177&gt;0,N177)</f>
        <v/>
      </c>
      <c r="W177" s="22" t="e">
        <f t="shared" si="21"/>
        <v>#N/A</v>
      </c>
      <c r="X177" s="22">
        <f t="shared" si="22"/>
        <v>0</v>
      </c>
    </row>
    <row r="178" spans="2:24" x14ac:dyDescent="0.35">
      <c r="B178" s="109">
        <f>'Emissões Fugitivas'!B149</f>
        <v>0</v>
      </c>
      <c r="C178" s="109">
        <f>'Emissões Fugitivas'!C149</f>
        <v>0</v>
      </c>
      <c r="D178" s="109">
        <f>'Emissões Fugitivas'!D149</f>
        <v>0</v>
      </c>
      <c r="E178" s="109">
        <f>'Emissões Fugitivas'!E149</f>
        <v>0</v>
      </c>
      <c r="F178" s="109" t="str">
        <f>'Emissões Fugitivas'!F149</f>
        <v/>
      </c>
      <c r="G178" s="109">
        <f>'Emissões Fugitivas'!G149</f>
        <v>0</v>
      </c>
      <c r="H178" s="109">
        <f>'Emissões Fugitivas'!H149</f>
        <v>0</v>
      </c>
      <c r="I178" s="109" t="str">
        <f>'Emissões Fugitivas'!I149</f>
        <v/>
      </c>
      <c r="J178" s="22" t="e">
        <f>IF(VLOOKUP(B178,'Dados gerais'!$D$33:$F$35,3,FALSE)="",2,VLOOKUP(B178,'Dados gerais'!$D$33:$F$35,3,FALSE))</f>
        <v>#N/A</v>
      </c>
      <c r="K178" s="22" t="str">
        <f t="shared" si="18"/>
        <v/>
      </c>
      <c r="L178" s="22" t="str">
        <f t="shared" si="19"/>
        <v/>
      </c>
      <c r="M178" s="22" t="str">
        <f t="shared" si="20"/>
        <v/>
      </c>
      <c r="N178" s="114" t="str">
        <f t="shared" si="29"/>
        <v/>
      </c>
      <c r="O178" s="114" t="str">
        <f>IF(C178=$B$68,$E$90*H178*'Fatores de Emissão'!$E$250,"")</f>
        <v/>
      </c>
      <c r="P178" s="114" t="str">
        <f>IF(C178=$B$68,$E$89*H178*'Fatores de Emissão'!$E$251,"")</f>
        <v/>
      </c>
      <c r="Q178" s="114" t="str">
        <f>IF(C178=$B$69,$E$92*H178*'Fatores de Emissão'!$E$250/1000,"")</f>
        <v/>
      </c>
      <c r="R178" s="114" t="str">
        <f>IF(C178=$B$69,$E$91*H178*'Fatores de Emissão'!$E$251/1000,"")</f>
        <v/>
      </c>
      <c r="S178" s="115" t="str">
        <f t="shared" si="26"/>
        <v/>
      </c>
      <c r="T178" s="115" t="str">
        <f t="shared" si="27"/>
        <v/>
      </c>
      <c r="U178" s="115" t="str">
        <f t="shared" si="28"/>
        <v/>
      </c>
      <c r="V178" s="22" t="str" cm="1">
        <f t="array" ref="V178">_xlfn.IFS(G178&gt;0,G178,N178&gt;0,N178)</f>
        <v/>
      </c>
      <c r="W178" s="22" t="e">
        <f t="shared" si="21"/>
        <v>#N/A</v>
      </c>
      <c r="X178" s="22">
        <f t="shared" si="22"/>
        <v>0</v>
      </c>
    </row>
    <row r="179" spans="2:24" x14ac:dyDescent="0.35">
      <c r="B179" s="109">
        <f>'Emissões Fugitivas'!B150</f>
        <v>0</v>
      </c>
      <c r="C179" s="109">
        <f>'Emissões Fugitivas'!C150</f>
        <v>0</v>
      </c>
      <c r="D179" s="109">
        <f>'Emissões Fugitivas'!D150</f>
        <v>0</v>
      </c>
      <c r="E179" s="109">
        <f>'Emissões Fugitivas'!E150</f>
        <v>0</v>
      </c>
      <c r="F179" s="109" t="str">
        <f>'Emissões Fugitivas'!F150</f>
        <v/>
      </c>
      <c r="G179" s="109">
        <f>'Emissões Fugitivas'!G150</f>
        <v>0</v>
      </c>
      <c r="H179" s="109">
        <f>'Emissões Fugitivas'!H150</f>
        <v>0</v>
      </c>
      <c r="I179" s="109" t="str">
        <f>'Emissões Fugitivas'!I150</f>
        <v/>
      </c>
      <c r="J179" s="22" t="e">
        <f>IF(VLOOKUP(B179,'Dados gerais'!$D$33:$F$35,3,FALSE)="",2,VLOOKUP(B179,'Dados gerais'!$D$33:$F$35,3,FALSE))</f>
        <v>#N/A</v>
      </c>
      <c r="K179" s="22" t="str">
        <f t="shared" si="18"/>
        <v/>
      </c>
      <c r="L179" s="22" t="str">
        <f t="shared" si="19"/>
        <v/>
      </c>
      <c r="M179" s="22" t="str">
        <f t="shared" si="20"/>
        <v/>
      </c>
      <c r="N179" s="114" t="str">
        <f t="shared" si="29"/>
        <v/>
      </c>
      <c r="O179" s="114" t="str">
        <f>IF(C179=$B$68,$E$90*H179*'Fatores de Emissão'!$E$250,"")</f>
        <v/>
      </c>
      <c r="P179" s="114" t="str">
        <f>IF(C179=$B$68,$E$89*H179*'Fatores de Emissão'!$E$251,"")</f>
        <v/>
      </c>
      <c r="Q179" s="114" t="str">
        <f>IF(C179=$B$69,$E$92*H179*'Fatores de Emissão'!$E$250/1000,"")</f>
        <v/>
      </c>
      <c r="R179" s="114" t="str">
        <f>IF(C179=$B$69,$E$91*H179*'Fatores de Emissão'!$E$251/1000,"")</f>
        <v/>
      </c>
      <c r="S179" s="115" t="str">
        <f t="shared" si="26"/>
        <v/>
      </c>
      <c r="T179" s="115" t="str">
        <f t="shared" si="27"/>
        <v/>
      </c>
      <c r="U179" s="115" t="str">
        <f t="shared" si="28"/>
        <v/>
      </c>
      <c r="V179" s="22" t="str" cm="1">
        <f t="array" ref="V179">_xlfn.IFS(G179&gt;0,G179,N179&gt;0,N179)</f>
        <v/>
      </c>
      <c r="W179" s="22" t="e">
        <f t="shared" si="21"/>
        <v>#N/A</v>
      </c>
      <c r="X179" s="22">
        <f t="shared" si="22"/>
        <v>0</v>
      </c>
    </row>
    <row r="180" spans="2:24" x14ac:dyDescent="0.35">
      <c r="B180" s="109">
        <f>'Emissões Fugitivas'!B151</f>
        <v>0</v>
      </c>
      <c r="C180" s="109">
        <f>'Emissões Fugitivas'!C151</f>
        <v>0</v>
      </c>
      <c r="D180" s="109">
        <f>'Emissões Fugitivas'!D151</f>
        <v>0</v>
      </c>
      <c r="E180" s="109">
        <f>'Emissões Fugitivas'!E151</f>
        <v>0</v>
      </c>
      <c r="F180" s="109" t="str">
        <f>'Emissões Fugitivas'!F151</f>
        <v/>
      </c>
      <c r="G180" s="109">
        <f>'Emissões Fugitivas'!G151</f>
        <v>0</v>
      </c>
      <c r="H180" s="109">
        <f>'Emissões Fugitivas'!H151</f>
        <v>0</v>
      </c>
      <c r="I180" s="109" t="str">
        <f>'Emissões Fugitivas'!I151</f>
        <v/>
      </c>
      <c r="J180" s="22" t="e">
        <f>IF(VLOOKUP(B180,'Dados gerais'!$D$33:$F$35,3,FALSE)="",2,VLOOKUP(B180,'Dados gerais'!$D$33:$F$35,3,FALSE))</f>
        <v>#N/A</v>
      </c>
      <c r="K180" s="22" t="str">
        <f t="shared" si="18"/>
        <v/>
      </c>
      <c r="L180" s="22" t="str">
        <f t="shared" si="19"/>
        <v/>
      </c>
      <c r="M180" s="22" t="str">
        <f t="shared" si="20"/>
        <v/>
      </c>
      <c r="N180" s="114" t="str">
        <f t="shared" si="29"/>
        <v/>
      </c>
      <c r="O180" s="114" t="str">
        <f>IF(C180=$B$68,$E$90*H180*'Fatores de Emissão'!$E$250,"")</f>
        <v/>
      </c>
      <c r="P180" s="114" t="str">
        <f>IF(C180=$B$68,$E$89*H180*'Fatores de Emissão'!$E$251,"")</f>
        <v/>
      </c>
      <c r="Q180" s="114" t="str">
        <f>IF(C180=$B$69,$E$92*H180*'Fatores de Emissão'!$E$250/1000,"")</f>
        <v/>
      </c>
      <c r="R180" s="114" t="str">
        <f>IF(C180=$B$69,$E$91*H180*'Fatores de Emissão'!$E$251/1000,"")</f>
        <v/>
      </c>
      <c r="S180" s="115" t="str">
        <f t="shared" si="26"/>
        <v/>
      </c>
      <c r="T180" s="115" t="str">
        <f t="shared" si="27"/>
        <v/>
      </c>
      <c r="U180" s="115" t="str">
        <f t="shared" si="28"/>
        <v/>
      </c>
      <c r="V180" s="22" t="str" cm="1">
        <f t="array" ref="V180">_xlfn.IFS(G180&gt;0,G180,N180&gt;0,N180)</f>
        <v/>
      </c>
      <c r="W180" s="22" t="e">
        <f t="shared" si="21"/>
        <v>#N/A</v>
      </c>
      <c r="X180" s="22">
        <f t="shared" si="22"/>
        <v>0</v>
      </c>
    </row>
    <row r="181" spans="2:24" x14ac:dyDescent="0.35">
      <c r="B181" s="109">
        <f>'Emissões Fugitivas'!B152</f>
        <v>0</v>
      </c>
      <c r="C181" s="109">
        <f>'Emissões Fugitivas'!C152</f>
        <v>0</v>
      </c>
      <c r="D181" s="109">
        <f>'Emissões Fugitivas'!D152</f>
        <v>0</v>
      </c>
      <c r="E181" s="109">
        <f>'Emissões Fugitivas'!E152</f>
        <v>0</v>
      </c>
      <c r="F181" s="109" t="str">
        <f>'Emissões Fugitivas'!F152</f>
        <v/>
      </c>
      <c r="G181" s="109">
        <f>'Emissões Fugitivas'!G152</f>
        <v>0</v>
      </c>
      <c r="H181" s="109">
        <f>'Emissões Fugitivas'!H152</f>
        <v>0</v>
      </c>
      <c r="I181" s="109" t="str">
        <f>'Emissões Fugitivas'!I152</f>
        <v/>
      </c>
      <c r="J181" s="22" t="e">
        <f>IF(VLOOKUP(B181,'Dados gerais'!$D$33:$F$35,3,FALSE)="",2,VLOOKUP(B181,'Dados gerais'!$D$33:$F$35,3,FALSE))</f>
        <v>#N/A</v>
      </c>
      <c r="K181" s="22" t="str">
        <f t="shared" si="18"/>
        <v/>
      </c>
      <c r="L181" s="22" t="str">
        <f t="shared" si="19"/>
        <v/>
      </c>
      <c r="M181" s="22" t="str">
        <f t="shared" si="20"/>
        <v/>
      </c>
      <c r="N181" s="114" t="str">
        <f t="shared" si="29"/>
        <v/>
      </c>
      <c r="O181" s="114" t="str">
        <f>IF(C181=$B$68,$E$90*H181*'Fatores de Emissão'!$E$250,"")</f>
        <v/>
      </c>
      <c r="P181" s="114" t="str">
        <f>IF(C181=$B$68,$E$89*H181*'Fatores de Emissão'!$E$251,"")</f>
        <v/>
      </c>
      <c r="Q181" s="114" t="str">
        <f>IF(C181=$B$69,$E$92*H181*'Fatores de Emissão'!$E$250/1000,"")</f>
        <v/>
      </c>
      <c r="R181" s="114" t="str">
        <f>IF(C181=$B$69,$E$91*H181*'Fatores de Emissão'!$E$251/1000,"")</f>
        <v/>
      </c>
      <c r="S181" s="115" t="str">
        <f t="shared" si="26"/>
        <v/>
      </c>
      <c r="T181" s="115" t="str">
        <f t="shared" si="27"/>
        <v/>
      </c>
      <c r="U181" s="115" t="str">
        <f t="shared" si="28"/>
        <v/>
      </c>
      <c r="V181" s="22" t="str" cm="1">
        <f t="array" ref="V181">_xlfn.IFS(G181&gt;0,G181,N181&gt;0,N181)</f>
        <v/>
      </c>
      <c r="W181" s="22" t="e">
        <f t="shared" si="21"/>
        <v>#N/A</v>
      </c>
      <c r="X181" s="22">
        <f t="shared" si="22"/>
        <v>0</v>
      </c>
    </row>
    <row r="182" spans="2:24" x14ac:dyDescent="0.35">
      <c r="B182" s="109">
        <f>'Emissões Fugitivas'!B153</f>
        <v>0</v>
      </c>
      <c r="C182" s="109">
        <f>'Emissões Fugitivas'!C153</f>
        <v>0</v>
      </c>
      <c r="D182" s="109">
        <f>'Emissões Fugitivas'!D153</f>
        <v>0</v>
      </c>
      <c r="E182" s="109">
        <f>'Emissões Fugitivas'!E153</f>
        <v>0</v>
      </c>
      <c r="F182" s="109" t="str">
        <f>'Emissões Fugitivas'!F153</f>
        <v/>
      </c>
      <c r="G182" s="109">
        <f>'Emissões Fugitivas'!G153</f>
        <v>0</v>
      </c>
      <c r="H182" s="109">
        <f>'Emissões Fugitivas'!H153</f>
        <v>0</v>
      </c>
      <c r="I182" s="109" t="str">
        <f>'Emissões Fugitivas'!I153</f>
        <v/>
      </c>
      <c r="J182" s="22" t="e">
        <f>IF(VLOOKUP(B182,'Dados gerais'!$D$33:$F$35,3,FALSE)="",2,VLOOKUP(B182,'Dados gerais'!$D$33:$F$35,3,FALSE))</f>
        <v>#N/A</v>
      </c>
      <c r="K182" s="22" t="str">
        <f t="shared" si="18"/>
        <v/>
      </c>
      <c r="L182" s="22" t="str">
        <f t="shared" si="19"/>
        <v/>
      </c>
      <c r="M182" s="22" t="str">
        <f t="shared" si="20"/>
        <v/>
      </c>
      <c r="N182" s="114" t="str">
        <f t="shared" si="29"/>
        <v/>
      </c>
      <c r="O182" s="114" t="str">
        <f>IF(C182=$B$68,$E$90*H182*'Fatores de Emissão'!$E$250,"")</f>
        <v/>
      </c>
      <c r="P182" s="114" t="str">
        <f>IF(C182=$B$68,$E$89*H182*'Fatores de Emissão'!$E$251,"")</f>
        <v/>
      </c>
      <c r="Q182" s="114" t="str">
        <f>IF(C182=$B$69,$E$92*H182*'Fatores de Emissão'!$E$250/1000,"")</f>
        <v/>
      </c>
      <c r="R182" s="114" t="str">
        <f>IF(C182=$B$69,$E$91*H182*'Fatores de Emissão'!$E$251/1000,"")</f>
        <v/>
      </c>
      <c r="S182" s="115" t="str">
        <f t="shared" si="26"/>
        <v/>
      </c>
      <c r="T182" s="115" t="str">
        <f t="shared" si="27"/>
        <v/>
      </c>
      <c r="U182" s="115" t="str">
        <f t="shared" si="28"/>
        <v/>
      </c>
      <c r="V182" s="22" t="str" cm="1">
        <f t="array" ref="V182">_xlfn.IFS(G182&gt;0,G182,N182&gt;0,N182)</f>
        <v/>
      </c>
      <c r="W182" s="22" t="e">
        <f t="shared" si="21"/>
        <v>#N/A</v>
      </c>
      <c r="X182" s="22">
        <f t="shared" si="22"/>
        <v>0</v>
      </c>
    </row>
    <row r="183" spans="2:24" x14ac:dyDescent="0.35">
      <c r="B183" s="109">
        <f>'Emissões Fugitivas'!B154</f>
        <v>0</v>
      </c>
      <c r="C183" s="109">
        <f>'Emissões Fugitivas'!C154</f>
        <v>0</v>
      </c>
      <c r="D183" s="109">
        <f>'Emissões Fugitivas'!D154</f>
        <v>0</v>
      </c>
      <c r="E183" s="109">
        <f>'Emissões Fugitivas'!E154</f>
        <v>0</v>
      </c>
      <c r="F183" s="109" t="str">
        <f>'Emissões Fugitivas'!F154</f>
        <v/>
      </c>
      <c r="G183" s="109">
        <f>'Emissões Fugitivas'!G154</f>
        <v>0</v>
      </c>
      <c r="H183" s="109">
        <f>'Emissões Fugitivas'!H154</f>
        <v>0</v>
      </c>
      <c r="I183" s="109" t="str">
        <f>'Emissões Fugitivas'!I154</f>
        <v/>
      </c>
      <c r="J183" s="22" t="e">
        <f>IF(VLOOKUP(B183,'Dados gerais'!$D$33:$F$35,3,FALSE)="",2,VLOOKUP(B183,'Dados gerais'!$D$33:$F$35,3,FALSE))</f>
        <v>#N/A</v>
      </c>
      <c r="K183" s="22" t="str">
        <f t="shared" si="18"/>
        <v/>
      </c>
      <c r="L183" s="22" t="str">
        <f t="shared" si="19"/>
        <v/>
      </c>
      <c r="M183" s="22" t="str">
        <f t="shared" si="20"/>
        <v/>
      </c>
      <c r="N183" s="114" t="str">
        <f t="shared" si="29"/>
        <v/>
      </c>
      <c r="O183" s="114" t="str">
        <f>IF(C183=$B$68,$E$90*H183*'Fatores de Emissão'!$E$250,"")</f>
        <v/>
      </c>
      <c r="P183" s="114" t="str">
        <f>IF(C183=$B$68,$E$89*H183*'Fatores de Emissão'!$E$251,"")</f>
        <v/>
      </c>
      <c r="Q183" s="114" t="str">
        <f>IF(C183=$B$69,$E$92*H183*'Fatores de Emissão'!$E$250/1000,"")</f>
        <v/>
      </c>
      <c r="R183" s="114" t="str">
        <f>IF(C183=$B$69,$E$91*H183*'Fatores de Emissão'!$E$251/1000,"")</f>
        <v/>
      </c>
      <c r="S183" s="115" t="str">
        <f t="shared" si="26"/>
        <v/>
      </c>
      <c r="T183" s="115" t="str">
        <f t="shared" si="27"/>
        <v/>
      </c>
      <c r="U183" s="115" t="str">
        <f t="shared" si="28"/>
        <v/>
      </c>
      <c r="V183" s="22" t="str" cm="1">
        <f t="array" ref="V183">_xlfn.IFS(G183&gt;0,G183,N183&gt;0,N183)</f>
        <v/>
      </c>
      <c r="W183" s="22" t="e">
        <f t="shared" si="21"/>
        <v>#N/A</v>
      </c>
      <c r="X183" s="22">
        <f t="shared" si="22"/>
        <v>0</v>
      </c>
    </row>
    <row r="184" spans="2:24" x14ac:dyDescent="0.35">
      <c r="B184" s="109">
        <f>'Emissões Fugitivas'!B155</f>
        <v>0</v>
      </c>
      <c r="C184" s="109">
        <f>'Emissões Fugitivas'!C155</f>
        <v>0</v>
      </c>
      <c r="D184" s="109">
        <f>'Emissões Fugitivas'!D155</f>
        <v>0</v>
      </c>
      <c r="E184" s="109">
        <f>'Emissões Fugitivas'!E155</f>
        <v>0</v>
      </c>
      <c r="F184" s="109" t="str">
        <f>'Emissões Fugitivas'!F155</f>
        <v/>
      </c>
      <c r="G184" s="109">
        <f>'Emissões Fugitivas'!G155</f>
        <v>0</v>
      </c>
      <c r="H184" s="109">
        <f>'Emissões Fugitivas'!H155</f>
        <v>0</v>
      </c>
      <c r="I184" s="109" t="str">
        <f>'Emissões Fugitivas'!I155</f>
        <v/>
      </c>
      <c r="J184" s="22" t="e">
        <f>IF(VLOOKUP(B184,'Dados gerais'!$D$33:$F$35,3,FALSE)="",2,VLOOKUP(B184,'Dados gerais'!$D$33:$F$35,3,FALSE))</f>
        <v>#N/A</v>
      </c>
      <c r="K184" s="22" t="str">
        <f t="shared" si="18"/>
        <v/>
      </c>
      <c r="L184" s="22" t="str">
        <f t="shared" si="19"/>
        <v/>
      </c>
      <c r="M184" s="22" t="str">
        <f t="shared" si="20"/>
        <v/>
      </c>
      <c r="N184" s="114" t="str">
        <f t="shared" si="29"/>
        <v/>
      </c>
      <c r="O184" s="114" t="str">
        <f>IF(C184=$B$68,$E$90*H184*'Fatores de Emissão'!$E$250,"")</f>
        <v/>
      </c>
      <c r="P184" s="114" t="str">
        <f>IF(C184=$B$68,$E$89*H184*'Fatores de Emissão'!$E$251,"")</f>
        <v/>
      </c>
      <c r="Q184" s="114" t="str">
        <f>IF(C184=$B$69,$E$92*H184*'Fatores de Emissão'!$E$250/1000,"")</f>
        <v/>
      </c>
      <c r="R184" s="114" t="str">
        <f>IF(C184=$B$69,$E$91*H184*'Fatores de Emissão'!$E$251/1000,"")</f>
        <v/>
      </c>
      <c r="S184" s="115" t="str">
        <f t="shared" si="26"/>
        <v/>
      </c>
      <c r="T184" s="115" t="str">
        <f t="shared" si="27"/>
        <v/>
      </c>
      <c r="U184" s="115" t="str">
        <f t="shared" si="28"/>
        <v/>
      </c>
      <c r="V184" s="22" t="str" cm="1">
        <f t="array" ref="V184">_xlfn.IFS(G184&gt;0,G184,N184&gt;0,N184)</f>
        <v/>
      </c>
      <c r="W184" s="22" t="e">
        <f t="shared" si="21"/>
        <v>#N/A</v>
      </c>
      <c r="X184" s="22">
        <f t="shared" si="22"/>
        <v>0</v>
      </c>
    </row>
    <row r="185" spans="2:24" x14ac:dyDescent="0.35">
      <c r="B185" s="109">
        <f>'Emissões Fugitivas'!B156</f>
        <v>0</v>
      </c>
      <c r="C185" s="109">
        <f>'Emissões Fugitivas'!C156</f>
        <v>0</v>
      </c>
      <c r="D185" s="109">
        <f>'Emissões Fugitivas'!D156</f>
        <v>0</v>
      </c>
      <c r="E185" s="109">
        <f>'Emissões Fugitivas'!E156</f>
        <v>0</v>
      </c>
      <c r="F185" s="109" t="str">
        <f>'Emissões Fugitivas'!F156</f>
        <v/>
      </c>
      <c r="G185" s="109">
        <f>'Emissões Fugitivas'!G156</f>
        <v>0</v>
      </c>
      <c r="H185" s="109">
        <f>'Emissões Fugitivas'!H156</f>
        <v>0</v>
      </c>
      <c r="I185" s="109" t="str">
        <f>'Emissões Fugitivas'!I156</f>
        <v/>
      </c>
      <c r="J185" s="22" t="e">
        <f>IF(VLOOKUP(B185,'Dados gerais'!$D$33:$F$35,3,FALSE)="",2,VLOOKUP(B185,'Dados gerais'!$D$33:$F$35,3,FALSE))</f>
        <v>#N/A</v>
      </c>
      <c r="K185" s="22" t="str">
        <f t="shared" si="18"/>
        <v/>
      </c>
      <c r="L185" s="22" t="str">
        <f t="shared" si="19"/>
        <v/>
      </c>
      <c r="M185" s="22" t="str">
        <f t="shared" si="20"/>
        <v/>
      </c>
      <c r="N185" s="114" t="str">
        <f t="shared" si="29"/>
        <v/>
      </c>
      <c r="O185" s="114" t="str">
        <f>IF(C185=$B$68,$E$90*H185*'Fatores de Emissão'!$E$250,"")</f>
        <v/>
      </c>
      <c r="P185" s="114" t="str">
        <f>IF(C185=$B$68,$E$89*H185*'Fatores de Emissão'!$E$251,"")</f>
        <v/>
      </c>
      <c r="Q185" s="114" t="str">
        <f>IF(C185=$B$69,$E$92*H185*'Fatores de Emissão'!$E$250/1000,"")</f>
        <v/>
      </c>
      <c r="R185" s="114" t="str">
        <f>IF(C185=$B$69,$E$91*H185*'Fatores de Emissão'!$E$251/1000,"")</f>
        <v/>
      </c>
      <c r="S185" s="115" t="str">
        <f t="shared" si="26"/>
        <v/>
      </c>
      <c r="T185" s="115" t="str">
        <f t="shared" si="27"/>
        <v/>
      </c>
      <c r="U185" s="115" t="str">
        <f t="shared" si="28"/>
        <v/>
      </c>
      <c r="V185" s="22" t="str" cm="1">
        <f t="array" ref="V185">_xlfn.IFS(G185&gt;0,G185,N185&gt;0,N185)</f>
        <v/>
      </c>
      <c r="W185" s="22" t="e">
        <f t="shared" si="21"/>
        <v>#N/A</v>
      </c>
      <c r="X185" s="22">
        <f t="shared" si="22"/>
        <v>0</v>
      </c>
    </row>
    <row r="186" spans="2:24" x14ac:dyDescent="0.35">
      <c r="B186" s="109">
        <f>'Emissões Fugitivas'!B157</f>
        <v>0</v>
      </c>
      <c r="C186" s="109">
        <f>'Emissões Fugitivas'!C157</f>
        <v>0</v>
      </c>
      <c r="D186" s="109">
        <f>'Emissões Fugitivas'!D157</f>
        <v>0</v>
      </c>
      <c r="E186" s="109">
        <f>'Emissões Fugitivas'!E157</f>
        <v>0</v>
      </c>
      <c r="F186" s="109" t="str">
        <f>'Emissões Fugitivas'!F157</f>
        <v/>
      </c>
      <c r="G186" s="109">
        <f>'Emissões Fugitivas'!G157</f>
        <v>0</v>
      </c>
      <c r="H186" s="109">
        <f>'Emissões Fugitivas'!H157</f>
        <v>0</v>
      </c>
      <c r="I186" s="109" t="str">
        <f>'Emissões Fugitivas'!I157</f>
        <v/>
      </c>
      <c r="J186" s="22" t="e">
        <f>IF(VLOOKUP(B186,'Dados gerais'!$D$33:$F$35,3,FALSE)="",2,VLOOKUP(B186,'Dados gerais'!$D$33:$F$35,3,FALSE))</f>
        <v>#N/A</v>
      </c>
      <c r="K186" s="22" t="str">
        <f t="shared" ref="K186:K211" si="30">IF(C186=$B$66,$E$81,IF(C186=$B$67,$E$85,""))</f>
        <v/>
      </c>
      <c r="L186" s="22" t="str">
        <f t="shared" ref="L186:L211" si="31">IF(C186=$B$66,$E$82,IF(C186=$B$67,$E$86,""))</f>
        <v/>
      </c>
      <c r="M186" s="22" t="str">
        <f t="shared" ref="M186:M211" si="32">IF(C186=$B$66,$E$83,IF(C186=$B$67,$E$87,""))</f>
        <v/>
      </c>
      <c r="N186" s="114" t="str">
        <f t="shared" si="29"/>
        <v/>
      </c>
      <c r="O186" s="114" t="str">
        <f>IF(C186=$B$68,$E$90*H186*'Fatores de Emissão'!$E$250,"")</f>
        <v/>
      </c>
      <c r="P186" s="114" t="str">
        <f>IF(C186=$B$68,$E$89*H186*'Fatores de Emissão'!$E$251,"")</f>
        <v/>
      </c>
      <c r="Q186" s="114" t="str">
        <f>IF(C186=$B$69,$E$92*H186*'Fatores de Emissão'!$E$250/1000,"")</f>
        <v/>
      </c>
      <c r="R186" s="114" t="str">
        <f>IF(C186=$B$69,$E$91*H186*'Fatores de Emissão'!$E$251/1000,"")</f>
        <v/>
      </c>
      <c r="S186" s="115" t="str">
        <f t="shared" si="26"/>
        <v/>
      </c>
      <c r="T186" s="115" t="str">
        <f t="shared" si="27"/>
        <v/>
      </c>
      <c r="U186" s="115" t="str">
        <f t="shared" si="28"/>
        <v/>
      </c>
      <c r="V186" s="22" t="str" cm="1">
        <f t="array" ref="V186">_xlfn.IFS(G186&gt;0,G186,N186&gt;0,N186)</f>
        <v/>
      </c>
      <c r="W186" s="22" t="e">
        <f t="shared" ref="W186:W211" si="33">IF(VLOOKUP(C186,$B$59:$D$74,3,FALSE)="",E186,VLOOKUP(C186,$B$59:$D$74,3,FALSE))</f>
        <v>#N/A</v>
      </c>
      <c r="X186" s="22">
        <f t="shared" ref="X186:X211" si="34">IF(V186="",SUM(N186:U186),V186*W186)</f>
        <v>0</v>
      </c>
    </row>
    <row r="187" spans="2:24" x14ac:dyDescent="0.35">
      <c r="B187" s="109">
        <f>'Emissões Fugitivas'!B158</f>
        <v>0</v>
      </c>
      <c r="C187" s="109">
        <f>'Emissões Fugitivas'!C158</f>
        <v>0</v>
      </c>
      <c r="D187" s="109">
        <f>'Emissões Fugitivas'!D158</f>
        <v>0</v>
      </c>
      <c r="E187" s="109">
        <f>'Emissões Fugitivas'!E158</f>
        <v>0</v>
      </c>
      <c r="F187" s="109" t="str">
        <f>'Emissões Fugitivas'!F158</f>
        <v/>
      </c>
      <c r="G187" s="109">
        <f>'Emissões Fugitivas'!G158</f>
        <v>0</v>
      </c>
      <c r="H187" s="109">
        <f>'Emissões Fugitivas'!H158</f>
        <v>0</v>
      </c>
      <c r="I187" s="109" t="str">
        <f>'Emissões Fugitivas'!I158</f>
        <v/>
      </c>
      <c r="J187" s="22" t="e">
        <f>IF(VLOOKUP(B187,'Dados gerais'!$D$33:$F$35,3,FALSE)="",2,VLOOKUP(B187,'Dados gerais'!$D$33:$F$35,3,FALSE))</f>
        <v>#N/A</v>
      </c>
      <c r="K187" s="22" t="str">
        <f t="shared" si="30"/>
        <v/>
      </c>
      <c r="L187" s="22" t="str">
        <f t="shared" si="31"/>
        <v/>
      </c>
      <c r="M187" s="22" t="str">
        <f t="shared" si="32"/>
        <v/>
      </c>
      <c r="N187" s="114" t="str">
        <f t="shared" si="29"/>
        <v/>
      </c>
      <c r="O187" s="114" t="str">
        <f>IF(C187=$B$68,$E$90*H187*'Fatores de Emissão'!$E$250,"")</f>
        <v/>
      </c>
      <c r="P187" s="114" t="str">
        <f>IF(C187=$B$68,$E$89*H187*'Fatores de Emissão'!$E$251,"")</f>
        <v/>
      </c>
      <c r="Q187" s="114" t="str">
        <f>IF(C187=$B$69,$E$92*H187*'Fatores de Emissão'!$E$250/1000,"")</f>
        <v/>
      </c>
      <c r="R187" s="114" t="str">
        <f>IF(C187=$B$69,$E$91*H187*'Fatores de Emissão'!$E$251/1000,"")</f>
        <v/>
      </c>
      <c r="S187" s="115" t="str">
        <f t="shared" si="26"/>
        <v/>
      </c>
      <c r="T187" s="115" t="str">
        <f t="shared" si="27"/>
        <v/>
      </c>
      <c r="U187" s="115" t="str">
        <f t="shared" si="28"/>
        <v/>
      </c>
      <c r="V187" s="22" t="str" cm="1">
        <f t="array" ref="V187">_xlfn.IFS(G187&gt;0,G187,N187&gt;0,N187)</f>
        <v/>
      </c>
      <c r="W187" s="22" t="e">
        <f t="shared" si="33"/>
        <v>#N/A</v>
      </c>
      <c r="X187" s="22">
        <f t="shared" si="34"/>
        <v>0</v>
      </c>
    </row>
    <row r="188" spans="2:24" x14ac:dyDescent="0.35">
      <c r="B188" s="109">
        <f>'Emissões Fugitivas'!B159</f>
        <v>0</v>
      </c>
      <c r="C188" s="109">
        <f>'Emissões Fugitivas'!C159</f>
        <v>0</v>
      </c>
      <c r="D188" s="109">
        <f>'Emissões Fugitivas'!D159</f>
        <v>0</v>
      </c>
      <c r="E188" s="109">
        <f>'Emissões Fugitivas'!E159</f>
        <v>0</v>
      </c>
      <c r="F188" s="109" t="str">
        <f>'Emissões Fugitivas'!F159</f>
        <v/>
      </c>
      <c r="G188" s="109">
        <f>'Emissões Fugitivas'!G159</f>
        <v>0</v>
      </c>
      <c r="H188" s="109">
        <f>'Emissões Fugitivas'!H159</f>
        <v>0</v>
      </c>
      <c r="I188" s="109" t="str">
        <f>'Emissões Fugitivas'!I159</f>
        <v/>
      </c>
      <c r="J188" s="22" t="e">
        <f>IF(VLOOKUP(B188,'Dados gerais'!$D$33:$F$35,3,FALSE)="",2,VLOOKUP(B188,'Dados gerais'!$D$33:$F$35,3,FALSE))</f>
        <v>#N/A</v>
      </c>
      <c r="K188" s="22" t="str">
        <f t="shared" si="30"/>
        <v/>
      </c>
      <c r="L188" s="22" t="str">
        <f t="shared" si="31"/>
        <v/>
      </c>
      <c r="M188" s="22" t="str">
        <f t="shared" si="32"/>
        <v/>
      </c>
      <c r="N188" s="114" t="str">
        <f t="shared" si="29"/>
        <v/>
      </c>
      <c r="O188" s="114" t="str">
        <f>IF(C188=$B$68,$E$90*H188*'Fatores de Emissão'!$E$250,"")</f>
        <v/>
      </c>
      <c r="P188" s="114" t="str">
        <f>IF(C188=$B$68,$E$89*H188*'Fatores de Emissão'!$E$251,"")</f>
        <v/>
      </c>
      <c r="Q188" s="114" t="str">
        <f>IF(C188=$B$69,$E$92*H188*'Fatores de Emissão'!$E$250/1000,"")</f>
        <v/>
      </c>
      <c r="R188" s="114" t="str">
        <f>IF(C188=$B$69,$E$91*H188*'Fatores de Emissão'!$E$251/1000,"")</f>
        <v/>
      </c>
      <c r="S188" s="115" t="str">
        <f t="shared" si="26"/>
        <v/>
      </c>
      <c r="T188" s="115" t="str">
        <f t="shared" si="27"/>
        <v/>
      </c>
      <c r="U188" s="115" t="str">
        <f t="shared" si="28"/>
        <v/>
      </c>
      <c r="V188" s="22" t="str" cm="1">
        <f t="array" ref="V188">_xlfn.IFS(G188&gt;0,G188,N188&gt;0,N188)</f>
        <v/>
      </c>
      <c r="W188" s="22" t="e">
        <f t="shared" si="33"/>
        <v>#N/A</v>
      </c>
      <c r="X188" s="22">
        <f t="shared" si="34"/>
        <v>0</v>
      </c>
    </row>
    <row r="189" spans="2:24" x14ac:dyDescent="0.35">
      <c r="B189" s="109">
        <f>'Emissões Fugitivas'!B160</f>
        <v>0</v>
      </c>
      <c r="C189" s="109">
        <f>'Emissões Fugitivas'!C160</f>
        <v>0</v>
      </c>
      <c r="D189" s="109">
        <f>'Emissões Fugitivas'!D160</f>
        <v>0</v>
      </c>
      <c r="E189" s="109">
        <f>'Emissões Fugitivas'!E160</f>
        <v>0</v>
      </c>
      <c r="F189" s="109" t="str">
        <f>'Emissões Fugitivas'!F160</f>
        <v/>
      </c>
      <c r="G189" s="109">
        <f>'Emissões Fugitivas'!G160</f>
        <v>0</v>
      </c>
      <c r="H189" s="109">
        <f>'Emissões Fugitivas'!H160</f>
        <v>0</v>
      </c>
      <c r="I189" s="109" t="str">
        <f>'Emissões Fugitivas'!I160</f>
        <v/>
      </c>
      <c r="J189" s="22" t="e">
        <f>IF(VLOOKUP(B189,'Dados gerais'!$D$33:$F$35,3,FALSE)="",2,VLOOKUP(B189,'Dados gerais'!$D$33:$F$35,3,FALSE))</f>
        <v>#N/A</v>
      </c>
      <c r="K189" s="22" t="str">
        <f t="shared" si="30"/>
        <v/>
      </c>
      <c r="L189" s="22" t="str">
        <f t="shared" si="31"/>
        <v/>
      </c>
      <c r="M189" s="22" t="str">
        <f t="shared" si="32"/>
        <v/>
      </c>
      <c r="N189" s="114" t="str">
        <f t="shared" si="29"/>
        <v/>
      </c>
      <c r="O189" s="114" t="str">
        <f>IF(C189=$B$68,$E$90*H189*'Fatores de Emissão'!$E$250,"")</f>
        <v/>
      </c>
      <c r="P189" s="114" t="str">
        <f>IF(C189=$B$68,$E$89*H189*'Fatores de Emissão'!$E$251,"")</f>
        <v/>
      </c>
      <c r="Q189" s="114" t="str">
        <f>IF(C189=$B$69,$E$92*H189*'Fatores de Emissão'!$E$250/1000,"")</f>
        <v/>
      </c>
      <c r="R189" s="114" t="str">
        <f>IF(C189=$B$69,$E$91*H189*'Fatores de Emissão'!$E$251/1000,"")</f>
        <v/>
      </c>
      <c r="S189" s="115" t="str">
        <f t="shared" si="26"/>
        <v/>
      </c>
      <c r="T189" s="115" t="str">
        <f t="shared" si="27"/>
        <v/>
      </c>
      <c r="U189" s="115" t="str">
        <f t="shared" si="28"/>
        <v/>
      </c>
      <c r="V189" s="22" t="str" cm="1">
        <f t="array" ref="V189">_xlfn.IFS(G189&gt;0,G189,N189&gt;0,N189)</f>
        <v/>
      </c>
      <c r="W189" s="22" t="e">
        <f t="shared" si="33"/>
        <v>#N/A</v>
      </c>
      <c r="X189" s="22">
        <f t="shared" si="34"/>
        <v>0</v>
      </c>
    </row>
    <row r="190" spans="2:24" x14ac:dyDescent="0.35">
      <c r="B190" s="109">
        <f>'Emissões Fugitivas'!B161</f>
        <v>0</v>
      </c>
      <c r="C190" s="109">
        <f>'Emissões Fugitivas'!C161</f>
        <v>0</v>
      </c>
      <c r="D190" s="109">
        <f>'Emissões Fugitivas'!D161</f>
        <v>0</v>
      </c>
      <c r="E190" s="109">
        <f>'Emissões Fugitivas'!E161</f>
        <v>0</v>
      </c>
      <c r="F190" s="109" t="str">
        <f>'Emissões Fugitivas'!F161</f>
        <v/>
      </c>
      <c r="G190" s="109">
        <f>'Emissões Fugitivas'!G161</f>
        <v>0</v>
      </c>
      <c r="H190" s="109">
        <f>'Emissões Fugitivas'!H161</f>
        <v>0</v>
      </c>
      <c r="I190" s="109" t="str">
        <f>'Emissões Fugitivas'!I161</f>
        <v/>
      </c>
      <c r="J190" s="22" t="e">
        <f>IF(VLOOKUP(B190,'Dados gerais'!$D$33:$F$35,3,FALSE)="",2,VLOOKUP(B190,'Dados gerais'!$D$33:$F$35,3,FALSE))</f>
        <v>#N/A</v>
      </c>
      <c r="K190" s="22" t="str">
        <f t="shared" si="30"/>
        <v/>
      </c>
      <c r="L190" s="22" t="str">
        <f t="shared" si="31"/>
        <v/>
      </c>
      <c r="M190" s="22" t="str">
        <f t="shared" si="32"/>
        <v/>
      </c>
      <c r="N190" s="114" t="str">
        <f t="shared" si="29"/>
        <v/>
      </c>
      <c r="O190" s="114" t="str">
        <f>IF(C190=$B$68,$E$90*H190*'Fatores de Emissão'!$E$250,"")</f>
        <v/>
      </c>
      <c r="P190" s="114" t="str">
        <f>IF(C190=$B$68,$E$89*H190*'Fatores de Emissão'!$E$251,"")</f>
        <v/>
      </c>
      <c r="Q190" s="114" t="str">
        <f>IF(C190=$B$69,$E$92*H190*'Fatores de Emissão'!$E$250/1000,"")</f>
        <v/>
      </c>
      <c r="R190" s="114" t="str">
        <f>IF(C190=$B$69,$E$91*H190*'Fatores de Emissão'!$E$251/1000,"")</f>
        <v/>
      </c>
      <c r="S190" s="115" t="str">
        <f t="shared" si="26"/>
        <v/>
      </c>
      <c r="T190" s="115" t="str">
        <f t="shared" si="27"/>
        <v/>
      </c>
      <c r="U190" s="115" t="str">
        <f t="shared" si="28"/>
        <v/>
      </c>
      <c r="V190" s="22" t="str" cm="1">
        <f t="array" ref="V190">_xlfn.IFS(G190&gt;0,G190,N190&gt;0,N190)</f>
        <v/>
      </c>
      <c r="W190" s="22" t="e">
        <f t="shared" si="33"/>
        <v>#N/A</v>
      </c>
      <c r="X190" s="22">
        <f t="shared" si="34"/>
        <v>0</v>
      </c>
    </row>
    <row r="191" spans="2:24" x14ac:dyDescent="0.35">
      <c r="B191" s="109">
        <f>'Emissões Fugitivas'!B162</f>
        <v>0</v>
      </c>
      <c r="C191" s="109">
        <f>'Emissões Fugitivas'!C162</f>
        <v>0</v>
      </c>
      <c r="D191" s="109">
        <f>'Emissões Fugitivas'!D162</f>
        <v>0</v>
      </c>
      <c r="E191" s="109">
        <f>'Emissões Fugitivas'!E162</f>
        <v>0</v>
      </c>
      <c r="F191" s="109" t="str">
        <f>'Emissões Fugitivas'!F162</f>
        <v/>
      </c>
      <c r="G191" s="109">
        <f>'Emissões Fugitivas'!G162</f>
        <v>0</v>
      </c>
      <c r="H191" s="109">
        <f>'Emissões Fugitivas'!H162</f>
        <v>0</v>
      </c>
      <c r="I191" s="109" t="str">
        <f>'Emissões Fugitivas'!I162</f>
        <v/>
      </c>
      <c r="J191" s="22" t="e">
        <f>IF(VLOOKUP(B191,'Dados gerais'!$D$33:$F$35,3,FALSE)="",2,VLOOKUP(B191,'Dados gerais'!$D$33:$F$35,3,FALSE))</f>
        <v>#N/A</v>
      </c>
      <c r="K191" s="22" t="str">
        <f t="shared" si="30"/>
        <v/>
      </c>
      <c r="L191" s="22" t="str">
        <f t="shared" si="31"/>
        <v/>
      </c>
      <c r="M191" s="22" t="str">
        <f t="shared" si="32"/>
        <v/>
      </c>
      <c r="N191" s="114" t="str">
        <f t="shared" si="29"/>
        <v/>
      </c>
      <c r="O191" s="114" t="str">
        <f>IF(C191=$B$68,$E$90*H191*'Fatores de Emissão'!$E$250,"")</f>
        <v/>
      </c>
      <c r="P191" s="114" t="str">
        <f>IF(C191=$B$68,$E$89*H191*'Fatores de Emissão'!$E$251,"")</f>
        <v/>
      </c>
      <c r="Q191" s="114" t="str">
        <f>IF(C191=$B$69,$E$92*H191*'Fatores de Emissão'!$E$250/1000,"")</f>
        <v/>
      </c>
      <c r="R191" s="114" t="str">
        <f>IF(C191=$B$69,$E$91*H191*'Fatores de Emissão'!$E$251/1000,"")</f>
        <v/>
      </c>
      <c r="S191" s="115" t="str">
        <f t="shared" si="26"/>
        <v/>
      </c>
      <c r="T191" s="115" t="str">
        <f t="shared" si="27"/>
        <v/>
      </c>
      <c r="U191" s="115" t="str">
        <f t="shared" si="28"/>
        <v/>
      </c>
      <c r="V191" s="22" t="str" cm="1">
        <f t="array" ref="V191">_xlfn.IFS(G191&gt;0,G191,N191&gt;0,N191)</f>
        <v/>
      </c>
      <c r="W191" s="22" t="e">
        <f t="shared" si="33"/>
        <v>#N/A</v>
      </c>
      <c r="X191" s="22">
        <f t="shared" si="34"/>
        <v>0</v>
      </c>
    </row>
    <row r="192" spans="2:24" x14ac:dyDescent="0.35">
      <c r="B192" s="109">
        <f>'Emissões Fugitivas'!B163</f>
        <v>0</v>
      </c>
      <c r="C192" s="109">
        <f>'Emissões Fugitivas'!C163</f>
        <v>0</v>
      </c>
      <c r="D192" s="109">
        <f>'Emissões Fugitivas'!D163</f>
        <v>0</v>
      </c>
      <c r="E192" s="109">
        <f>'Emissões Fugitivas'!E163</f>
        <v>0</v>
      </c>
      <c r="F192" s="109" t="str">
        <f>'Emissões Fugitivas'!F163</f>
        <v/>
      </c>
      <c r="G192" s="109">
        <f>'Emissões Fugitivas'!G163</f>
        <v>0</v>
      </c>
      <c r="H192" s="109">
        <f>'Emissões Fugitivas'!H163</f>
        <v>0</v>
      </c>
      <c r="I192" s="109" t="str">
        <f>'Emissões Fugitivas'!I163</f>
        <v/>
      </c>
      <c r="J192" s="22" t="e">
        <f>IF(VLOOKUP(B192,'Dados gerais'!$D$33:$F$35,3,FALSE)="",2,VLOOKUP(B192,'Dados gerais'!$D$33:$F$35,3,FALSE))</f>
        <v>#N/A</v>
      </c>
      <c r="K192" s="22" t="str">
        <f t="shared" si="30"/>
        <v/>
      </c>
      <c r="L192" s="22" t="str">
        <f t="shared" si="31"/>
        <v/>
      </c>
      <c r="M192" s="22" t="str">
        <f t="shared" si="32"/>
        <v/>
      </c>
      <c r="N192" s="114" t="str">
        <f t="shared" si="29"/>
        <v/>
      </c>
      <c r="O192" s="114" t="str">
        <f>IF(C192=$B$68,$E$90*H192*'Fatores de Emissão'!$E$250,"")</f>
        <v/>
      </c>
      <c r="P192" s="114" t="str">
        <f>IF(C192=$B$68,$E$89*H192*'Fatores de Emissão'!$E$251,"")</f>
        <v/>
      </c>
      <c r="Q192" s="114" t="str">
        <f>IF(C192=$B$69,$E$92*H192*'Fatores de Emissão'!$E$250/1000,"")</f>
        <v/>
      </c>
      <c r="R192" s="114" t="str">
        <f>IF(C192=$B$69,$E$91*H192*'Fatores de Emissão'!$E$251/1000,"")</f>
        <v/>
      </c>
      <c r="S192" s="115" t="str">
        <f t="shared" si="26"/>
        <v/>
      </c>
      <c r="T192" s="115" t="str">
        <f t="shared" si="27"/>
        <v/>
      </c>
      <c r="U192" s="115" t="str">
        <f t="shared" si="28"/>
        <v/>
      </c>
      <c r="V192" s="22" t="str" cm="1">
        <f t="array" ref="V192">_xlfn.IFS(G192&gt;0,G192,N192&gt;0,N192)</f>
        <v/>
      </c>
      <c r="W192" s="22" t="e">
        <f t="shared" si="33"/>
        <v>#N/A</v>
      </c>
      <c r="X192" s="22">
        <f t="shared" si="34"/>
        <v>0</v>
      </c>
    </row>
    <row r="193" spans="2:24" x14ac:dyDescent="0.35">
      <c r="B193" s="109">
        <f>'Emissões Fugitivas'!B164</f>
        <v>0</v>
      </c>
      <c r="C193" s="109">
        <f>'Emissões Fugitivas'!C164</f>
        <v>0</v>
      </c>
      <c r="D193" s="109">
        <f>'Emissões Fugitivas'!D164</f>
        <v>0</v>
      </c>
      <c r="E193" s="109">
        <f>'Emissões Fugitivas'!E164</f>
        <v>0</v>
      </c>
      <c r="F193" s="109" t="str">
        <f>'Emissões Fugitivas'!F164</f>
        <v/>
      </c>
      <c r="G193" s="109">
        <f>'Emissões Fugitivas'!G164</f>
        <v>0</v>
      </c>
      <c r="H193" s="109">
        <f>'Emissões Fugitivas'!H164</f>
        <v>0</v>
      </c>
      <c r="I193" s="109" t="str">
        <f>'Emissões Fugitivas'!I164</f>
        <v/>
      </c>
      <c r="J193" s="22" t="e">
        <f>IF(VLOOKUP(B193,'Dados gerais'!$D$33:$F$35,3,FALSE)="",2,VLOOKUP(B193,'Dados gerais'!$D$33:$F$35,3,FALSE))</f>
        <v>#N/A</v>
      </c>
      <c r="K193" s="22" t="str">
        <f t="shared" si="30"/>
        <v/>
      </c>
      <c r="L193" s="22" t="str">
        <f t="shared" si="31"/>
        <v/>
      </c>
      <c r="M193" s="22" t="str">
        <f t="shared" si="32"/>
        <v/>
      </c>
      <c r="N193" s="114" t="str">
        <f t="shared" si="29"/>
        <v/>
      </c>
      <c r="O193" s="114" t="str">
        <f>IF(C193=$B$68,$E$90*H193*'Fatores de Emissão'!$E$250,"")</f>
        <v/>
      </c>
      <c r="P193" s="114" t="str">
        <f>IF(C193=$B$68,$E$89*H193*'Fatores de Emissão'!$E$251,"")</f>
        <v/>
      </c>
      <c r="Q193" s="114" t="str">
        <f>IF(C193=$B$69,$E$92*H193*'Fatores de Emissão'!$E$250/1000,"")</f>
        <v/>
      </c>
      <c r="R193" s="114" t="str">
        <f>IF(C193=$B$69,$E$91*H193*'Fatores de Emissão'!$E$251/1000,"")</f>
        <v/>
      </c>
      <c r="S193" s="115" t="str">
        <f t="shared" si="26"/>
        <v/>
      </c>
      <c r="T193" s="115" t="str">
        <f t="shared" si="27"/>
        <v/>
      </c>
      <c r="U193" s="115" t="str">
        <f t="shared" si="28"/>
        <v/>
      </c>
      <c r="V193" s="22" t="str" cm="1">
        <f t="array" ref="V193">_xlfn.IFS(G193&gt;0,G193,N193&gt;0,N193)</f>
        <v/>
      </c>
      <c r="W193" s="22" t="e">
        <f t="shared" si="33"/>
        <v>#N/A</v>
      </c>
      <c r="X193" s="22">
        <f t="shared" si="34"/>
        <v>0</v>
      </c>
    </row>
    <row r="194" spans="2:24" x14ac:dyDescent="0.35">
      <c r="B194" s="109">
        <f>'Emissões Fugitivas'!B165</f>
        <v>0</v>
      </c>
      <c r="C194" s="109">
        <f>'Emissões Fugitivas'!C165</f>
        <v>0</v>
      </c>
      <c r="D194" s="109">
        <f>'Emissões Fugitivas'!D165</f>
        <v>0</v>
      </c>
      <c r="E194" s="109">
        <f>'Emissões Fugitivas'!E165</f>
        <v>0</v>
      </c>
      <c r="F194" s="109" t="str">
        <f>'Emissões Fugitivas'!F165</f>
        <v/>
      </c>
      <c r="G194" s="109">
        <f>'Emissões Fugitivas'!G165</f>
        <v>0</v>
      </c>
      <c r="H194" s="109">
        <f>'Emissões Fugitivas'!H165</f>
        <v>0</v>
      </c>
      <c r="I194" s="109" t="str">
        <f>'Emissões Fugitivas'!I165</f>
        <v/>
      </c>
      <c r="J194" s="22" t="e">
        <f>IF(VLOOKUP(B194,'Dados gerais'!$D$33:$F$35,3,FALSE)="",2,VLOOKUP(B194,'Dados gerais'!$D$33:$F$35,3,FALSE))</f>
        <v>#N/A</v>
      </c>
      <c r="K194" s="22" t="str">
        <f t="shared" si="30"/>
        <v/>
      </c>
      <c r="L194" s="22" t="str">
        <f t="shared" si="31"/>
        <v/>
      </c>
      <c r="M194" s="22" t="str">
        <f t="shared" si="32"/>
        <v/>
      </c>
      <c r="N194" s="114" t="str">
        <f t="shared" si="29"/>
        <v/>
      </c>
      <c r="O194" s="114" t="str">
        <f>IF(C194=$B$68,$E$90*H194*'Fatores de Emissão'!$E$250,"")</f>
        <v/>
      </c>
      <c r="P194" s="114" t="str">
        <f>IF(C194=$B$68,$E$89*H194*'Fatores de Emissão'!$E$251,"")</f>
        <v/>
      </c>
      <c r="Q194" s="114" t="str">
        <f>IF(C194=$B$69,$E$92*H194*'Fatores de Emissão'!$E$250/1000,"")</f>
        <v/>
      </c>
      <c r="R194" s="114" t="str">
        <f>IF(C194=$B$69,$E$91*H194*'Fatores de Emissão'!$E$251/1000,"")</f>
        <v/>
      </c>
      <c r="S194" s="115" t="str">
        <f t="shared" si="26"/>
        <v/>
      </c>
      <c r="T194" s="115" t="str">
        <f t="shared" si="27"/>
        <v/>
      </c>
      <c r="U194" s="115" t="str">
        <f t="shared" si="28"/>
        <v/>
      </c>
      <c r="V194" s="22" t="str" cm="1">
        <f t="array" ref="V194">_xlfn.IFS(G194&gt;0,G194,N194&gt;0,N194)</f>
        <v/>
      </c>
      <c r="W194" s="22" t="e">
        <f t="shared" si="33"/>
        <v>#N/A</v>
      </c>
      <c r="X194" s="22">
        <f t="shared" si="34"/>
        <v>0</v>
      </c>
    </row>
    <row r="195" spans="2:24" x14ac:dyDescent="0.35">
      <c r="B195" s="109">
        <f>'Emissões Fugitivas'!B166</f>
        <v>0</v>
      </c>
      <c r="C195" s="109">
        <f>'Emissões Fugitivas'!C166</f>
        <v>0</v>
      </c>
      <c r="D195" s="109">
        <f>'Emissões Fugitivas'!D166</f>
        <v>0</v>
      </c>
      <c r="E195" s="109">
        <f>'Emissões Fugitivas'!E166</f>
        <v>0</v>
      </c>
      <c r="F195" s="109" t="str">
        <f>'Emissões Fugitivas'!F166</f>
        <v/>
      </c>
      <c r="G195" s="109">
        <f>'Emissões Fugitivas'!G166</f>
        <v>0</v>
      </c>
      <c r="H195" s="109">
        <f>'Emissões Fugitivas'!H166</f>
        <v>0</v>
      </c>
      <c r="I195" s="109" t="str">
        <f>'Emissões Fugitivas'!I166</f>
        <v/>
      </c>
      <c r="J195" s="22" t="e">
        <f>IF(VLOOKUP(B195,'Dados gerais'!$D$33:$F$35,3,FALSE)="",2,VLOOKUP(B195,'Dados gerais'!$D$33:$F$35,3,FALSE))</f>
        <v>#N/A</v>
      </c>
      <c r="K195" s="22" t="str">
        <f t="shared" si="30"/>
        <v/>
      </c>
      <c r="L195" s="22" t="str">
        <f t="shared" si="31"/>
        <v/>
      </c>
      <c r="M195" s="22" t="str">
        <f t="shared" si="32"/>
        <v/>
      </c>
      <c r="N195" s="114" t="str">
        <f t="shared" si="29"/>
        <v/>
      </c>
      <c r="O195" s="114" t="str">
        <f>IF(C195=$B$68,$E$90*H195*'Fatores de Emissão'!$E$250,"")</f>
        <v/>
      </c>
      <c r="P195" s="114" t="str">
        <f>IF(C195=$B$68,$E$89*H195*'Fatores de Emissão'!$E$251,"")</f>
        <v/>
      </c>
      <c r="Q195" s="114" t="str">
        <f>IF(C195=$B$69,$E$92*H195*'Fatores de Emissão'!$E$250/1000,"")</f>
        <v/>
      </c>
      <c r="R195" s="114" t="str">
        <f>IF(C195=$B$69,$E$91*H195*'Fatores de Emissão'!$E$251/1000,"")</f>
        <v/>
      </c>
      <c r="S195" s="115" t="str">
        <f t="shared" si="26"/>
        <v/>
      </c>
      <c r="T195" s="115" t="str">
        <f t="shared" si="27"/>
        <v/>
      </c>
      <c r="U195" s="115" t="str">
        <f t="shared" si="28"/>
        <v/>
      </c>
      <c r="V195" s="22" t="str" cm="1">
        <f t="array" ref="V195">_xlfn.IFS(G195&gt;0,G195,N195&gt;0,N195)</f>
        <v/>
      </c>
      <c r="W195" s="22" t="e">
        <f t="shared" si="33"/>
        <v>#N/A</v>
      </c>
      <c r="X195" s="22">
        <f t="shared" si="34"/>
        <v>0</v>
      </c>
    </row>
    <row r="196" spans="2:24" x14ac:dyDescent="0.35">
      <c r="B196" s="109">
        <f>'Emissões Fugitivas'!B167</f>
        <v>0</v>
      </c>
      <c r="C196" s="109">
        <f>'Emissões Fugitivas'!C167</f>
        <v>0</v>
      </c>
      <c r="D196" s="109">
        <f>'Emissões Fugitivas'!D167</f>
        <v>0</v>
      </c>
      <c r="E196" s="109">
        <f>'Emissões Fugitivas'!E167</f>
        <v>0</v>
      </c>
      <c r="F196" s="109" t="str">
        <f>'Emissões Fugitivas'!F167</f>
        <v/>
      </c>
      <c r="G196" s="109">
        <f>'Emissões Fugitivas'!G167</f>
        <v>0</v>
      </c>
      <c r="H196" s="109">
        <f>'Emissões Fugitivas'!H167</f>
        <v>0</v>
      </c>
      <c r="I196" s="109" t="str">
        <f>'Emissões Fugitivas'!I167</f>
        <v/>
      </c>
      <c r="J196" s="22" t="e">
        <f>IF(VLOOKUP(B196,'Dados gerais'!$D$33:$F$35,3,FALSE)="",2,VLOOKUP(B196,'Dados gerais'!$D$33:$F$35,3,FALSE))</f>
        <v>#N/A</v>
      </c>
      <c r="K196" s="22" t="str">
        <f t="shared" si="30"/>
        <v/>
      </c>
      <c r="L196" s="22" t="str">
        <f t="shared" si="31"/>
        <v/>
      </c>
      <c r="M196" s="22" t="str">
        <f t="shared" si="32"/>
        <v/>
      </c>
      <c r="N196" s="114" t="str">
        <f t="shared" si="29"/>
        <v/>
      </c>
      <c r="O196" s="114" t="str">
        <f>IF(C196=$B$68,$E$90*H196*'Fatores de Emissão'!$E$250,"")</f>
        <v/>
      </c>
      <c r="P196" s="114" t="str">
        <f>IF(C196=$B$68,$E$89*H196*'Fatores de Emissão'!$E$251,"")</f>
        <v/>
      </c>
      <c r="Q196" s="114" t="str">
        <f>IF(C196=$B$69,$E$92*H196*'Fatores de Emissão'!$E$250/1000,"")</f>
        <v/>
      </c>
      <c r="R196" s="114" t="str">
        <f>IF(C196=$B$69,$E$91*H196*'Fatores de Emissão'!$E$251/1000,"")</f>
        <v/>
      </c>
      <c r="S196" s="115" t="str">
        <f t="shared" si="26"/>
        <v/>
      </c>
      <c r="T196" s="115" t="str">
        <f t="shared" si="27"/>
        <v/>
      </c>
      <c r="U196" s="115" t="str">
        <f t="shared" si="28"/>
        <v/>
      </c>
      <c r="V196" s="22" t="str" cm="1">
        <f t="array" ref="V196">_xlfn.IFS(G196&gt;0,G196,N196&gt;0,N196)</f>
        <v/>
      </c>
      <c r="W196" s="22" t="e">
        <f t="shared" si="33"/>
        <v>#N/A</v>
      </c>
      <c r="X196" s="22">
        <f t="shared" si="34"/>
        <v>0</v>
      </c>
    </row>
    <row r="197" spans="2:24" x14ac:dyDescent="0.35">
      <c r="B197" s="109">
        <f>'Emissões Fugitivas'!B168</f>
        <v>0</v>
      </c>
      <c r="C197" s="109">
        <f>'Emissões Fugitivas'!C168</f>
        <v>0</v>
      </c>
      <c r="D197" s="109">
        <f>'Emissões Fugitivas'!D168</f>
        <v>0</v>
      </c>
      <c r="E197" s="109">
        <f>'Emissões Fugitivas'!E168</f>
        <v>0</v>
      </c>
      <c r="F197" s="109" t="str">
        <f>'Emissões Fugitivas'!F168</f>
        <v/>
      </c>
      <c r="G197" s="109">
        <f>'Emissões Fugitivas'!G168</f>
        <v>0</v>
      </c>
      <c r="H197" s="109">
        <f>'Emissões Fugitivas'!H168</f>
        <v>0</v>
      </c>
      <c r="I197" s="109" t="str">
        <f>'Emissões Fugitivas'!I168</f>
        <v/>
      </c>
      <c r="J197" s="22" t="e">
        <f>IF(VLOOKUP(B197,'Dados gerais'!$D$33:$F$35,3,FALSE)="",2,VLOOKUP(B197,'Dados gerais'!$D$33:$F$35,3,FALSE))</f>
        <v>#N/A</v>
      </c>
      <c r="K197" s="22" t="str">
        <f t="shared" si="30"/>
        <v/>
      </c>
      <c r="L197" s="22" t="str">
        <f t="shared" si="31"/>
        <v/>
      </c>
      <c r="M197" s="22" t="str">
        <f t="shared" si="32"/>
        <v/>
      </c>
      <c r="N197" s="114" t="str">
        <f t="shared" si="29"/>
        <v/>
      </c>
      <c r="O197" s="114" t="str">
        <f>IF(C197=$B$68,$E$90*H197*'Fatores de Emissão'!$E$250,"")</f>
        <v/>
      </c>
      <c r="P197" s="114" t="str">
        <f>IF(C197=$B$68,$E$89*H197*'Fatores de Emissão'!$E$251,"")</f>
        <v/>
      </c>
      <c r="Q197" s="114" t="str">
        <f>IF(C197=$B$69,$E$92*H197*'Fatores de Emissão'!$E$250/1000,"")</f>
        <v/>
      </c>
      <c r="R197" s="114" t="str">
        <f>IF(C197=$B$69,$E$91*H197*'Fatores de Emissão'!$E$251/1000,"")</f>
        <v/>
      </c>
      <c r="S197" s="115" t="str">
        <f t="shared" si="26"/>
        <v/>
      </c>
      <c r="T197" s="115" t="str">
        <f t="shared" si="27"/>
        <v/>
      </c>
      <c r="U197" s="115" t="str">
        <f t="shared" si="28"/>
        <v/>
      </c>
      <c r="V197" s="22" t="str" cm="1">
        <f t="array" ref="V197">_xlfn.IFS(G197&gt;0,G197,N197&gt;0,N197)</f>
        <v/>
      </c>
      <c r="W197" s="22" t="e">
        <f t="shared" si="33"/>
        <v>#N/A</v>
      </c>
      <c r="X197" s="22">
        <f t="shared" si="34"/>
        <v>0</v>
      </c>
    </row>
    <row r="198" spans="2:24" x14ac:dyDescent="0.35">
      <c r="B198" s="109">
        <f>'Emissões Fugitivas'!B169</f>
        <v>0</v>
      </c>
      <c r="C198" s="109">
        <f>'Emissões Fugitivas'!C169</f>
        <v>0</v>
      </c>
      <c r="D198" s="109">
        <f>'Emissões Fugitivas'!D169</f>
        <v>0</v>
      </c>
      <c r="E198" s="109">
        <f>'Emissões Fugitivas'!E169</f>
        <v>0</v>
      </c>
      <c r="F198" s="109" t="str">
        <f>'Emissões Fugitivas'!F169</f>
        <v/>
      </c>
      <c r="G198" s="109">
        <f>'Emissões Fugitivas'!G169</f>
        <v>0</v>
      </c>
      <c r="H198" s="109">
        <f>'Emissões Fugitivas'!H169</f>
        <v>0</v>
      </c>
      <c r="I198" s="109" t="str">
        <f>'Emissões Fugitivas'!I169</f>
        <v/>
      </c>
      <c r="J198" s="22" t="e">
        <f>IF(VLOOKUP(B198,'Dados gerais'!$D$33:$F$35,3,FALSE)="",2,VLOOKUP(B198,'Dados gerais'!$D$33:$F$35,3,FALSE))</f>
        <v>#N/A</v>
      </c>
      <c r="K198" s="22" t="str">
        <f t="shared" si="30"/>
        <v/>
      </c>
      <c r="L198" s="22" t="str">
        <f t="shared" si="31"/>
        <v/>
      </c>
      <c r="M198" s="22" t="str">
        <f t="shared" si="32"/>
        <v/>
      </c>
      <c r="N198" s="114" t="str">
        <f t="shared" si="29"/>
        <v/>
      </c>
      <c r="O198" s="114" t="str">
        <f>IF(C198=$B$68,$E$90*H198*'Fatores de Emissão'!$E$250,"")</f>
        <v/>
      </c>
      <c r="P198" s="114" t="str">
        <f>IF(C198=$B$68,$E$89*H198*'Fatores de Emissão'!$E$251,"")</f>
        <v/>
      </c>
      <c r="Q198" s="114" t="str">
        <f>IF(C198=$B$69,$E$92*H198*'Fatores de Emissão'!$E$250/1000,"")</f>
        <v/>
      </c>
      <c r="R198" s="114" t="str">
        <f>IF(C198=$B$69,$E$91*H198*'Fatores de Emissão'!$E$251/1000,"")</f>
        <v/>
      </c>
      <c r="S198" s="115" t="str">
        <f t="shared" si="26"/>
        <v/>
      </c>
      <c r="T198" s="115" t="str">
        <f t="shared" si="27"/>
        <v/>
      </c>
      <c r="U198" s="115" t="str">
        <f t="shared" si="28"/>
        <v/>
      </c>
      <c r="V198" s="22" t="str" cm="1">
        <f t="array" ref="V198">_xlfn.IFS(G198&gt;0,G198,N198&gt;0,N198)</f>
        <v/>
      </c>
      <c r="W198" s="22" t="e">
        <f t="shared" si="33"/>
        <v>#N/A</v>
      </c>
      <c r="X198" s="22">
        <f t="shared" si="34"/>
        <v>0</v>
      </c>
    </row>
    <row r="199" spans="2:24" x14ac:dyDescent="0.35">
      <c r="B199" s="109">
        <f>'Emissões Fugitivas'!B170</f>
        <v>0</v>
      </c>
      <c r="C199" s="109">
        <f>'Emissões Fugitivas'!C170</f>
        <v>0</v>
      </c>
      <c r="D199" s="109">
        <f>'Emissões Fugitivas'!D170</f>
        <v>0</v>
      </c>
      <c r="E199" s="109">
        <f>'Emissões Fugitivas'!E170</f>
        <v>0</v>
      </c>
      <c r="F199" s="109" t="str">
        <f>'Emissões Fugitivas'!F170</f>
        <v/>
      </c>
      <c r="G199" s="109">
        <f>'Emissões Fugitivas'!G170</f>
        <v>0</v>
      </c>
      <c r="H199" s="109">
        <f>'Emissões Fugitivas'!H170</f>
        <v>0</v>
      </c>
      <c r="I199" s="109" t="str">
        <f>'Emissões Fugitivas'!I170</f>
        <v/>
      </c>
      <c r="J199" s="22" t="e">
        <f>IF(VLOOKUP(B199,'Dados gerais'!$D$33:$F$35,3,FALSE)="",2,VLOOKUP(B199,'Dados gerais'!$D$33:$F$35,3,FALSE))</f>
        <v>#N/A</v>
      </c>
      <c r="K199" s="22" t="str">
        <f t="shared" si="30"/>
        <v/>
      </c>
      <c r="L199" s="22" t="str">
        <f t="shared" si="31"/>
        <v/>
      </c>
      <c r="M199" s="22" t="str">
        <f t="shared" si="32"/>
        <v/>
      </c>
      <c r="N199" s="114" t="str">
        <f t="shared" si="29"/>
        <v/>
      </c>
      <c r="O199" s="114" t="str">
        <f>IF(C199=$B$68,$E$90*H199*'Fatores de Emissão'!$E$250,"")</f>
        <v/>
      </c>
      <c r="P199" s="114" t="str">
        <f>IF(C199=$B$68,$E$89*H199*'Fatores de Emissão'!$E$251,"")</f>
        <v/>
      </c>
      <c r="Q199" s="114" t="str">
        <f>IF(C199=$B$69,$E$92*H199*'Fatores de Emissão'!$E$250/1000,"")</f>
        <v/>
      </c>
      <c r="R199" s="114" t="str">
        <f>IF(C199=$B$69,$E$91*H199*'Fatores de Emissão'!$E$251/1000,"")</f>
        <v/>
      </c>
      <c r="S199" s="115" t="str">
        <f t="shared" si="26"/>
        <v/>
      </c>
      <c r="T199" s="115" t="str">
        <f t="shared" si="27"/>
        <v/>
      </c>
      <c r="U199" s="115" t="str">
        <f t="shared" si="28"/>
        <v/>
      </c>
      <c r="V199" s="22" t="str" cm="1">
        <f t="array" ref="V199">_xlfn.IFS(G199&gt;0,G199,N199&gt;0,N199)</f>
        <v/>
      </c>
      <c r="W199" s="22" t="e">
        <f t="shared" si="33"/>
        <v>#N/A</v>
      </c>
      <c r="X199" s="22">
        <f t="shared" si="34"/>
        <v>0</v>
      </c>
    </row>
    <row r="200" spans="2:24" x14ac:dyDescent="0.35">
      <c r="B200" s="109">
        <f>'Emissões Fugitivas'!B171</f>
        <v>0</v>
      </c>
      <c r="C200" s="109">
        <f>'Emissões Fugitivas'!C171</f>
        <v>0</v>
      </c>
      <c r="D200" s="109">
        <f>'Emissões Fugitivas'!D171</f>
        <v>0</v>
      </c>
      <c r="E200" s="109">
        <f>'Emissões Fugitivas'!E171</f>
        <v>0</v>
      </c>
      <c r="F200" s="109" t="str">
        <f>'Emissões Fugitivas'!F171</f>
        <v/>
      </c>
      <c r="G200" s="109">
        <f>'Emissões Fugitivas'!G171</f>
        <v>0</v>
      </c>
      <c r="H200" s="109">
        <f>'Emissões Fugitivas'!H171</f>
        <v>0</v>
      </c>
      <c r="I200" s="109" t="str">
        <f>'Emissões Fugitivas'!I171</f>
        <v/>
      </c>
      <c r="J200" s="22" t="e">
        <f>IF(VLOOKUP(B200,'Dados gerais'!$D$33:$F$35,3,FALSE)="",2,VLOOKUP(B200,'Dados gerais'!$D$33:$F$35,3,FALSE))</f>
        <v>#N/A</v>
      </c>
      <c r="K200" s="22" t="str">
        <f t="shared" si="30"/>
        <v/>
      </c>
      <c r="L200" s="22" t="str">
        <f t="shared" si="31"/>
        <v/>
      </c>
      <c r="M200" s="22" t="str">
        <f t="shared" si="32"/>
        <v/>
      </c>
      <c r="N200" s="114" t="str">
        <f t="shared" si="29"/>
        <v/>
      </c>
      <c r="O200" s="114" t="str">
        <f>IF(C200=$B$68,$E$90*H200*'Fatores de Emissão'!$E$250,"")</f>
        <v/>
      </c>
      <c r="P200" s="114" t="str">
        <f>IF(C200=$B$68,$E$89*H200*'Fatores de Emissão'!$E$251,"")</f>
        <v/>
      </c>
      <c r="Q200" s="114" t="str">
        <f>IF(C200=$B$69,$E$92*H200*'Fatores de Emissão'!$E$250/1000,"")</f>
        <v/>
      </c>
      <c r="R200" s="114" t="str">
        <f>IF(C200=$B$69,$E$91*H200*'Fatores de Emissão'!$E$251/1000,"")</f>
        <v/>
      </c>
      <c r="S200" s="115" t="str">
        <f t="shared" si="26"/>
        <v/>
      </c>
      <c r="T200" s="115" t="str">
        <f t="shared" si="27"/>
        <v/>
      </c>
      <c r="U200" s="115" t="str">
        <f t="shared" si="28"/>
        <v/>
      </c>
      <c r="V200" s="22" t="str" cm="1">
        <f t="array" ref="V200">_xlfn.IFS(G200&gt;0,G200,N200&gt;0,N200)</f>
        <v/>
      </c>
      <c r="W200" s="22" t="e">
        <f t="shared" si="33"/>
        <v>#N/A</v>
      </c>
      <c r="X200" s="22">
        <f t="shared" si="34"/>
        <v>0</v>
      </c>
    </row>
    <row r="201" spans="2:24" x14ac:dyDescent="0.35">
      <c r="B201" s="109">
        <f>'Emissões Fugitivas'!B172</f>
        <v>0</v>
      </c>
      <c r="C201" s="109">
        <f>'Emissões Fugitivas'!C172</f>
        <v>0</v>
      </c>
      <c r="D201" s="109">
        <f>'Emissões Fugitivas'!D172</f>
        <v>0</v>
      </c>
      <c r="E201" s="109">
        <f>'Emissões Fugitivas'!E172</f>
        <v>0</v>
      </c>
      <c r="F201" s="109" t="str">
        <f>'Emissões Fugitivas'!F172</f>
        <v/>
      </c>
      <c r="G201" s="109">
        <f>'Emissões Fugitivas'!G172</f>
        <v>0</v>
      </c>
      <c r="H201" s="109">
        <f>'Emissões Fugitivas'!H172</f>
        <v>0</v>
      </c>
      <c r="I201" s="109" t="str">
        <f>'Emissões Fugitivas'!I172</f>
        <v/>
      </c>
      <c r="J201" s="22" t="e">
        <f>IF(VLOOKUP(B201,'Dados gerais'!$D$33:$F$35,3,FALSE)="",2,VLOOKUP(B201,'Dados gerais'!$D$33:$F$35,3,FALSE))</f>
        <v>#N/A</v>
      </c>
      <c r="K201" s="22" t="str">
        <f t="shared" si="30"/>
        <v/>
      </c>
      <c r="L201" s="22" t="str">
        <f t="shared" si="31"/>
        <v/>
      </c>
      <c r="M201" s="22" t="str">
        <f t="shared" si="32"/>
        <v/>
      </c>
      <c r="N201" s="114" t="str">
        <f t="shared" si="29"/>
        <v/>
      </c>
      <c r="O201" s="114" t="str">
        <f>IF(C201=$B$68,$E$90*H201*'Fatores de Emissão'!$E$250,"")</f>
        <v/>
      </c>
      <c r="P201" s="114" t="str">
        <f>IF(C201=$B$68,$E$89*H201*'Fatores de Emissão'!$E$251,"")</f>
        <v/>
      </c>
      <c r="Q201" s="114" t="str">
        <f>IF(C201=$B$69,$E$92*H201*'Fatores de Emissão'!$E$250/1000,"")</f>
        <v/>
      </c>
      <c r="R201" s="114" t="str">
        <f>IF(C201=$B$69,$E$91*H201*'Fatores de Emissão'!$E$251/1000,"")</f>
        <v/>
      </c>
      <c r="S201" s="115" t="str">
        <f t="shared" si="26"/>
        <v/>
      </c>
      <c r="T201" s="115" t="str">
        <f t="shared" si="27"/>
        <v/>
      </c>
      <c r="U201" s="115" t="str">
        <f t="shared" si="28"/>
        <v/>
      </c>
      <c r="V201" s="22" t="str" cm="1">
        <f t="array" ref="V201">_xlfn.IFS(G201&gt;0,G201,N201&gt;0,N201)</f>
        <v/>
      </c>
      <c r="W201" s="22" t="e">
        <f t="shared" si="33"/>
        <v>#N/A</v>
      </c>
      <c r="X201" s="22">
        <f t="shared" si="34"/>
        <v>0</v>
      </c>
    </row>
    <row r="202" spans="2:24" x14ac:dyDescent="0.35">
      <c r="B202" s="109">
        <f>'Emissões Fugitivas'!B173</f>
        <v>0</v>
      </c>
      <c r="C202" s="109">
        <f>'Emissões Fugitivas'!C173</f>
        <v>0</v>
      </c>
      <c r="D202" s="109">
        <f>'Emissões Fugitivas'!D173</f>
        <v>0</v>
      </c>
      <c r="E202" s="109">
        <f>'Emissões Fugitivas'!E173</f>
        <v>0</v>
      </c>
      <c r="F202" s="109" t="str">
        <f>'Emissões Fugitivas'!F173</f>
        <v/>
      </c>
      <c r="G202" s="109">
        <f>'Emissões Fugitivas'!G173</f>
        <v>0</v>
      </c>
      <c r="H202" s="109">
        <f>'Emissões Fugitivas'!H173</f>
        <v>0</v>
      </c>
      <c r="I202" s="109" t="str">
        <f>'Emissões Fugitivas'!I173</f>
        <v/>
      </c>
      <c r="J202" s="22" t="e">
        <f>IF(VLOOKUP(B202,'Dados gerais'!$D$33:$F$35,3,FALSE)="",2,VLOOKUP(B202,'Dados gerais'!$D$33:$F$35,3,FALSE))</f>
        <v>#N/A</v>
      </c>
      <c r="K202" s="22" t="str">
        <f t="shared" si="30"/>
        <v/>
      </c>
      <c r="L202" s="22" t="str">
        <f t="shared" si="31"/>
        <v/>
      </c>
      <c r="M202" s="22" t="str">
        <f t="shared" si="32"/>
        <v/>
      </c>
      <c r="N202" s="114" t="str">
        <f t="shared" si="29"/>
        <v/>
      </c>
      <c r="O202" s="114" t="str">
        <f>IF(C202=$B$68,$E$90*H202*'Fatores de Emissão'!$E$250,"")</f>
        <v/>
      </c>
      <c r="P202" s="114" t="str">
        <f>IF(C202=$B$68,$E$89*H202*'Fatores de Emissão'!$E$251,"")</f>
        <v/>
      </c>
      <c r="Q202" s="114" t="str">
        <f>IF(C202=$B$69,$E$92*H202*'Fatores de Emissão'!$E$250/1000,"")</f>
        <v/>
      </c>
      <c r="R202" s="114" t="str">
        <f>IF(C202=$B$69,$E$91*H202*'Fatores de Emissão'!$E$251/1000,"")</f>
        <v/>
      </c>
      <c r="S202" s="115" t="str">
        <f t="shared" si="26"/>
        <v/>
      </c>
      <c r="T202" s="115" t="str">
        <f t="shared" si="27"/>
        <v/>
      </c>
      <c r="U202" s="115" t="str">
        <f t="shared" si="28"/>
        <v/>
      </c>
      <c r="V202" s="22" t="str" cm="1">
        <f t="array" ref="V202">_xlfn.IFS(G202&gt;0,G202,N202&gt;0,N202)</f>
        <v/>
      </c>
      <c r="W202" s="22" t="e">
        <f t="shared" si="33"/>
        <v>#N/A</v>
      </c>
      <c r="X202" s="22">
        <f t="shared" si="34"/>
        <v>0</v>
      </c>
    </row>
    <row r="203" spans="2:24" x14ac:dyDescent="0.35">
      <c r="B203" s="109">
        <f>'Emissões Fugitivas'!B174</f>
        <v>0</v>
      </c>
      <c r="C203" s="109">
        <f>'Emissões Fugitivas'!C174</f>
        <v>0</v>
      </c>
      <c r="D203" s="109">
        <f>'Emissões Fugitivas'!D174</f>
        <v>0</v>
      </c>
      <c r="E203" s="109">
        <f>'Emissões Fugitivas'!E174</f>
        <v>0</v>
      </c>
      <c r="F203" s="109" t="str">
        <f>'Emissões Fugitivas'!F174</f>
        <v/>
      </c>
      <c r="G203" s="109">
        <f>'Emissões Fugitivas'!G174</f>
        <v>0</v>
      </c>
      <c r="H203" s="109">
        <f>'Emissões Fugitivas'!H174</f>
        <v>0</v>
      </c>
      <c r="I203" s="109" t="str">
        <f>'Emissões Fugitivas'!I174</f>
        <v/>
      </c>
      <c r="J203" s="22" t="e">
        <f>IF(VLOOKUP(B203,'Dados gerais'!$D$33:$F$35,3,FALSE)="",2,VLOOKUP(B203,'Dados gerais'!$D$33:$F$35,3,FALSE))</f>
        <v>#N/A</v>
      </c>
      <c r="K203" s="22" t="str">
        <f t="shared" si="30"/>
        <v/>
      </c>
      <c r="L203" s="22" t="str">
        <f t="shared" si="31"/>
        <v/>
      </c>
      <c r="M203" s="22" t="str">
        <f t="shared" si="32"/>
        <v/>
      </c>
      <c r="N203" s="114" t="str">
        <f t="shared" si="29"/>
        <v/>
      </c>
      <c r="O203" s="114" t="str">
        <f>IF(C203=$B$68,$E$90*H203*'Fatores de Emissão'!$E$250,"")</f>
        <v/>
      </c>
      <c r="P203" s="114" t="str">
        <f>IF(C203=$B$68,$E$89*H203*'Fatores de Emissão'!$E$251,"")</f>
        <v/>
      </c>
      <c r="Q203" s="114" t="str">
        <f>IF(C203=$B$69,$E$92*H203*'Fatores de Emissão'!$E$250/1000,"")</f>
        <v/>
      </c>
      <c r="R203" s="114" t="str">
        <f>IF(C203=$B$69,$E$91*H203*'Fatores de Emissão'!$E$251/1000,"")</f>
        <v/>
      </c>
      <c r="S203" s="115" t="str">
        <f t="shared" si="26"/>
        <v/>
      </c>
      <c r="T203" s="115" t="str">
        <f t="shared" si="27"/>
        <v/>
      </c>
      <c r="U203" s="115" t="str">
        <f t="shared" si="28"/>
        <v/>
      </c>
      <c r="V203" s="22" t="str" cm="1">
        <f t="array" ref="V203">_xlfn.IFS(G203&gt;0,G203,N203&gt;0,N203)</f>
        <v/>
      </c>
      <c r="W203" s="22" t="e">
        <f t="shared" si="33"/>
        <v>#N/A</v>
      </c>
      <c r="X203" s="22">
        <f t="shared" si="34"/>
        <v>0</v>
      </c>
    </row>
    <row r="204" spans="2:24" x14ac:dyDescent="0.35">
      <c r="B204" s="109">
        <f>'Emissões Fugitivas'!B175</f>
        <v>0</v>
      </c>
      <c r="C204" s="109">
        <f>'Emissões Fugitivas'!C175</f>
        <v>0</v>
      </c>
      <c r="D204" s="109">
        <f>'Emissões Fugitivas'!D175</f>
        <v>0</v>
      </c>
      <c r="E204" s="109">
        <f>'Emissões Fugitivas'!E175</f>
        <v>0</v>
      </c>
      <c r="F204" s="109" t="str">
        <f>'Emissões Fugitivas'!F175</f>
        <v/>
      </c>
      <c r="G204" s="109">
        <f>'Emissões Fugitivas'!G175</f>
        <v>0</v>
      </c>
      <c r="H204" s="109">
        <f>'Emissões Fugitivas'!H175</f>
        <v>0</v>
      </c>
      <c r="I204" s="109" t="str">
        <f>'Emissões Fugitivas'!I175</f>
        <v/>
      </c>
      <c r="J204" s="22" t="e">
        <f>IF(VLOOKUP(B204,'Dados gerais'!$D$33:$F$35,3,FALSE)="",2,VLOOKUP(B204,'Dados gerais'!$D$33:$F$35,3,FALSE))</f>
        <v>#N/A</v>
      </c>
      <c r="K204" s="22" t="str">
        <f t="shared" si="30"/>
        <v/>
      </c>
      <c r="L204" s="22" t="str">
        <f t="shared" si="31"/>
        <v/>
      </c>
      <c r="M204" s="22" t="str">
        <f t="shared" si="32"/>
        <v/>
      </c>
      <c r="N204" s="114" t="str">
        <f t="shared" si="29"/>
        <v/>
      </c>
      <c r="O204" s="114" t="str">
        <f>IF(C204=$B$68,$E$90*H204*'Fatores de Emissão'!$E$250,"")</f>
        <v/>
      </c>
      <c r="P204" s="114" t="str">
        <f>IF(C204=$B$68,$E$89*H204*'Fatores de Emissão'!$E$251,"")</f>
        <v/>
      </c>
      <c r="Q204" s="114" t="str">
        <f>IF(C204=$B$69,$E$92*H204*'Fatores de Emissão'!$E$250/1000,"")</f>
        <v/>
      </c>
      <c r="R204" s="114" t="str">
        <f>IF(C204=$B$69,$E$91*H204*'Fatores de Emissão'!$E$251/1000,"")</f>
        <v/>
      </c>
      <c r="S204" s="115" t="str">
        <f t="shared" si="26"/>
        <v/>
      </c>
      <c r="T204" s="115" t="str">
        <f t="shared" si="27"/>
        <v/>
      </c>
      <c r="U204" s="115" t="str">
        <f t="shared" si="28"/>
        <v/>
      </c>
      <c r="V204" s="22" t="str" cm="1">
        <f t="array" ref="V204">_xlfn.IFS(G204&gt;0,G204,N204&gt;0,N204)</f>
        <v/>
      </c>
      <c r="W204" s="22" t="e">
        <f t="shared" si="33"/>
        <v>#N/A</v>
      </c>
      <c r="X204" s="22">
        <f t="shared" si="34"/>
        <v>0</v>
      </c>
    </row>
    <row r="205" spans="2:24" x14ac:dyDescent="0.35">
      <c r="B205" s="109">
        <f>'Emissões Fugitivas'!B176</f>
        <v>0</v>
      </c>
      <c r="C205" s="109">
        <f>'Emissões Fugitivas'!C176</f>
        <v>0</v>
      </c>
      <c r="D205" s="109">
        <f>'Emissões Fugitivas'!D176</f>
        <v>0</v>
      </c>
      <c r="E205" s="109">
        <f>'Emissões Fugitivas'!E176</f>
        <v>0</v>
      </c>
      <c r="F205" s="109" t="str">
        <f>'Emissões Fugitivas'!F176</f>
        <v/>
      </c>
      <c r="G205" s="109">
        <f>'Emissões Fugitivas'!G176</f>
        <v>0</v>
      </c>
      <c r="H205" s="109">
        <f>'Emissões Fugitivas'!H176</f>
        <v>0</v>
      </c>
      <c r="I205" s="109" t="str">
        <f>'Emissões Fugitivas'!I176</f>
        <v/>
      </c>
      <c r="J205" s="22" t="e">
        <f>IF(VLOOKUP(B205,'Dados gerais'!$D$33:$F$35,3,FALSE)="",2,VLOOKUP(B205,'Dados gerais'!$D$33:$F$35,3,FALSE))</f>
        <v>#N/A</v>
      </c>
      <c r="K205" s="22" t="str">
        <f t="shared" si="30"/>
        <v/>
      </c>
      <c r="L205" s="22" t="str">
        <f t="shared" si="31"/>
        <v/>
      </c>
      <c r="M205" s="22" t="str">
        <f t="shared" si="32"/>
        <v/>
      </c>
      <c r="N205" s="114" t="str">
        <f t="shared" si="29"/>
        <v/>
      </c>
      <c r="O205" s="114" t="str">
        <f>IF(C205=$B$68,$E$90*H205*'Fatores de Emissão'!$E$250,"")</f>
        <v/>
      </c>
      <c r="P205" s="114" t="str">
        <f>IF(C205=$B$68,$E$89*H205*'Fatores de Emissão'!$E$251,"")</f>
        <v/>
      </c>
      <c r="Q205" s="114" t="str">
        <f>IF(C205=$B$69,$E$92*H205*'Fatores de Emissão'!$E$250/1000,"")</f>
        <v/>
      </c>
      <c r="R205" s="114" t="str">
        <f>IF(C205=$B$69,$E$91*H205*'Fatores de Emissão'!$E$251/1000,"")</f>
        <v/>
      </c>
      <c r="S205" s="115" t="str">
        <f t="shared" si="26"/>
        <v/>
      </c>
      <c r="T205" s="115" t="str">
        <f t="shared" si="27"/>
        <v/>
      </c>
      <c r="U205" s="115" t="str">
        <f t="shared" si="28"/>
        <v/>
      </c>
      <c r="V205" s="22" t="str" cm="1">
        <f t="array" ref="V205">_xlfn.IFS(G205&gt;0,G205,N205&gt;0,N205)</f>
        <v/>
      </c>
      <c r="W205" s="22" t="e">
        <f t="shared" si="33"/>
        <v>#N/A</v>
      </c>
      <c r="X205" s="22">
        <f t="shared" si="34"/>
        <v>0</v>
      </c>
    </row>
    <row r="206" spans="2:24" x14ac:dyDescent="0.35">
      <c r="B206" s="109">
        <f>'Emissões Fugitivas'!B177</f>
        <v>0</v>
      </c>
      <c r="C206" s="109">
        <f>'Emissões Fugitivas'!C177</f>
        <v>0</v>
      </c>
      <c r="D206" s="109">
        <f>'Emissões Fugitivas'!D177</f>
        <v>0</v>
      </c>
      <c r="E206" s="109">
        <f>'Emissões Fugitivas'!E177</f>
        <v>0</v>
      </c>
      <c r="F206" s="109" t="str">
        <f>'Emissões Fugitivas'!F177</f>
        <v/>
      </c>
      <c r="G206" s="109">
        <f>'Emissões Fugitivas'!G177</f>
        <v>0</v>
      </c>
      <c r="H206" s="109">
        <f>'Emissões Fugitivas'!H177</f>
        <v>0</v>
      </c>
      <c r="I206" s="109" t="str">
        <f>'Emissões Fugitivas'!I177</f>
        <v/>
      </c>
      <c r="J206" s="22" t="e">
        <f>IF(VLOOKUP(B206,'Dados gerais'!$D$33:$F$35,3,FALSE)="",2,VLOOKUP(B206,'Dados gerais'!$D$33:$F$35,3,FALSE))</f>
        <v>#N/A</v>
      </c>
      <c r="K206" s="22" t="str">
        <f t="shared" si="30"/>
        <v/>
      </c>
      <c r="L206" s="22" t="str">
        <f t="shared" si="31"/>
        <v/>
      </c>
      <c r="M206" s="22" t="str">
        <f t="shared" si="32"/>
        <v/>
      </c>
      <c r="N206" s="114" t="str">
        <f t="shared" si="29"/>
        <v/>
      </c>
      <c r="O206" s="114" t="str">
        <f>IF(C206=$B$68,$E$90*H206*'Fatores de Emissão'!$E$250,"")</f>
        <v/>
      </c>
      <c r="P206" s="114" t="str">
        <f>IF(C206=$B$68,$E$89*H206*'Fatores de Emissão'!$E$251,"")</f>
        <v/>
      </c>
      <c r="Q206" s="114" t="str">
        <f>IF(C206=$B$69,$E$92*H206*'Fatores de Emissão'!$E$250/1000,"")</f>
        <v/>
      </c>
      <c r="R206" s="114" t="str">
        <f>IF(C206=$B$69,$E$91*H206*'Fatores de Emissão'!$E$251/1000,"")</f>
        <v/>
      </c>
      <c r="S206" s="115" t="str">
        <f t="shared" si="26"/>
        <v/>
      </c>
      <c r="T206" s="115" t="str">
        <f t="shared" si="27"/>
        <v/>
      </c>
      <c r="U206" s="115" t="str">
        <f t="shared" si="28"/>
        <v/>
      </c>
      <c r="V206" s="22" t="str" cm="1">
        <f t="array" ref="V206">_xlfn.IFS(G206&gt;0,G206,N206&gt;0,N206)</f>
        <v/>
      </c>
      <c r="W206" s="22" t="e">
        <f t="shared" si="33"/>
        <v>#N/A</v>
      </c>
      <c r="X206" s="22">
        <f t="shared" si="34"/>
        <v>0</v>
      </c>
    </row>
    <row r="207" spans="2:24" x14ac:dyDescent="0.35">
      <c r="B207" s="109">
        <f>'Emissões Fugitivas'!B178</f>
        <v>0</v>
      </c>
      <c r="C207" s="109">
        <f>'Emissões Fugitivas'!C178</f>
        <v>0</v>
      </c>
      <c r="D207" s="109">
        <f>'Emissões Fugitivas'!D178</f>
        <v>0</v>
      </c>
      <c r="E207" s="109">
        <f>'Emissões Fugitivas'!E178</f>
        <v>0</v>
      </c>
      <c r="F207" s="109" t="str">
        <f>'Emissões Fugitivas'!F178</f>
        <v/>
      </c>
      <c r="G207" s="109">
        <f>'Emissões Fugitivas'!G178</f>
        <v>0</v>
      </c>
      <c r="H207" s="109">
        <f>'Emissões Fugitivas'!H178</f>
        <v>0</v>
      </c>
      <c r="I207" s="109" t="str">
        <f>'Emissões Fugitivas'!I178</f>
        <v/>
      </c>
      <c r="J207" s="22" t="e">
        <f>IF(VLOOKUP(B207,'Dados gerais'!$D$33:$F$35,3,FALSE)="",2,VLOOKUP(B207,'Dados gerais'!$D$33:$F$35,3,FALSE))</f>
        <v>#N/A</v>
      </c>
      <c r="K207" s="22" t="str">
        <f t="shared" si="30"/>
        <v/>
      </c>
      <c r="L207" s="22" t="str">
        <f t="shared" si="31"/>
        <v/>
      </c>
      <c r="M207" s="22" t="str">
        <f t="shared" si="32"/>
        <v/>
      </c>
      <c r="N207" s="114" t="str">
        <f t="shared" si="29"/>
        <v/>
      </c>
      <c r="O207" s="114" t="str">
        <f>IF(C207=$B$68,$E$90*H207*'Fatores de Emissão'!$E$250,"")</f>
        <v/>
      </c>
      <c r="P207" s="114" t="str">
        <f>IF(C207=$B$68,$E$89*H207*'Fatores de Emissão'!$E$251,"")</f>
        <v/>
      </c>
      <c r="Q207" s="114" t="str">
        <f>IF(C207=$B$69,$E$92*H207*'Fatores de Emissão'!$E$250/1000,"")</f>
        <v/>
      </c>
      <c r="R207" s="114" t="str">
        <f>IF(C207=$B$69,$E$91*H207*'Fatores de Emissão'!$E$251/1000,"")</f>
        <v/>
      </c>
      <c r="S207" s="115" t="str">
        <f t="shared" si="26"/>
        <v/>
      </c>
      <c r="T207" s="115" t="str">
        <f t="shared" si="27"/>
        <v/>
      </c>
      <c r="U207" s="115" t="str">
        <f t="shared" si="28"/>
        <v/>
      </c>
      <c r="V207" s="22" t="str" cm="1">
        <f t="array" ref="V207">_xlfn.IFS(G207&gt;0,G207,N207&gt;0,N207)</f>
        <v/>
      </c>
      <c r="W207" s="22" t="e">
        <f t="shared" si="33"/>
        <v>#N/A</v>
      </c>
      <c r="X207" s="22">
        <f t="shared" si="34"/>
        <v>0</v>
      </c>
    </row>
    <row r="208" spans="2:24" x14ac:dyDescent="0.35">
      <c r="B208" s="109">
        <f>'Emissões Fugitivas'!B179</f>
        <v>0</v>
      </c>
      <c r="C208" s="109">
        <f>'Emissões Fugitivas'!C179</f>
        <v>0</v>
      </c>
      <c r="D208" s="109">
        <f>'Emissões Fugitivas'!D179</f>
        <v>0</v>
      </c>
      <c r="E208" s="109">
        <f>'Emissões Fugitivas'!E179</f>
        <v>0</v>
      </c>
      <c r="F208" s="109" t="str">
        <f>'Emissões Fugitivas'!F179</f>
        <v/>
      </c>
      <c r="G208" s="109">
        <f>'Emissões Fugitivas'!G179</f>
        <v>0</v>
      </c>
      <c r="H208" s="109">
        <f>'Emissões Fugitivas'!H179</f>
        <v>0</v>
      </c>
      <c r="I208" s="109" t="str">
        <f>'Emissões Fugitivas'!I179</f>
        <v/>
      </c>
      <c r="J208" s="22" t="e">
        <f>IF(VLOOKUP(B208,'Dados gerais'!$D$33:$F$35,3,FALSE)="",2,VLOOKUP(B208,'Dados gerais'!$D$33:$F$35,3,FALSE))</f>
        <v>#N/A</v>
      </c>
      <c r="K208" s="22" t="str">
        <f t="shared" si="30"/>
        <v/>
      </c>
      <c r="L208" s="22" t="str">
        <f t="shared" si="31"/>
        <v/>
      </c>
      <c r="M208" s="22" t="str">
        <f t="shared" si="32"/>
        <v/>
      </c>
      <c r="N208" s="114" t="str">
        <f t="shared" si="29"/>
        <v/>
      </c>
      <c r="O208" s="114" t="str">
        <f>IF(C208=$B$68,$E$90*H208*'Fatores de Emissão'!$E$250,"")</f>
        <v/>
      </c>
      <c r="P208" s="114" t="str">
        <f>IF(C208=$B$68,$E$89*H208*'Fatores de Emissão'!$E$251,"")</f>
        <v/>
      </c>
      <c r="Q208" s="114" t="str">
        <f>IF(C208=$B$69,$E$92*H208*'Fatores de Emissão'!$E$250/1000,"")</f>
        <v/>
      </c>
      <c r="R208" s="114" t="str">
        <f>IF(C208=$B$69,$E$91*H208*'Fatores de Emissão'!$E$251/1000,"")</f>
        <v/>
      </c>
      <c r="S208" s="115" t="str">
        <f t="shared" si="26"/>
        <v/>
      </c>
      <c r="T208" s="115" t="str">
        <f t="shared" si="27"/>
        <v/>
      </c>
      <c r="U208" s="115" t="str">
        <f t="shared" si="28"/>
        <v/>
      </c>
      <c r="V208" s="22" t="str" cm="1">
        <f t="array" ref="V208">_xlfn.IFS(G208&gt;0,G208,N208&gt;0,N208)</f>
        <v/>
      </c>
      <c r="W208" s="22" t="e">
        <f t="shared" si="33"/>
        <v>#N/A</v>
      </c>
      <c r="X208" s="22">
        <f t="shared" si="34"/>
        <v>0</v>
      </c>
    </row>
    <row r="209" spans="2:24" x14ac:dyDescent="0.35">
      <c r="B209" s="109">
        <f>'Emissões Fugitivas'!B180</f>
        <v>0</v>
      </c>
      <c r="C209" s="109">
        <f>'Emissões Fugitivas'!C180</f>
        <v>0</v>
      </c>
      <c r="D209" s="109">
        <f>'Emissões Fugitivas'!D180</f>
        <v>0</v>
      </c>
      <c r="E209" s="109">
        <f>'Emissões Fugitivas'!E180</f>
        <v>0</v>
      </c>
      <c r="F209" s="109" t="str">
        <f>'Emissões Fugitivas'!F180</f>
        <v/>
      </c>
      <c r="G209" s="109">
        <f>'Emissões Fugitivas'!G180</f>
        <v>0</v>
      </c>
      <c r="H209" s="109">
        <f>'Emissões Fugitivas'!H180</f>
        <v>0</v>
      </c>
      <c r="I209" s="109" t="str">
        <f>'Emissões Fugitivas'!I180</f>
        <v/>
      </c>
      <c r="J209" s="22" t="e">
        <f>IF(VLOOKUP(B209,'Dados gerais'!$D$33:$F$35,3,FALSE)="",2,VLOOKUP(B209,'Dados gerais'!$D$33:$F$35,3,FALSE))</f>
        <v>#N/A</v>
      </c>
      <c r="K209" s="22" t="str">
        <f t="shared" si="30"/>
        <v/>
      </c>
      <c r="L209" s="22" t="str">
        <f t="shared" si="31"/>
        <v/>
      </c>
      <c r="M209" s="22" t="str">
        <f t="shared" si="32"/>
        <v/>
      </c>
      <c r="N209" s="114" t="str">
        <f t="shared" si="29"/>
        <v/>
      </c>
      <c r="O209" s="114" t="str">
        <f>IF(C209=$B$68,$E$90*H209*'Fatores de Emissão'!$E$250,"")</f>
        <v/>
      </c>
      <c r="P209" s="114" t="str">
        <f>IF(C209=$B$68,$E$89*H209*'Fatores de Emissão'!$E$251,"")</f>
        <v/>
      </c>
      <c r="Q209" s="114" t="str">
        <f>IF(C209=$B$69,$E$92*H209*'Fatores de Emissão'!$E$250/1000,"")</f>
        <v/>
      </c>
      <c r="R209" s="114" t="str">
        <f>IF(C209=$B$69,$E$91*H209*'Fatores de Emissão'!$E$251/1000,"")</f>
        <v/>
      </c>
      <c r="S209" s="115" t="str">
        <f t="shared" si="26"/>
        <v/>
      </c>
      <c r="T209" s="115" t="str">
        <f t="shared" si="27"/>
        <v/>
      </c>
      <c r="U209" s="115" t="str">
        <f t="shared" si="28"/>
        <v/>
      </c>
      <c r="V209" s="22" t="str" cm="1">
        <f t="array" ref="V209">_xlfn.IFS(G209&gt;0,G209,N209&gt;0,N209)</f>
        <v/>
      </c>
      <c r="W209" s="22" t="e">
        <f t="shared" si="33"/>
        <v>#N/A</v>
      </c>
      <c r="X209" s="22">
        <f t="shared" si="34"/>
        <v>0</v>
      </c>
    </row>
    <row r="210" spans="2:24" x14ac:dyDescent="0.35">
      <c r="B210" s="109">
        <f>'Emissões Fugitivas'!B181</f>
        <v>0</v>
      </c>
      <c r="C210" s="109">
        <f>'Emissões Fugitivas'!C181</f>
        <v>0</v>
      </c>
      <c r="D210" s="109">
        <f>'Emissões Fugitivas'!D181</f>
        <v>0</v>
      </c>
      <c r="E210" s="109">
        <f>'Emissões Fugitivas'!E181</f>
        <v>0</v>
      </c>
      <c r="F210" s="109" t="str">
        <f>'Emissões Fugitivas'!F181</f>
        <v/>
      </c>
      <c r="G210" s="109">
        <f>'Emissões Fugitivas'!G181</f>
        <v>0</v>
      </c>
      <c r="H210" s="109">
        <f>'Emissões Fugitivas'!H181</f>
        <v>0</v>
      </c>
      <c r="I210" s="109" t="str">
        <f>'Emissões Fugitivas'!I181</f>
        <v/>
      </c>
      <c r="J210" s="22" t="e">
        <f>IF(VLOOKUP(B210,'Dados gerais'!$D$33:$F$35,3,FALSE)="",2,VLOOKUP(B210,'Dados gerais'!$D$33:$F$35,3,FALSE))</f>
        <v>#N/A</v>
      </c>
      <c r="K210" s="22" t="str">
        <f t="shared" si="30"/>
        <v/>
      </c>
      <c r="L210" s="22" t="str">
        <f t="shared" si="31"/>
        <v/>
      </c>
      <c r="M210" s="22" t="str">
        <f t="shared" si="32"/>
        <v/>
      </c>
      <c r="N210" s="114" t="str">
        <f t="shared" si="29"/>
        <v/>
      </c>
      <c r="O210" s="114" t="str">
        <f>IF(C210=$B$68,$E$90*H210*'Fatores de Emissão'!$E$250,"")</f>
        <v/>
      </c>
      <c r="P210" s="114" t="str">
        <f>IF(C210=$B$68,$E$89*H210*'Fatores de Emissão'!$E$251,"")</f>
        <v/>
      </c>
      <c r="Q210" s="114" t="str">
        <f>IF(C210=$B$69,$E$92*H210*'Fatores de Emissão'!$E$250/1000,"")</f>
        <v/>
      </c>
      <c r="R210" s="114" t="str">
        <f>IF(C210=$B$69,$E$91*H210*'Fatores de Emissão'!$E$251/1000,"")</f>
        <v/>
      </c>
      <c r="S210" s="115" t="str">
        <f t="shared" si="26"/>
        <v/>
      </c>
      <c r="T210" s="115" t="str">
        <f t="shared" si="27"/>
        <v/>
      </c>
      <c r="U210" s="115" t="str">
        <f t="shared" si="28"/>
        <v/>
      </c>
      <c r="V210" s="22" t="str" cm="1">
        <f t="array" ref="V210">_xlfn.IFS(G210&gt;0,G210,N210&gt;0,N210)</f>
        <v/>
      </c>
      <c r="W210" s="22" t="e">
        <f t="shared" si="33"/>
        <v>#N/A</v>
      </c>
      <c r="X210" s="22">
        <f t="shared" si="34"/>
        <v>0</v>
      </c>
    </row>
    <row r="211" spans="2:24" x14ac:dyDescent="0.35">
      <c r="B211" s="117" t="str">
        <f>'Emissões Fugitivas'!B182</f>
        <v>Total</v>
      </c>
      <c r="C211" s="117"/>
      <c r="D211" s="117"/>
      <c r="E211" s="117"/>
      <c r="F211" s="117"/>
      <c r="G211" s="117"/>
      <c r="H211" s="117"/>
      <c r="I211" s="117"/>
      <c r="J211" s="117"/>
      <c r="K211" s="117" t="str">
        <f t="shared" si="30"/>
        <v/>
      </c>
      <c r="L211" s="117" t="str">
        <f t="shared" si="31"/>
        <v/>
      </c>
      <c r="M211" s="117" t="str">
        <f t="shared" si="32"/>
        <v/>
      </c>
      <c r="N211" s="114" t="str">
        <f t="shared" si="29"/>
        <v/>
      </c>
      <c r="O211" s="117" t="str">
        <f>IF(C211=$B$68,$E$90*H211*'Fatores de Emissão'!$E$250,"")</f>
        <v/>
      </c>
      <c r="P211" s="117" t="str">
        <f>IF(C211=$B$68,$E$89*H211*'Fatores de Emissão'!$E$251,"")</f>
        <v/>
      </c>
      <c r="Q211" s="117" t="str">
        <f>IF(C211=$B$69,$E$92*H211*'Fatores de Emissão'!$E$250/1000,"")</f>
        <v/>
      </c>
      <c r="R211" s="117" t="str">
        <f>IF(C211=$B$69,$E$91*H211*'Fatores de Emissão'!$E$251/1000,"")</f>
        <v/>
      </c>
      <c r="S211" s="116" t="str">
        <f t="shared" si="26"/>
        <v/>
      </c>
      <c r="T211" s="116" t="str">
        <f t="shared" si="27"/>
        <v/>
      </c>
      <c r="U211" s="116" t="str">
        <f t="shared" si="28"/>
        <v/>
      </c>
      <c r="V211" s="22" t="str" cm="1">
        <f t="array" ref="V211">_xlfn.IFS(G211&gt;0,G211,N211&gt;0,N211)</f>
        <v/>
      </c>
      <c r="W211" s="117" t="e">
        <f t="shared" si="33"/>
        <v>#N/A</v>
      </c>
      <c r="X211" s="117">
        <f t="shared" si="34"/>
        <v>0</v>
      </c>
    </row>
  </sheetData>
  <mergeCells count="20">
    <mergeCell ref="L28:L30"/>
    <mergeCell ref="M28:M30"/>
    <mergeCell ref="O28:O30"/>
    <mergeCell ref="Q28:Q30"/>
    <mergeCell ref="J28:J30"/>
    <mergeCell ref="K28:K30"/>
    <mergeCell ref="N28:N30"/>
    <mergeCell ref="O109:P109"/>
    <mergeCell ref="Q109:R109"/>
    <mergeCell ref="P28:P30"/>
    <mergeCell ref="R28:R30"/>
    <mergeCell ref="S28:S30"/>
    <mergeCell ref="C28:C30"/>
    <mergeCell ref="D28:D30"/>
    <mergeCell ref="E28:E30"/>
    <mergeCell ref="I28:I29"/>
    <mergeCell ref="H15:H17"/>
    <mergeCell ref="G28:H29"/>
    <mergeCell ref="F28:F30"/>
    <mergeCell ref="D16:D17"/>
  </mergeCells>
  <phoneticPr fontId="28" type="noConversion"/>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FB3EE-FE7F-4867-957A-D21C085F7F01}">
  <sheetPr codeName="Folha13">
    <tabColor rgb="FF02A39C"/>
  </sheetPr>
  <dimension ref="A1:AA165"/>
  <sheetViews>
    <sheetView showGridLines="0" topLeftCell="A39" zoomScale="55" zoomScaleNormal="55" workbookViewId="0">
      <selection activeCell="B35" sqref="B35"/>
    </sheetView>
  </sheetViews>
  <sheetFormatPr defaultColWidth="0" defaultRowHeight="15.5" zeroHeight="1" outlineLevelRow="1" x14ac:dyDescent="0.35"/>
  <cols>
    <col min="1" max="1" width="9.26953125" style="169" customWidth="1"/>
    <col min="2" max="2" width="16.81640625" style="169" customWidth="1"/>
    <col min="3" max="3" width="40.7265625" style="169" customWidth="1"/>
    <col min="4" max="4" width="39.7265625" style="169" customWidth="1"/>
    <col min="5" max="5" width="35.26953125" style="169" customWidth="1"/>
    <col min="6" max="6" width="19.26953125" style="169" customWidth="1"/>
    <col min="7" max="7" width="21.7265625" style="169" customWidth="1"/>
    <col min="8" max="8" width="18.81640625" style="169" customWidth="1"/>
    <col min="9" max="9" width="13" style="169" customWidth="1"/>
    <col min="10" max="10" width="26.7265625" style="169" customWidth="1"/>
    <col min="11" max="11" width="42.26953125" style="169" customWidth="1"/>
    <col min="12" max="15" width="21.7265625" style="169" customWidth="1"/>
    <col min="16" max="16" width="39.81640625" style="169" customWidth="1"/>
    <col min="17" max="24" width="21.7265625" style="169" customWidth="1"/>
    <col min="25" max="16381" width="5.7265625" style="169" customWidth="1"/>
    <col min="16382" max="16382" width="6.7265625" style="169" customWidth="1"/>
    <col min="16383" max="16383" width="10.7265625" style="169" customWidth="1"/>
    <col min="16384" max="16384" width="9.7265625" style="169" customWidth="1"/>
  </cols>
  <sheetData>
    <row r="1" spans="2:17" x14ac:dyDescent="0.35"/>
    <row r="2" spans="2:17" x14ac:dyDescent="0.35"/>
    <row r="3" spans="2:17" x14ac:dyDescent="0.35"/>
    <row r="4" spans="2:17" x14ac:dyDescent="0.35"/>
    <row r="5" spans="2:17" x14ac:dyDescent="0.35"/>
    <row r="6" spans="2:17" x14ac:dyDescent="0.35"/>
    <row r="7" spans="2:17" x14ac:dyDescent="0.35"/>
    <row r="8" spans="2:17" x14ac:dyDescent="0.35">
      <c r="D8" s="1104" t="str">
        <f>IF(Triagem!C32="", "Não indicou na TRIAGEM se esta folha se adequa ao projeto", IF(Triagem!C32="Não", "Não necessita de preencher esta folha", "Folha a ser preenchida"))</f>
        <v>Não indicou na TRIAGEM se esta folha se adequa ao projeto</v>
      </c>
      <c r="E8" s="1104"/>
      <c r="F8" s="1104"/>
      <c r="G8" s="1104"/>
      <c r="H8" s="1104"/>
    </row>
    <row r="9" spans="2:17" x14ac:dyDescent="0.35"/>
    <row r="10" spans="2:17" x14ac:dyDescent="0.35"/>
    <row r="11" spans="2:17" ht="18.5" x14ac:dyDescent="0.45">
      <c r="B11" s="373" t="s">
        <v>608</v>
      </c>
    </row>
    <row r="12" spans="2:17" ht="44.5" customHeight="1" x14ac:dyDescent="0.35">
      <c r="B12" s="1196" t="s">
        <v>1140</v>
      </c>
      <c r="C12" s="1196"/>
      <c r="D12" s="1196"/>
      <c r="E12" s="1196"/>
      <c r="F12" s="1196"/>
      <c r="G12" s="1196"/>
      <c r="H12" s="1196"/>
      <c r="I12" s="1196"/>
      <c r="J12" s="1196"/>
    </row>
    <row r="13" spans="2:17" ht="13.9" customHeight="1" x14ac:dyDescent="0.35">
      <c r="B13" s="1196" t="s">
        <v>1363</v>
      </c>
      <c r="C13" s="1196"/>
      <c r="D13" s="1196"/>
      <c r="E13" s="1196"/>
      <c r="F13" s="1196"/>
      <c r="G13" s="1196"/>
      <c r="H13" s="1196"/>
      <c r="I13" s="1196"/>
      <c r="J13" s="1196"/>
    </row>
    <row r="14" spans="2:17" x14ac:dyDescent="0.35"/>
    <row r="15" spans="2:17" x14ac:dyDescent="0.35"/>
    <row r="16" spans="2:17" x14ac:dyDescent="0.35">
      <c r="B16" s="167" t="s">
        <v>0</v>
      </c>
      <c r="C16" s="172"/>
      <c r="D16" s="172"/>
      <c r="E16" s="172"/>
      <c r="F16" s="172"/>
      <c r="G16" s="172"/>
      <c r="H16" s="172"/>
      <c r="I16" s="172"/>
      <c r="J16" s="172"/>
      <c r="K16" s="172"/>
      <c r="L16" s="172"/>
      <c r="M16" s="172"/>
      <c r="N16" s="172"/>
      <c r="O16" s="172"/>
      <c r="P16" s="172"/>
      <c r="Q16" s="172"/>
    </row>
    <row r="17" spans="2:27" x14ac:dyDescent="0.35">
      <c r="B17" s="228" t="s">
        <v>1104</v>
      </c>
      <c r="C17" s="172"/>
      <c r="D17" s="172"/>
      <c r="E17" s="172"/>
      <c r="F17" s="172"/>
      <c r="G17" s="172"/>
      <c r="H17" s="172"/>
      <c r="I17" s="172"/>
      <c r="J17" s="172"/>
      <c r="K17" s="172"/>
      <c r="L17" s="172"/>
      <c r="M17" s="172"/>
      <c r="N17" s="172"/>
      <c r="O17" s="172"/>
      <c r="P17" s="172"/>
      <c r="Q17" s="172"/>
    </row>
    <row r="18" spans="2:27" ht="19.899999999999999" customHeight="1" x14ac:dyDescent="0.35">
      <c r="B18" s="172" t="s">
        <v>1105</v>
      </c>
      <c r="C18" s="229"/>
      <c r="D18" s="229"/>
      <c r="E18" s="229"/>
      <c r="F18" s="229"/>
      <c r="G18" s="229"/>
      <c r="H18" s="229"/>
      <c r="I18" s="229"/>
      <c r="J18" s="229"/>
      <c r="K18" s="229"/>
      <c r="L18" s="229"/>
      <c r="M18" s="229"/>
      <c r="N18" s="229"/>
      <c r="O18" s="229"/>
      <c r="P18" s="230"/>
      <c r="Q18" s="230"/>
      <c r="R18" s="232"/>
      <c r="S18" s="232"/>
      <c r="T18" s="232"/>
      <c r="U18" s="232"/>
      <c r="V18" s="232"/>
      <c r="W18" s="232"/>
      <c r="X18" s="232"/>
      <c r="Y18" s="232"/>
      <c r="Z18" s="232"/>
      <c r="AA18" s="233"/>
    </row>
    <row r="19" spans="2:27" ht="19.899999999999999" customHeight="1" x14ac:dyDescent="0.35">
      <c r="B19" s="172" t="s">
        <v>907</v>
      </c>
      <c r="C19" s="229"/>
      <c r="D19" s="229"/>
      <c r="E19" s="229"/>
      <c r="F19" s="229"/>
      <c r="G19" s="229"/>
      <c r="H19" s="229"/>
      <c r="I19" s="229"/>
      <c r="J19" s="229"/>
      <c r="K19" s="229"/>
      <c r="L19" s="229"/>
      <c r="M19" s="229"/>
      <c r="N19" s="229"/>
      <c r="O19" s="229"/>
      <c r="P19" s="230"/>
      <c r="Q19" s="230"/>
      <c r="R19" s="232"/>
      <c r="S19" s="232"/>
      <c r="T19" s="232"/>
      <c r="U19" s="232"/>
      <c r="V19" s="232"/>
      <c r="W19" s="232"/>
      <c r="X19" s="232"/>
      <c r="Y19" s="232"/>
      <c r="Z19" s="232"/>
      <c r="AA19" s="233"/>
    </row>
    <row r="20" spans="2:27" ht="19.899999999999999" customHeight="1" x14ac:dyDescent="0.35">
      <c r="B20" s="172" t="s">
        <v>1351</v>
      </c>
      <c r="C20" s="229"/>
      <c r="D20" s="229"/>
      <c r="E20" s="229"/>
      <c r="F20" s="229"/>
      <c r="G20" s="229"/>
      <c r="H20" s="229"/>
      <c r="I20" s="229"/>
      <c r="J20" s="229"/>
      <c r="K20" s="229"/>
      <c r="L20" s="229"/>
      <c r="M20" s="229"/>
      <c r="N20" s="229"/>
      <c r="O20" s="229"/>
      <c r="P20" s="229"/>
      <c r="Q20" s="230"/>
      <c r="R20" s="232"/>
      <c r="S20" s="232"/>
      <c r="T20" s="232"/>
      <c r="U20" s="232"/>
      <c r="V20" s="232"/>
      <c r="W20" s="232"/>
      <c r="X20" s="232"/>
      <c r="Y20" s="232"/>
      <c r="Z20" s="232"/>
      <c r="AA20" s="233"/>
    </row>
    <row r="21" spans="2:27" x14ac:dyDescent="0.35">
      <c r="B21" s="172" t="s">
        <v>906</v>
      </c>
      <c r="C21" s="229"/>
      <c r="D21" s="229"/>
      <c r="E21" s="229"/>
      <c r="F21" s="229"/>
      <c r="G21" s="229"/>
      <c r="H21" s="229"/>
      <c r="I21" s="229"/>
      <c r="J21" s="229"/>
      <c r="K21" s="229"/>
      <c r="L21" s="229"/>
      <c r="M21" s="229"/>
      <c r="N21" s="229"/>
      <c r="O21" s="229"/>
      <c r="P21" s="229"/>
      <c r="Q21" s="230"/>
      <c r="R21" s="234"/>
      <c r="S21" s="234"/>
      <c r="T21" s="234"/>
      <c r="U21" s="234"/>
      <c r="V21" s="234"/>
      <c r="W21" s="234"/>
      <c r="X21" s="234"/>
      <c r="Y21" s="234"/>
      <c r="Z21" s="234"/>
      <c r="AA21" s="234"/>
    </row>
    <row r="22" spans="2:27" ht="19.899999999999999" customHeight="1" x14ac:dyDescent="0.35">
      <c r="B22" s="172" t="s">
        <v>1352</v>
      </c>
      <c r="C22" s="229"/>
      <c r="D22" s="229"/>
      <c r="E22" s="229"/>
      <c r="F22" s="229"/>
      <c r="G22" s="229"/>
      <c r="H22" s="229"/>
      <c r="I22" s="229"/>
      <c r="J22" s="229"/>
      <c r="K22" s="229"/>
      <c r="L22" s="229"/>
      <c r="M22" s="229"/>
      <c r="N22" s="229"/>
      <c r="O22" s="229"/>
      <c r="P22" s="229"/>
      <c r="Q22" s="230"/>
      <c r="R22" s="234"/>
      <c r="S22" s="234"/>
      <c r="T22" s="234"/>
      <c r="U22" s="234"/>
      <c r="V22" s="234"/>
      <c r="W22" s="234"/>
      <c r="X22" s="234"/>
      <c r="Y22" s="234"/>
      <c r="Z22" s="234"/>
      <c r="AA22" s="234"/>
    </row>
    <row r="23" spans="2:27" ht="18.649999999999999" customHeight="1" x14ac:dyDescent="0.35">
      <c r="B23" s="1162" t="s">
        <v>1353</v>
      </c>
      <c r="C23" s="1162"/>
      <c r="D23" s="1162"/>
      <c r="E23" s="1162"/>
      <c r="F23" s="1162"/>
      <c r="G23" s="1162"/>
      <c r="H23" s="1162"/>
      <c r="I23" s="1162"/>
      <c r="J23" s="1162"/>
      <c r="K23" s="1162"/>
      <c r="L23" s="1162"/>
      <c r="M23" s="1162"/>
      <c r="N23" s="1162"/>
      <c r="O23" s="1162"/>
      <c r="P23" s="1162"/>
      <c r="Q23" s="1162"/>
      <c r="R23" s="232"/>
      <c r="S23" s="232"/>
      <c r="T23" s="232"/>
      <c r="U23" s="232"/>
      <c r="V23" s="232"/>
      <c r="W23" s="232"/>
      <c r="X23" s="232"/>
      <c r="Y23" s="232"/>
      <c r="Z23" s="232"/>
      <c r="AA23" s="233"/>
    </row>
    <row r="24" spans="2:27" ht="21" customHeight="1" x14ac:dyDescent="0.35">
      <c r="B24" s="1162" t="s">
        <v>1354</v>
      </c>
      <c r="C24" s="1162"/>
      <c r="D24" s="1162"/>
      <c r="E24" s="1162"/>
      <c r="F24" s="1162"/>
      <c r="G24" s="1162"/>
      <c r="H24" s="1162"/>
      <c r="I24" s="1162"/>
      <c r="J24" s="1162"/>
      <c r="K24" s="1162"/>
      <c r="L24" s="1162"/>
      <c r="M24" s="1162"/>
      <c r="N24" s="1162"/>
      <c r="O24" s="1162"/>
      <c r="P24" s="1162"/>
      <c r="Q24" s="230"/>
      <c r="R24" s="232"/>
      <c r="S24" s="232"/>
      <c r="T24" s="232"/>
      <c r="U24" s="232"/>
      <c r="V24" s="232"/>
      <c r="W24" s="232"/>
      <c r="X24" s="232"/>
      <c r="Y24" s="232"/>
      <c r="Z24" s="232"/>
      <c r="AA24" s="233"/>
    </row>
    <row r="25" spans="2:27" ht="20.5" customHeight="1" x14ac:dyDescent="0.35">
      <c r="B25" s="1162" t="s">
        <v>1355</v>
      </c>
      <c r="C25" s="1162"/>
      <c r="D25" s="1162"/>
      <c r="E25" s="1162"/>
      <c r="F25" s="1162"/>
      <c r="G25" s="1162"/>
      <c r="H25" s="1162"/>
      <c r="I25" s="1162"/>
      <c r="J25" s="1162"/>
      <c r="K25" s="1162"/>
      <c r="L25" s="1162"/>
      <c r="M25" s="1162"/>
      <c r="N25" s="1162"/>
      <c r="O25" s="1162"/>
      <c r="P25" s="1162"/>
      <c r="Q25" s="230"/>
      <c r="R25" s="232"/>
      <c r="S25" s="232"/>
      <c r="T25" s="232"/>
      <c r="U25" s="232"/>
      <c r="V25" s="232"/>
      <c r="W25" s="232"/>
      <c r="X25" s="232"/>
      <c r="Y25" s="232"/>
      <c r="Z25" s="232"/>
      <c r="AA25" s="233"/>
    </row>
    <row r="26" spans="2:27" ht="20.5" customHeight="1" x14ac:dyDescent="0.35">
      <c r="B26" s="1162" t="s">
        <v>1356</v>
      </c>
      <c r="C26" s="1162"/>
      <c r="D26" s="1162"/>
      <c r="E26" s="1162"/>
      <c r="F26" s="1162"/>
      <c r="G26" s="1162"/>
      <c r="H26" s="1162"/>
      <c r="I26" s="1162"/>
      <c r="J26" s="1162"/>
      <c r="K26" s="1162"/>
      <c r="L26" s="1162"/>
      <c r="M26" s="1162"/>
      <c r="N26" s="1162"/>
      <c r="O26" s="1162"/>
      <c r="P26" s="1162"/>
      <c r="Q26" s="230"/>
      <c r="R26" s="232"/>
      <c r="S26" s="232"/>
      <c r="T26" s="232"/>
      <c r="U26" s="232"/>
      <c r="V26" s="232"/>
      <c r="W26" s="232"/>
      <c r="X26" s="232"/>
      <c r="Y26" s="232"/>
      <c r="Z26" s="232"/>
      <c r="AA26" s="233"/>
    </row>
    <row r="27" spans="2:27" ht="17.5" x14ac:dyDescent="0.35">
      <c r="B27" s="228" t="s">
        <v>1357</v>
      </c>
      <c r="C27" s="235"/>
      <c r="D27" s="235"/>
      <c r="E27" s="235"/>
      <c r="F27" s="235"/>
      <c r="G27" s="235"/>
      <c r="H27" s="235"/>
      <c r="I27" s="235"/>
      <c r="J27" s="235"/>
      <c r="K27" s="235"/>
      <c r="L27" s="235"/>
      <c r="M27" s="235"/>
      <c r="N27" s="235"/>
      <c r="O27" s="235"/>
      <c r="P27" s="235"/>
      <c r="Q27" s="235"/>
      <c r="R27" s="233"/>
      <c r="S27" s="233"/>
      <c r="T27" s="233"/>
      <c r="U27" s="233"/>
      <c r="V27" s="233"/>
      <c r="W27" s="233"/>
      <c r="X27" s="233"/>
      <c r="Y27" s="233"/>
      <c r="Z27" s="233"/>
      <c r="AA27" s="233"/>
    </row>
    <row r="28" spans="2:27" x14ac:dyDescent="0.35"/>
    <row r="29" spans="2:27" x14ac:dyDescent="0.35">
      <c r="I29" s="183"/>
    </row>
    <row r="30" spans="2:27" x14ac:dyDescent="0.35">
      <c r="B30" s="176" t="s">
        <v>47</v>
      </c>
    </row>
    <row r="31" spans="2:27" ht="38.5" customHeight="1" x14ac:dyDescent="0.35">
      <c r="B31" s="1089" t="s">
        <v>868</v>
      </c>
      <c r="C31" s="1089" t="s">
        <v>869</v>
      </c>
      <c r="D31" s="1089" t="s">
        <v>870</v>
      </c>
      <c r="E31" s="1089" t="s">
        <v>884</v>
      </c>
      <c r="F31" s="1157" t="s">
        <v>874</v>
      </c>
      <c r="G31" s="1157"/>
      <c r="H31" s="1157"/>
      <c r="I31" s="1158" t="s">
        <v>1358</v>
      </c>
      <c r="J31" s="1158"/>
      <c r="K31" s="1158"/>
      <c r="L31" s="238" t="s">
        <v>1244</v>
      </c>
      <c r="M31" s="1197" t="s">
        <v>1245</v>
      </c>
      <c r="N31" s="1198"/>
      <c r="O31" s="1199"/>
      <c r="P31" s="1101" t="s">
        <v>909</v>
      </c>
      <c r="Q31" s="1089" t="s">
        <v>1247</v>
      </c>
    </row>
    <row r="32" spans="2:27" ht="46.5" x14ac:dyDescent="0.35">
      <c r="B32" s="1100"/>
      <c r="C32" s="1100"/>
      <c r="D32" s="1100"/>
      <c r="E32" s="1100"/>
      <c r="F32" s="237" t="s">
        <v>762</v>
      </c>
      <c r="G32" s="237" t="s">
        <v>29</v>
      </c>
      <c r="H32" s="237" t="s">
        <v>29</v>
      </c>
      <c r="I32" s="237" t="s">
        <v>729</v>
      </c>
      <c r="J32" s="238" t="s">
        <v>886</v>
      </c>
      <c r="K32" s="238" t="s">
        <v>908</v>
      </c>
      <c r="L32" s="238" t="s">
        <v>1359</v>
      </c>
      <c r="M32" s="237" t="s">
        <v>1360</v>
      </c>
      <c r="N32" s="237" t="s">
        <v>1361</v>
      </c>
      <c r="O32" s="237" t="s">
        <v>1362</v>
      </c>
      <c r="P32" s="1103"/>
      <c r="Q32" s="1100"/>
    </row>
    <row r="33" spans="1:18" x14ac:dyDescent="0.35">
      <c r="A33" s="189" t="s">
        <v>39</v>
      </c>
      <c r="B33" s="426" t="s">
        <v>36</v>
      </c>
      <c r="C33" s="242" t="s">
        <v>873</v>
      </c>
      <c r="D33" s="242" t="s">
        <v>857</v>
      </c>
      <c r="E33" s="242"/>
      <c r="F33" s="335">
        <v>100</v>
      </c>
      <c r="G33" s="427" t="s">
        <v>875</v>
      </c>
      <c r="H33" s="243"/>
      <c r="I33" s="335">
        <v>0.51</v>
      </c>
      <c r="J33" s="335"/>
      <c r="K33" s="246"/>
      <c r="L33" s="976"/>
      <c r="M33" s="976"/>
      <c r="N33" s="976"/>
      <c r="O33" s="976"/>
      <c r="P33" s="246"/>
      <c r="Q33" s="979">
        <v>5.0999999999999997E-2</v>
      </c>
    </row>
    <row r="34" spans="1:18" x14ac:dyDescent="0.35">
      <c r="B34" s="269"/>
      <c r="C34" s="945"/>
      <c r="D34" s="249"/>
      <c r="E34" s="251"/>
      <c r="F34" s="561"/>
      <c r="G34" s="562" t="str">
        <f>IFERROR(VLOOKUP(D34,FAEI!$K$13:$L$21,2,FALSE),"")</f>
        <v/>
      </c>
      <c r="H34" s="251"/>
      <c r="I34" s="806" t="str">
        <f>IFERROR(IF(VLOOKUP($D34,FAEI!$K$13:$N$21,3,FALSE)="","",VLOOKUP($D34,FAEI!$K$13:$N$21,3,FALSE)),"")</f>
        <v/>
      </c>
      <c r="J34" s="561"/>
      <c r="K34" s="615"/>
      <c r="L34" s="977"/>
      <c r="M34" s="977"/>
      <c r="N34" s="977"/>
      <c r="O34" s="977"/>
      <c r="P34" s="616"/>
      <c r="Q34" s="980" t="str">
        <f>FAEI!Q26</f>
        <v/>
      </c>
      <c r="R34" s="212" t="str">
        <f>IF(OR(AND(J34&gt;0,L34&gt;0), AND(J34&gt;0,M34&gt;0),AND(L34&gt;0,M34&gt;0)), "ERRO, preencha apenas uma das três opções (opção 1, 2 ou 3)","")</f>
        <v/>
      </c>
    </row>
    <row r="35" spans="1:18" x14ac:dyDescent="0.35">
      <c r="B35" s="269"/>
      <c r="C35" s="945"/>
      <c r="D35" s="249"/>
      <c r="E35" s="251"/>
      <c r="F35" s="561"/>
      <c r="G35" s="562" t="str">
        <f>IFERROR(VLOOKUP(D35,FAEI!$K$13:$L$21,2,FALSE),"")</f>
        <v/>
      </c>
      <c r="H35" s="251"/>
      <c r="I35" s="806" t="str">
        <f>IFERROR(IF(VLOOKUP($D35,FAEI!$K$13:$N$21,3,FALSE)="","",VLOOKUP($D35,FAEI!$K$13:$N$21,3,FALSE)),"")</f>
        <v/>
      </c>
      <c r="J35" s="561"/>
      <c r="K35" s="615"/>
      <c r="L35" s="977"/>
      <c r="M35" s="977"/>
      <c r="N35" s="977"/>
      <c r="O35" s="977"/>
      <c r="P35" s="616"/>
      <c r="Q35" s="980" t="str">
        <f>IF(AND(FAEI!Q27="",FAEI!Q27=0),"",FAEI!Q27)</f>
        <v/>
      </c>
      <c r="R35" s="212" t="str">
        <f t="shared" ref="R35:R98" si="0">IF(OR(AND(J35&gt;0,L35&gt;0), AND(J35&gt;0,M35&gt;0),AND(L35&gt;0,M35&gt;0)), "ERRO, preencha apenas uma das três opções (opção 1, 2 ou 3)","")</f>
        <v/>
      </c>
    </row>
    <row r="36" spans="1:18" x14ac:dyDescent="0.35">
      <c r="B36" s="269"/>
      <c r="C36" s="945"/>
      <c r="D36" s="249"/>
      <c r="E36" s="251"/>
      <c r="F36" s="561"/>
      <c r="G36" s="562" t="str">
        <f>IFERROR(VLOOKUP(D36,FAEI!$K$13:$L$21,2,FALSE),"")</f>
        <v/>
      </c>
      <c r="H36" s="251"/>
      <c r="I36" s="806" t="str">
        <f>IFERROR(IF(VLOOKUP($D36,FAEI!$K$13:$N$21,3,FALSE)="","",VLOOKUP($D36,FAEI!$K$13:$N$21,3,FALSE)),"")</f>
        <v/>
      </c>
      <c r="J36" s="561"/>
      <c r="K36" s="615"/>
      <c r="L36" s="977"/>
      <c r="M36" s="977"/>
      <c r="N36" s="977"/>
      <c r="O36" s="977"/>
      <c r="P36" s="616"/>
      <c r="Q36" s="980" t="str">
        <f>FAEI!Q28</f>
        <v/>
      </c>
      <c r="R36" s="212" t="str">
        <f t="shared" si="0"/>
        <v/>
      </c>
    </row>
    <row r="37" spans="1:18" x14ac:dyDescent="0.35">
      <c r="B37" s="269"/>
      <c r="C37" s="945"/>
      <c r="D37" s="249"/>
      <c r="E37" s="251"/>
      <c r="F37" s="561"/>
      <c r="G37" s="562" t="str">
        <f>IFERROR(VLOOKUP(D37,FAEI!$K$13:$L$21,2,FALSE),"")</f>
        <v/>
      </c>
      <c r="H37" s="251"/>
      <c r="I37" s="806" t="str">
        <f>IFERROR(IF(VLOOKUP($D37,FAEI!$K$13:$N$21,3,FALSE)="","",VLOOKUP($D37,FAEI!$K$13:$N$21,3,FALSE)),"")</f>
        <v/>
      </c>
      <c r="J37" s="561"/>
      <c r="K37" s="615"/>
      <c r="L37" s="977"/>
      <c r="M37" s="977"/>
      <c r="N37" s="977"/>
      <c r="O37" s="977"/>
      <c r="P37" s="616"/>
      <c r="Q37" s="980" t="str">
        <f>FAEI!Q29</f>
        <v/>
      </c>
      <c r="R37" s="212" t="str">
        <f t="shared" si="0"/>
        <v/>
      </c>
    </row>
    <row r="38" spans="1:18" ht="36" customHeight="1" x14ac:dyDescent="0.35">
      <c r="B38" s="269"/>
      <c r="C38" s="945"/>
      <c r="D38" s="249"/>
      <c r="E38" s="251"/>
      <c r="F38" s="561"/>
      <c r="G38" s="562" t="str">
        <f>IFERROR(VLOOKUP(D38,FAEI!$K$13:$L$21,2,FALSE),"")</f>
        <v/>
      </c>
      <c r="H38" s="251"/>
      <c r="I38" s="806" t="str">
        <f>IFERROR(IF(VLOOKUP($D38,FAEI!$K$13:$N$21,3,FALSE)="","",VLOOKUP($D38,FAEI!$K$13:$N$21,3,FALSE)),"")</f>
        <v/>
      </c>
      <c r="J38" s="561"/>
      <c r="K38" s="615"/>
      <c r="L38" s="977"/>
      <c r="M38" s="977"/>
      <c r="N38" s="977"/>
      <c r="O38" s="977"/>
      <c r="P38" s="616"/>
      <c r="Q38" s="980" t="str">
        <f>FAEI!Q30</f>
        <v/>
      </c>
      <c r="R38" s="212" t="str">
        <f t="shared" si="0"/>
        <v/>
      </c>
    </row>
    <row r="39" spans="1:18" ht="37.15" customHeight="1" x14ac:dyDescent="0.35">
      <c r="B39" s="269"/>
      <c r="C39" s="945"/>
      <c r="D39" s="249"/>
      <c r="E39" s="251"/>
      <c r="F39" s="561"/>
      <c r="G39" s="562" t="str">
        <f>IFERROR(VLOOKUP(D39,FAEI!$K$13:$L$21,2,FALSE),"")</f>
        <v/>
      </c>
      <c r="H39" s="251"/>
      <c r="I39" s="806" t="str">
        <f>IFERROR(IF(VLOOKUP($D39,FAEI!$K$13:$N$21,3,FALSE)="","",VLOOKUP($D39,FAEI!$K$13:$N$21,3,FALSE)),"")</f>
        <v/>
      </c>
      <c r="J39" s="561"/>
      <c r="K39" s="615"/>
      <c r="L39" s="977"/>
      <c r="M39" s="977"/>
      <c r="N39" s="977"/>
      <c r="O39" s="977"/>
      <c r="P39" s="616"/>
      <c r="Q39" s="980" t="str">
        <f>FAEI!Q31</f>
        <v/>
      </c>
      <c r="R39" s="212" t="str">
        <f t="shared" si="0"/>
        <v/>
      </c>
    </row>
    <row r="40" spans="1:18" x14ac:dyDescent="0.35">
      <c r="B40" s="269"/>
      <c r="C40" s="945"/>
      <c r="D40" s="249"/>
      <c r="E40" s="251"/>
      <c r="F40" s="561"/>
      <c r="G40" s="562" t="str">
        <f>IFERROR(VLOOKUP(D40,FAEI!$K$13:$L$21,2,FALSE),"")</f>
        <v/>
      </c>
      <c r="H40" s="251"/>
      <c r="I40" s="806" t="str">
        <f>IFERROR(IF(VLOOKUP($D40,FAEI!$K$13:$N$21,3,FALSE)="","",VLOOKUP($D40,FAEI!$K$13:$N$21,3,FALSE)),"")</f>
        <v/>
      </c>
      <c r="J40" s="561"/>
      <c r="K40" s="615"/>
      <c r="L40" s="977"/>
      <c r="M40" s="977"/>
      <c r="N40" s="977"/>
      <c r="O40" s="977"/>
      <c r="P40" s="616"/>
      <c r="Q40" s="980" t="str">
        <f>FAEI!Q32</f>
        <v/>
      </c>
      <c r="R40" s="212" t="str">
        <f t="shared" si="0"/>
        <v/>
      </c>
    </row>
    <row r="41" spans="1:18" x14ac:dyDescent="0.35">
      <c r="B41" s="269"/>
      <c r="C41" s="945"/>
      <c r="D41" s="249"/>
      <c r="E41" s="251"/>
      <c r="F41" s="561"/>
      <c r="G41" s="562" t="str">
        <f>IFERROR(VLOOKUP(D41,FAEI!$K$13:$L$21,2,FALSE),"")</f>
        <v/>
      </c>
      <c r="H41" s="251"/>
      <c r="I41" s="806" t="str">
        <f>IFERROR(IF(VLOOKUP($D41,FAEI!$K$13:$N$21,3,FALSE)="","",VLOOKUP($D41,FAEI!$K$13:$N$21,3,FALSE)),"")</f>
        <v/>
      </c>
      <c r="J41" s="561"/>
      <c r="K41" s="615"/>
      <c r="L41" s="977"/>
      <c r="M41" s="977"/>
      <c r="N41" s="977"/>
      <c r="O41" s="977"/>
      <c r="P41" s="616"/>
      <c r="Q41" s="980" t="str">
        <f>FAEI!Q33</f>
        <v/>
      </c>
      <c r="R41" s="212" t="str">
        <f t="shared" si="0"/>
        <v/>
      </c>
    </row>
    <row r="42" spans="1:18" x14ac:dyDescent="0.35">
      <c r="B42" s="269"/>
      <c r="C42" s="945"/>
      <c r="D42" s="249"/>
      <c r="E42" s="251"/>
      <c r="F42" s="561"/>
      <c r="G42" s="562" t="str">
        <f>IFERROR(VLOOKUP(D42,FAEI!$K$13:$L$21,2,FALSE),"")</f>
        <v/>
      </c>
      <c r="H42" s="251"/>
      <c r="I42" s="806" t="str">
        <f>IFERROR(IF(VLOOKUP($D42,FAEI!$K$13:$N$21,3,FALSE)="","",VLOOKUP($D42,FAEI!$K$13:$N$21,3,FALSE)),"")</f>
        <v/>
      </c>
      <c r="J42" s="561"/>
      <c r="K42" s="615"/>
      <c r="L42" s="977"/>
      <c r="M42" s="977"/>
      <c r="N42" s="977"/>
      <c r="O42" s="977"/>
      <c r="P42" s="616"/>
      <c r="Q42" s="980" t="str">
        <f>FAEI!Q34</f>
        <v/>
      </c>
      <c r="R42" s="212" t="str">
        <f t="shared" si="0"/>
        <v/>
      </c>
    </row>
    <row r="43" spans="1:18" x14ac:dyDescent="0.35">
      <c r="B43" s="269"/>
      <c r="C43" s="945"/>
      <c r="D43" s="249"/>
      <c r="E43" s="251"/>
      <c r="F43" s="561"/>
      <c r="G43" s="562" t="str">
        <f>IFERROR(VLOOKUP(D43,FAEI!$K$13:$L$21,2,FALSE),"")</f>
        <v/>
      </c>
      <c r="H43" s="251"/>
      <c r="I43" s="806" t="str">
        <f>IFERROR(IF(VLOOKUP($D43,FAEI!$K$13:$N$21,3,FALSE)="","",VLOOKUP($D43,FAEI!$K$13:$N$21,3,FALSE)),"")</f>
        <v/>
      </c>
      <c r="J43" s="561"/>
      <c r="K43" s="615"/>
      <c r="L43" s="977"/>
      <c r="M43" s="977"/>
      <c r="N43" s="977"/>
      <c r="O43" s="977"/>
      <c r="P43" s="616"/>
      <c r="Q43" s="980" t="str">
        <f>FAEI!Q35</f>
        <v/>
      </c>
      <c r="R43" s="212" t="str">
        <f t="shared" si="0"/>
        <v/>
      </c>
    </row>
    <row r="44" spans="1:18" x14ac:dyDescent="0.35">
      <c r="B44" s="269"/>
      <c r="C44" s="945"/>
      <c r="D44" s="249"/>
      <c r="E44" s="251"/>
      <c r="F44" s="561"/>
      <c r="G44" s="562" t="str">
        <f>IFERROR(VLOOKUP(D44,FAEI!$K$13:$L$21,2,FALSE),"")</f>
        <v/>
      </c>
      <c r="H44" s="251"/>
      <c r="I44" s="806" t="str">
        <f>IFERROR(IF(VLOOKUP($D44,FAEI!$K$13:$N$21,3,FALSE)="","",VLOOKUP($D44,FAEI!$K$13:$N$21,3,FALSE)),"")</f>
        <v/>
      </c>
      <c r="J44" s="561"/>
      <c r="K44" s="615"/>
      <c r="L44" s="977"/>
      <c r="M44" s="977"/>
      <c r="N44" s="977"/>
      <c r="O44" s="977"/>
      <c r="P44" s="616"/>
      <c r="Q44" s="980" t="str">
        <f>FAEI!Q36</f>
        <v/>
      </c>
      <c r="R44" s="212" t="str">
        <f t="shared" si="0"/>
        <v/>
      </c>
    </row>
    <row r="45" spans="1:18" hidden="1" outlineLevel="1" x14ac:dyDescent="0.35">
      <c r="B45" s="269"/>
      <c r="C45" s="945"/>
      <c r="D45" s="249"/>
      <c r="E45" s="251"/>
      <c r="F45" s="561"/>
      <c r="G45" s="562" t="str">
        <f>IFERROR(VLOOKUP(D45,FAEI!$K$13:$L$21,2,FALSE),"")</f>
        <v/>
      </c>
      <c r="H45" s="251"/>
      <c r="I45" s="806" t="str">
        <f>IFERROR(IF(VLOOKUP($D45,FAEI!$K$13:$N$21,3,FALSE)="","",VLOOKUP($D45,FAEI!$K$13:$N$21,3,FALSE)),"")</f>
        <v/>
      </c>
      <c r="J45" s="561"/>
      <c r="K45" s="615"/>
      <c r="L45" s="977"/>
      <c r="M45" s="977"/>
      <c r="N45" s="977"/>
      <c r="O45" s="977"/>
      <c r="P45" s="616"/>
      <c r="Q45" s="980" t="str">
        <f>FAEI!Q37</f>
        <v/>
      </c>
      <c r="R45" s="212" t="str">
        <f t="shared" si="0"/>
        <v/>
      </c>
    </row>
    <row r="46" spans="1:18" hidden="1" outlineLevel="1" x14ac:dyDescent="0.35">
      <c r="B46" s="269"/>
      <c r="C46" s="945"/>
      <c r="D46" s="249"/>
      <c r="E46" s="251"/>
      <c r="F46" s="561"/>
      <c r="G46" s="562" t="str">
        <f>IFERROR(VLOOKUP(D46,FAEI!$K$13:$L$21,2,FALSE),"")</f>
        <v/>
      </c>
      <c r="H46" s="251"/>
      <c r="I46" s="806" t="str">
        <f>IFERROR(IF(VLOOKUP($D46,FAEI!$K$13:$N$21,3,FALSE)="","",VLOOKUP($D46,FAEI!$K$13:$N$21,3,FALSE)),"")</f>
        <v/>
      </c>
      <c r="J46" s="561"/>
      <c r="K46" s="615"/>
      <c r="L46" s="977"/>
      <c r="M46" s="977"/>
      <c r="N46" s="977"/>
      <c r="O46" s="977"/>
      <c r="P46" s="616"/>
      <c r="Q46" s="980" t="str">
        <f>FAEI!Q38</f>
        <v/>
      </c>
      <c r="R46" s="212" t="str">
        <f t="shared" si="0"/>
        <v/>
      </c>
    </row>
    <row r="47" spans="1:18" hidden="1" outlineLevel="1" x14ac:dyDescent="0.35">
      <c r="B47" s="269"/>
      <c r="C47" s="945"/>
      <c r="D47" s="249"/>
      <c r="E47" s="251"/>
      <c r="F47" s="561"/>
      <c r="G47" s="562" t="str">
        <f>IFERROR(VLOOKUP(D47,FAEI!$K$13:$L$21,2,FALSE),"")</f>
        <v/>
      </c>
      <c r="H47" s="251"/>
      <c r="I47" s="806" t="str">
        <f>IFERROR(IF(VLOOKUP($D47,FAEI!$K$13:$N$21,3,FALSE)="","",VLOOKUP($D47,FAEI!$K$13:$N$21,3,FALSE)),"")</f>
        <v/>
      </c>
      <c r="J47" s="561"/>
      <c r="K47" s="615"/>
      <c r="L47" s="977"/>
      <c r="M47" s="977"/>
      <c r="N47" s="977"/>
      <c r="O47" s="977"/>
      <c r="P47" s="616"/>
      <c r="Q47" s="980" t="str">
        <f>FAEI!Q39</f>
        <v/>
      </c>
      <c r="R47" s="212" t="str">
        <f t="shared" si="0"/>
        <v/>
      </c>
    </row>
    <row r="48" spans="1:18" hidden="1" outlineLevel="1" x14ac:dyDescent="0.35">
      <c r="B48" s="269"/>
      <c r="C48" s="945"/>
      <c r="D48" s="249"/>
      <c r="E48" s="251"/>
      <c r="F48" s="561"/>
      <c r="G48" s="562" t="str">
        <f>IFERROR(VLOOKUP(D48,FAEI!$K$13:$L$21,2,FALSE),"")</f>
        <v/>
      </c>
      <c r="H48" s="251"/>
      <c r="I48" s="806" t="str">
        <f>IFERROR(IF(VLOOKUP($D48,FAEI!$K$13:$N$21,3,FALSE)="","",VLOOKUP($D48,FAEI!$K$13:$N$21,3,FALSE)),"")</f>
        <v/>
      </c>
      <c r="J48" s="561"/>
      <c r="K48" s="615"/>
      <c r="L48" s="977"/>
      <c r="M48" s="977"/>
      <c r="N48" s="977"/>
      <c r="O48" s="977"/>
      <c r="P48" s="616"/>
      <c r="Q48" s="980" t="str">
        <f>FAEI!Q40</f>
        <v/>
      </c>
      <c r="R48" s="212" t="str">
        <f t="shared" si="0"/>
        <v/>
      </c>
    </row>
    <row r="49" spans="2:18" hidden="1" outlineLevel="1" x14ac:dyDescent="0.35">
      <c r="B49" s="269"/>
      <c r="C49" s="945"/>
      <c r="D49" s="249"/>
      <c r="E49" s="251"/>
      <c r="F49" s="561"/>
      <c r="G49" s="562" t="str">
        <f>IFERROR(VLOOKUP(D49,FAEI!$K$13:$L$21,2,FALSE),"")</f>
        <v/>
      </c>
      <c r="H49" s="251"/>
      <c r="I49" s="806" t="str">
        <f>IFERROR(IF(VLOOKUP($D49,FAEI!$K$13:$N$21,3,FALSE)="","",VLOOKUP($D49,FAEI!$K$13:$N$21,3,FALSE)),"")</f>
        <v/>
      </c>
      <c r="J49" s="561"/>
      <c r="K49" s="615"/>
      <c r="L49" s="977"/>
      <c r="M49" s="977"/>
      <c r="N49" s="977"/>
      <c r="O49" s="977"/>
      <c r="P49" s="616"/>
      <c r="Q49" s="980" t="str">
        <f>FAEI!Q41</f>
        <v/>
      </c>
      <c r="R49" s="212" t="str">
        <f t="shared" si="0"/>
        <v/>
      </c>
    </row>
    <row r="50" spans="2:18" hidden="1" outlineLevel="1" x14ac:dyDescent="0.35">
      <c r="B50" s="269"/>
      <c r="C50" s="945"/>
      <c r="D50" s="249"/>
      <c r="E50" s="251"/>
      <c r="F50" s="561"/>
      <c r="G50" s="562" t="str">
        <f>IFERROR(VLOOKUP(D50,FAEI!$K$13:$L$21,2,FALSE),"")</f>
        <v/>
      </c>
      <c r="H50" s="251"/>
      <c r="I50" s="806" t="str">
        <f>IFERROR(IF(VLOOKUP($D50,FAEI!$K$13:$N$21,3,FALSE)="","",VLOOKUP($D50,FAEI!$K$13:$N$21,3,FALSE)),"")</f>
        <v/>
      </c>
      <c r="J50" s="561"/>
      <c r="K50" s="615"/>
      <c r="L50" s="977"/>
      <c r="M50" s="977"/>
      <c r="N50" s="977"/>
      <c r="O50" s="977"/>
      <c r="P50" s="616"/>
      <c r="Q50" s="980" t="str">
        <f>FAEI!Q42</f>
        <v/>
      </c>
      <c r="R50" s="212" t="str">
        <f t="shared" si="0"/>
        <v/>
      </c>
    </row>
    <row r="51" spans="2:18" hidden="1" outlineLevel="1" x14ac:dyDescent="0.35">
      <c r="B51" s="269"/>
      <c r="C51" s="945"/>
      <c r="D51" s="249"/>
      <c r="E51" s="251"/>
      <c r="F51" s="561"/>
      <c r="G51" s="562" t="str">
        <f>IFERROR(VLOOKUP(D51,FAEI!$K$13:$L$21,2,FALSE),"")</f>
        <v/>
      </c>
      <c r="H51" s="251"/>
      <c r="I51" s="806" t="str">
        <f>IFERROR(IF(VLOOKUP($D51,FAEI!$K$13:$N$21,3,FALSE)="","",VLOOKUP($D51,FAEI!$K$13:$N$21,3,FALSE)),"")</f>
        <v/>
      </c>
      <c r="J51" s="561"/>
      <c r="K51" s="615"/>
      <c r="L51" s="977"/>
      <c r="M51" s="977"/>
      <c r="N51" s="977"/>
      <c r="O51" s="977"/>
      <c r="P51" s="616"/>
      <c r="Q51" s="980" t="str">
        <f>FAEI!Q43</f>
        <v/>
      </c>
      <c r="R51" s="212" t="str">
        <f t="shared" si="0"/>
        <v/>
      </c>
    </row>
    <row r="52" spans="2:18" hidden="1" outlineLevel="1" x14ac:dyDescent="0.35">
      <c r="B52" s="269"/>
      <c r="C52" s="945"/>
      <c r="D52" s="249"/>
      <c r="E52" s="251"/>
      <c r="F52" s="561"/>
      <c r="G52" s="562" t="str">
        <f>IFERROR(VLOOKUP(D52,FAEI!$K$13:$L$21,2,FALSE),"")</f>
        <v/>
      </c>
      <c r="H52" s="251"/>
      <c r="I52" s="806" t="str">
        <f>IFERROR(IF(VLOOKUP($D52,FAEI!$K$13:$N$21,3,FALSE)="","",VLOOKUP($D52,FAEI!$K$13:$N$21,3,FALSE)),"")</f>
        <v/>
      </c>
      <c r="J52" s="561"/>
      <c r="K52" s="615"/>
      <c r="L52" s="977"/>
      <c r="M52" s="977"/>
      <c r="N52" s="977"/>
      <c r="O52" s="977"/>
      <c r="P52" s="616"/>
      <c r="Q52" s="980" t="str">
        <f>FAEI!Q44</f>
        <v/>
      </c>
      <c r="R52" s="212" t="str">
        <f t="shared" si="0"/>
        <v/>
      </c>
    </row>
    <row r="53" spans="2:18" hidden="1" outlineLevel="1" x14ac:dyDescent="0.35">
      <c r="B53" s="269"/>
      <c r="C53" s="945"/>
      <c r="D53" s="249"/>
      <c r="E53" s="251"/>
      <c r="F53" s="561"/>
      <c r="G53" s="562" t="str">
        <f>IFERROR(VLOOKUP(D53,FAEI!$K$13:$L$21,2,FALSE),"")</f>
        <v/>
      </c>
      <c r="H53" s="251"/>
      <c r="I53" s="806" t="str">
        <f>IFERROR(IF(VLOOKUP($D53,FAEI!$K$13:$N$21,3,FALSE)="","",VLOOKUP($D53,FAEI!$K$13:$N$21,3,FALSE)),"")</f>
        <v/>
      </c>
      <c r="J53" s="561"/>
      <c r="K53" s="615"/>
      <c r="L53" s="977"/>
      <c r="M53" s="977"/>
      <c r="N53" s="977"/>
      <c r="O53" s="977"/>
      <c r="P53" s="616"/>
      <c r="Q53" s="980" t="str">
        <f>FAEI!Q45</f>
        <v/>
      </c>
      <c r="R53" s="212" t="str">
        <f t="shared" si="0"/>
        <v/>
      </c>
    </row>
    <row r="54" spans="2:18" hidden="1" outlineLevel="1" x14ac:dyDescent="0.35">
      <c r="B54" s="269"/>
      <c r="C54" s="945"/>
      <c r="D54" s="249"/>
      <c r="E54" s="251"/>
      <c r="F54" s="561"/>
      <c r="G54" s="562" t="str">
        <f>IFERROR(VLOOKUP(D54,FAEI!$K$13:$L$21,2,FALSE),"")</f>
        <v/>
      </c>
      <c r="H54" s="251"/>
      <c r="I54" s="806" t="str">
        <f>IFERROR(IF(VLOOKUP($D54,FAEI!$K$13:$N$21,3,FALSE)="","",VLOOKUP($D54,FAEI!$K$13:$N$21,3,FALSE)),"")</f>
        <v/>
      </c>
      <c r="J54" s="561"/>
      <c r="K54" s="615"/>
      <c r="L54" s="977"/>
      <c r="M54" s="977"/>
      <c r="N54" s="977"/>
      <c r="O54" s="977"/>
      <c r="P54" s="616"/>
      <c r="Q54" s="980" t="str">
        <f>FAEI!Q46</f>
        <v/>
      </c>
      <c r="R54" s="212" t="str">
        <f t="shared" si="0"/>
        <v/>
      </c>
    </row>
    <row r="55" spans="2:18" hidden="1" outlineLevel="1" x14ac:dyDescent="0.35">
      <c r="B55" s="269"/>
      <c r="C55" s="945"/>
      <c r="D55" s="249"/>
      <c r="E55" s="251"/>
      <c r="F55" s="561"/>
      <c r="G55" s="562" t="str">
        <f>IFERROR(VLOOKUP(D55,FAEI!$K$13:$L$21,2,FALSE),"")</f>
        <v/>
      </c>
      <c r="H55" s="251"/>
      <c r="I55" s="806" t="str">
        <f>IFERROR(IF(VLOOKUP($D55,FAEI!$K$13:$N$21,3,FALSE)="","",VLOOKUP($D55,FAEI!$K$13:$N$21,3,FALSE)),"")</f>
        <v/>
      </c>
      <c r="J55" s="561"/>
      <c r="K55" s="615"/>
      <c r="L55" s="977"/>
      <c r="M55" s="977"/>
      <c r="N55" s="977"/>
      <c r="O55" s="977"/>
      <c r="P55" s="616"/>
      <c r="Q55" s="980" t="str">
        <f>FAEI!Q47</f>
        <v/>
      </c>
      <c r="R55" s="212" t="str">
        <f t="shared" si="0"/>
        <v/>
      </c>
    </row>
    <row r="56" spans="2:18" hidden="1" outlineLevel="1" x14ac:dyDescent="0.35">
      <c r="B56" s="269"/>
      <c r="C56" s="945"/>
      <c r="D56" s="249"/>
      <c r="E56" s="251"/>
      <c r="F56" s="561"/>
      <c r="G56" s="562" t="str">
        <f>IFERROR(VLOOKUP(D56,FAEI!$K$13:$L$21,2,FALSE),"")</f>
        <v/>
      </c>
      <c r="H56" s="251"/>
      <c r="I56" s="806" t="str">
        <f>IFERROR(IF(VLOOKUP($D56,FAEI!$K$13:$N$21,3,FALSE)="","",VLOOKUP($D56,FAEI!$K$13:$N$21,3,FALSE)),"")</f>
        <v/>
      </c>
      <c r="J56" s="561"/>
      <c r="K56" s="615"/>
      <c r="L56" s="977"/>
      <c r="M56" s="977"/>
      <c r="N56" s="977"/>
      <c r="O56" s="977"/>
      <c r="P56" s="616"/>
      <c r="Q56" s="980" t="str">
        <f>FAEI!Q48</f>
        <v/>
      </c>
      <c r="R56" s="212" t="str">
        <f t="shared" si="0"/>
        <v/>
      </c>
    </row>
    <row r="57" spans="2:18" hidden="1" outlineLevel="1" x14ac:dyDescent="0.35">
      <c r="B57" s="269"/>
      <c r="C57" s="945"/>
      <c r="D57" s="249"/>
      <c r="E57" s="251"/>
      <c r="F57" s="561"/>
      <c r="G57" s="562" t="str">
        <f>IFERROR(VLOOKUP(D57,FAEI!$K$13:$L$21,2,FALSE),"")</f>
        <v/>
      </c>
      <c r="H57" s="251"/>
      <c r="I57" s="806" t="str">
        <f>IFERROR(IF(VLOOKUP($D57,FAEI!$K$13:$N$21,3,FALSE)="","",VLOOKUP($D57,FAEI!$K$13:$N$21,3,FALSE)),"")</f>
        <v/>
      </c>
      <c r="J57" s="561"/>
      <c r="K57" s="615"/>
      <c r="L57" s="977"/>
      <c r="M57" s="977"/>
      <c r="N57" s="977"/>
      <c r="O57" s="977"/>
      <c r="P57" s="616"/>
      <c r="Q57" s="980" t="str">
        <f>FAEI!Q49</f>
        <v/>
      </c>
      <c r="R57" s="212" t="str">
        <f t="shared" si="0"/>
        <v/>
      </c>
    </row>
    <row r="58" spans="2:18" hidden="1" outlineLevel="1" x14ac:dyDescent="0.35">
      <c r="B58" s="269"/>
      <c r="C58" s="945"/>
      <c r="D58" s="249"/>
      <c r="E58" s="251"/>
      <c r="F58" s="561"/>
      <c r="G58" s="562" t="str">
        <f>IFERROR(VLOOKUP(D58,FAEI!$K$13:$L$21,2,FALSE),"")</f>
        <v/>
      </c>
      <c r="H58" s="251"/>
      <c r="I58" s="806" t="str">
        <f>IFERROR(IF(VLOOKUP($D58,FAEI!$K$13:$N$21,3,FALSE)="","",VLOOKUP($D58,FAEI!$K$13:$N$21,3,FALSE)),"")</f>
        <v/>
      </c>
      <c r="J58" s="561"/>
      <c r="K58" s="615"/>
      <c r="L58" s="977"/>
      <c r="M58" s="977"/>
      <c r="N58" s="977"/>
      <c r="O58" s="977"/>
      <c r="P58" s="616"/>
      <c r="Q58" s="980" t="str">
        <f>FAEI!Q50</f>
        <v/>
      </c>
      <c r="R58" s="212" t="str">
        <f t="shared" si="0"/>
        <v/>
      </c>
    </row>
    <row r="59" spans="2:18" hidden="1" outlineLevel="1" x14ac:dyDescent="0.35">
      <c r="B59" s="269"/>
      <c r="C59" s="945"/>
      <c r="D59" s="249"/>
      <c r="E59" s="251"/>
      <c r="F59" s="561"/>
      <c r="G59" s="562" t="str">
        <f>IFERROR(VLOOKUP(D59,FAEI!$K$13:$L$21,2,FALSE),"")</f>
        <v/>
      </c>
      <c r="H59" s="251"/>
      <c r="I59" s="806" t="str">
        <f>IFERROR(IF(VLOOKUP($D59,FAEI!$K$13:$N$21,3,FALSE)="","",VLOOKUP($D59,FAEI!$K$13:$N$21,3,FALSE)),"")</f>
        <v/>
      </c>
      <c r="J59" s="561"/>
      <c r="K59" s="615"/>
      <c r="L59" s="977"/>
      <c r="M59" s="977"/>
      <c r="N59" s="977"/>
      <c r="O59" s="977"/>
      <c r="P59" s="616"/>
      <c r="Q59" s="980" t="str">
        <f>FAEI!Q51</f>
        <v/>
      </c>
      <c r="R59" s="212" t="str">
        <f t="shared" si="0"/>
        <v/>
      </c>
    </row>
    <row r="60" spans="2:18" hidden="1" outlineLevel="1" x14ac:dyDescent="0.35">
      <c r="B60" s="269"/>
      <c r="C60" s="945"/>
      <c r="D60" s="249"/>
      <c r="E60" s="251"/>
      <c r="F60" s="561"/>
      <c r="G60" s="562" t="str">
        <f>IFERROR(VLOOKUP(D60,FAEI!$K$13:$L$21,2,FALSE),"")</f>
        <v/>
      </c>
      <c r="H60" s="251"/>
      <c r="I60" s="806" t="str">
        <f>IFERROR(IF(VLOOKUP($D60,FAEI!$K$13:$N$21,3,FALSE)="","",VLOOKUP($D60,FAEI!$K$13:$N$21,3,FALSE)),"")</f>
        <v/>
      </c>
      <c r="J60" s="561"/>
      <c r="K60" s="615"/>
      <c r="L60" s="977"/>
      <c r="M60" s="977"/>
      <c r="N60" s="977"/>
      <c r="O60" s="977"/>
      <c r="P60" s="616"/>
      <c r="Q60" s="980" t="str">
        <f>FAEI!Q52</f>
        <v/>
      </c>
      <c r="R60" s="212" t="str">
        <f t="shared" si="0"/>
        <v/>
      </c>
    </row>
    <row r="61" spans="2:18" hidden="1" outlineLevel="1" x14ac:dyDescent="0.35">
      <c r="B61" s="269"/>
      <c r="C61" s="945"/>
      <c r="D61" s="249"/>
      <c r="E61" s="251"/>
      <c r="F61" s="561"/>
      <c r="G61" s="562" t="str">
        <f>IFERROR(VLOOKUP(D61,FAEI!$K$13:$L$21,2,FALSE),"")</f>
        <v/>
      </c>
      <c r="H61" s="251"/>
      <c r="I61" s="806" t="str">
        <f>IFERROR(IF(VLOOKUP($D61,FAEI!$K$13:$N$21,3,FALSE)="","",VLOOKUP($D61,FAEI!$K$13:$N$21,3,FALSE)),"")</f>
        <v/>
      </c>
      <c r="J61" s="561"/>
      <c r="K61" s="615"/>
      <c r="L61" s="977"/>
      <c r="M61" s="977"/>
      <c r="N61" s="977"/>
      <c r="O61" s="977"/>
      <c r="P61" s="616"/>
      <c r="Q61" s="980" t="str">
        <f>FAEI!Q53</f>
        <v/>
      </c>
      <c r="R61" s="212" t="str">
        <f t="shared" si="0"/>
        <v/>
      </c>
    </row>
    <row r="62" spans="2:18" hidden="1" outlineLevel="1" x14ac:dyDescent="0.35">
      <c r="B62" s="269"/>
      <c r="C62" s="945"/>
      <c r="D62" s="249"/>
      <c r="E62" s="251"/>
      <c r="F62" s="561"/>
      <c r="G62" s="562" t="str">
        <f>IFERROR(VLOOKUP(D62,FAEI!$K$13:$L$21,2,FALSE),"")</f>
        <v/>
      </c>
      <c r="H62" s="251"/>
      <c r="I62" s="806" t="str">
        <f>IFERROR(IF(VLOOKUP($D62,FAEI!$K$13:$N$21,3,FALSE)="","",VLOOKUP($D62,FAEI!$K$13:$N$21,3,FALSE)),"")</f>
        <v/>
      </c>
      <c r="J62" s="561"/>
      <c r="K62" s="615"/>
      <c r="L62" s="977"/>
      <c r="M62" s="977"/>
      <c r="N62" s="977"/>
      <c r="O62" s="977"/>
      <c r="P62" s="616"/>
      <c r="Q62" s="980" t="str">
        <f>FAEI!Q54</f>
        <v/>
      </c>
      <c r="R62" s="212" t="str">
        <f t="shared" si="0"/>
        <v/>
      </c>
    </row>
    <row r="63" spans="2:18" hidden="1" outlineLevel="1" x14ac:dyDescent="0.35">
      <c r="B63" s="269"/>
      <c r="C63" s="945"/>
      <c r="D63" s="249"/>
      <c r="E63" s="251"/>
      <c r="F63" s="561"/>
      <c r="G63" s="562" t="str">
        <f>IFERROR(VLOOKUP(D63,FAEI!$K$13:$L$21,2,FALSE),"")</f>
        <v/>
      </c>
      <c r="H63" s="251"/>
      <c r="I63" s="806" t="str">
        <f>IFERROR(IF(VLOOKUP($D63,FAEI!$K$13:$N$21,3,FALSE)="","",VLOOKUP($D63,FAEI!$K$13:$N$21,3,FALSE)),"")</f>
        <v/>
      </c>
      <c r="J63" s="561"/>
      <c r="K63" s="615"/>
      <c r="L63" s="977"/>
      <c r="M63" s="977"/>
      <c r="N63" s="977"/>
      <c r="O63" s="977"/>
      <c r="P63" s="616"/>
      <c r="Q63" s="980" t="str">
        <f>FAEI!Q55</f>
        <v/>
      </c>
      <c r="R63" s="212" t="str">
        <f t="shared" si="0"/>
        <v/>
      </c>
    </row>
    <row r="64" spans="2:18" hidden="1" outlineLevel="1" x14ac:dyDescent="0.35">
      <c r="B64" s="269"/>
      <c r="C64" s="945"/>
      <c r="D64" s="249"/>
      <c r="E64" s="251"/>
      <c r="F64" s="561"/>
      <c r="G64" s="562" t="str">
        <f>IFERROR(VLOOKUP(D64,FAEI!$K$13:$L$21,2,FALSE),"")</f>
        <v/>
      </c>
      <c r="H64" s="251"/>
      <c r="I64" s="806" t="str">
        <f>IFERROR(IF(VLOOKUP($D64,FAEI!$K$13:$N$21,3,FALSE)="","",VLOOKUP($D64,FAEI!$K$13:$N$21,3,FALSE)),"")</f>
        <v/>
      </c>
      <c r="J64" s="561"/>
      <c r="K64" s="615"/>
      <c r="L64" s="977"/>
      <c r="M64" s="977"/>
      <c r="N64" s="977"/>
      <c r="O64" s="977"/>
      <c r="P64" s="616"/>
      <c r="Q64" s="980" t="str">
        <f>FAEI!Q56</f>
        <v/>
      </c>
      <c r="R64" s="212" t="str">
        <f t="shared" si="0"/>
        <v/>
      </c>
    </row>
    <row r="65" spans="2:18" hidden="1" outlineLevel="1" x14ac:dyDescent="0.35">
      <c r="B65" s="269"/>
      <c r="C65" s="945"/>
      <c r="D65" s="249"/>
      <c r="E65" s="251"/>
      <c r="F65" s="561"/>
      <c r="G65" s="562" t="str">
        <f>IFERROR(VLOOKUP(D65,FAEI!$K$13:$L$21,2,FALSE),"")</f>
        <v/>
      </c>
      <c r="H65" s="251"/>
      <c r="I65" s="806" t="str">
        <f>IFERROR(IF(VLOOKUP($D65,FAEI!$K$13:$N$21,3,FALSE)="","",VLOOKUP($D65,FAEI!$K$13:$N$21,3,FALSE)),"")</f>
        <v/>
      </c>
      <c r="J65" s="561"/>
      <c r="K65" s="615"/>
      <c r="L65" s="977"/>
      <c r="M65" s="977"/>
      <c r="N65" s="977"/>
      <c r="O65" s="977"/>
      <c r="P65" s="616"/>
      <c r="Q65" s="980" t="str">
        <f>FAEI!Q57</f>
        <v/>
      </c>
      <c r="R65" s="212" t="str">
        <f t="shared" si="0"/>
        <v/>
      </c>
    </row>
    <row r="66" spans="2:18" hidden="1" outlineLevel="1" x14ac:dyDescent="0.35">
      <c r="B66" s="269"/>
      <c r="C66" s="945"/>
      <c r="D66" s="249"/>
      <c r="E66" s="251"/>
      <c r="F66" s="561"/>
      <c r="G66" s="562" t="str">
        <f>IFERROR(VLOOKUP(D66,FAEI!$K$13:$L$21,2,FALSE),"")</f>
        <v/>
      </c>
      <c r="H66" s="251"/>
      <c r="I66" s="806" t="str">
        <f>IFERROR(IF(VLOOKUP($D66,FAEI!$K$13:$N$21,3,FALSE)="","",VLOOKUP($D66,FAEI!$K$13:$N$21,3,FALSE)),"")</f>
        <v/>
      </c>
      <c r="J66" s="561"/>
      <c r="K66" s="615"/>
      <c r="L66" s="977"/>
      <c r="M66" s="977"/>
      <c r="N66" s="977"/>
      <c r="O66" s="977"/>
      <c r="P66" s="616"/>
      <c r="Q66" s="980" t="str">
        <f>FAEI!Q58</f>
        <v/>
      </c>
      <c r="R66" s="212" t="str">
        <f t="shared" si="0"/>
        <v/>
      </c>
    </row>
    <row r="67" spans="2:18" hidden="1" outlineLevel="1" x14ac:dyDescent="0.35">
      <c r="B67" s="269"/>
      <c r="C67" s="945"/>
      <c r="D67" s="249"/>
      <c r="E67" s="251"/>
      <c r="F67" s="561"/>
      <c r="G67" s="562" t="str">
        <f>IFERROR(VLOOKUP(D67,FAEI!$K$13:$L$21,2,FALSE),"")</f>
        <v/>
      </c>
      <c r="H67" s="251"/>
      <c r="I67" s="806" t="str">
        <f>IFERROR(IF(VLOOKUP($D67,FAEI!$K$13:$N$21,3,FALSE)="","",VLOOKUP($D67,FAEI!$K$13:$N$21,3,FALSE)),"")</f>
        <v/>
      </c>
      <c r="J67" s="561"/>
      <c r="K67" s="615"/>
      <c r="L67" s="977"/>
      <c r="M67" s="977"/>
      <c r="N67" s="977"/>
      <c r="O67" s="977"/>
      <c r="P67" s="616"/>
      <c r="Q67" s="980" t="str">
        <f>FAEI!Q59</f>
        <v/>
      </c>
      <c r="R67" s="212" t="str">
        <f t="shared" si="0"/>
        <v/>
      </c>
    </row>
    <row r="68" spans="2:18" hidden="1" outlineLevel="1" x14ac:dyDescent="0.35">
      <c r="B68" s="269"/>
      <c r="C68" s="945"/>
      <c r="D68" s="249"/>
      <c r="E68" s="251"/>
      <c r="F68" s="561"/>
      <c r="G68" s="562" t="str">
        <f>IFERROR(VLOOKUP(D68,FAEI!$K$13:$L$21,2,FALSE),"")</f>
        <v/>
      </c>
      <c r="H68" s="251"/>
      <c r="I68" s="806" t="str">
        <f>IFERROR(IF(VLOOKUP($D68,FAEI!$K$13:$N$21,3,FALSE)="","",VLOOKUP($D68,FAEI!$K$13:$N$21,3,FALSE)),"")</f>
        <v/>
      </c>
      <c r="J68" s="561"/>
      <c r="K68" s="615"/>
      <c r="L68" s="977"/>
      <c r="M68" s="977"/>
      <c r="N68" s="977"/>
      <c r="O68" s="977"/>
      <c r="P68" s="616"/>
      <c r="Q68" s="980" t="str">
        <f>FAEI!Q60</f>
        <v/>
      </c>
      <c r="R68" s="212" t="str">
        <f t="shared" si="0"/>
        <v/>
      </c>
    </row>
    <row r="69" spans="2:18" hidden="1" outlineLevel="1" x14ac:dyDescent="0.35">
      <c r="B69" s="269"/>
      <c r="C69" s="945"/>
      <c r="D69" s="249"/>
      <c r="E69" s="251"/>
      <c r="F69" s="561"/>
      <c r="G69" s="562" t="str">
        <f>IFERROR(VLOOKUP(D69,FAEI!$K$13:$L$21,2,FALSE),"")</f>
        <v/>
      </c>
      <c r="H69" s="251"/>
      <c r="I69" s="806" t="str">
        <f>IFERROR(IF(VLOOKUP($D69,FAEI!$K$13:$N$21,3,FALSE)="","",VLOOKUP($D69,FAEI!$K$13:$N$21,3,FALSE)),"")</f>
        <v/>
      </c>
      <c r="J69" s="561"/>
      <c r="K69" s="615"/>
      <c r="L69" s="977"/>
      <c r="M69" s="977"/>
      <c r="N69" s="977"/>
      <c r="O69" s="977"/>
      <c r="P69" s="616"/>
      <c r="Q69" s="980" t="str">
        <f>FAEI!Q61</f>
        <v/>
      </c>
      <c r="R69" s="212" t="str">
        <f t="shared" si="0"/>
        <v/>
      </c>
    </row>
    <row r="70" spans="2:18" hidden="1" outlineLevel="1" x14ac:dyDescent="0.35">
      <c r="B70" s="269"/>
      <c r="C70" s="945"/>
      <c r="D70" s="249"/>
      <c r="E70" s="251"/>
      <c r="F70" s="561"/>
      <c r="G70" s="562" t="str">
        <f>IFERROR(VLOOKUP(D70,FAEI!$K$13:$L$21,2,FALSE),"")</f>
        <v/>
      </c>
      <c r="H70" s="251"/>
      <c r="I70" s="806" t="str">
        <f>IFERROR(IF(VLOOKUP($D70,FAEI!$K$13:$N$21,3,FALSE)="","",VLOOKUP($D70,FAEI!$K$13:$N$21,3,FALSE)),"")</f>
        <v/>
      </c>
      <c r="J70" s="561"/>
      <c r="K70" s="615"/>
      <c r="L70" s="977"/>
      <c r="M70" s="977"/>
      <c r="N70" s="977"/>
      <c r="O70" s="977"/>
      <c r="P70" s="616"/>
      <c r="Q70" s="980" t="str">
        <f>FAEI!Q62</f>
        <v/>
      </c>
      <c r="R70" s="212" t="str">
        <f t="shared" si="0"/>
        <v/>
      </c>
    </row>
    <row r="71" spans="2:18" hidden="1" outlineLevel="1" x14ac:dyDescent="0.35">
      <c r="B71" s="269"/>
      <c r="C71" s="945"/>
      <c r="D71" s="249"/>
      <c r="E71" s="251"/>
      <c r="F71" s="561"/>
      <c r="G71" s="562" t="str">
        <f>IFERROR(VLOOKUP(D71,FAEI!$K$13:$L$21,2,FALSE),"")</f>
        <v/>
      </c>
      <c r="H71" s="251"/>
      <c r="I71" s="806" t="str">
        <f>IFERROR(IF(VLOOKUP($D71,FAEI!$K$13:$N$21,3,FALSE)="","",VLOOKUP($D71,FAEI!$K$13:$N$21,3,FALSE)),"")</f>
        <v/>
      </c>
      <c r="J71" s="561"/>
      <c r="K71" s="615"/>
      <c r="L71" s="977"/>
      <c r="M71" s="977"/>
      <c r="N71" s="977"/>
      <c r="O71" s="977"/>
      <c r="P71" s="616"/>
      <c r="Q71" s="980" t="str">
        <f>FAEI!Q63</f>
        <v/>
      </c>
      <c r="R71" s="212" t="str">
        <f t="shared" si="0"/>
        <v/>
      </c>
    </row>
    <row r="72" spans="2:18" hidden="1" outlineLevel="1" x14ac:dyDescent="0.35">
      <c r="B72" s="269"/>
      <c r="C72" s="945"/>
      <c r="D72" s="249"/>
      <c r="E72" s="251"/>
      <c r="F72" s="561"/>
      <c r="G72" s="562" t="str">
        <f>IFERROR(VLOOKUP(D72,FAEI!$K$13:$L$21,2,FALSE),"")</f>
        <v/>
      </c>
      <c r="H72" s="251"/>
      <c r="I72" s="806" t="str">
        <f>IFERROR(IF(VLOOKUP($D72,FAEI!$K$13:$N$21,3,FALSE)="","",VLOOKUP($D72,FAEI!$K$13:$N$21,3,FALSE)),"")</f>
        <v/>
      </c>
      <c r="J72" s="561"/>
      <c r="K72" s="615"/>
      <c r="L72" s="977"/>
      <c r="M72" s="977"/>
      <c r="N72" s="977"/>
      <c r="O72" s="977"/>
      <c r="P72" s="616"/>
      <c r="Q72" s="980" t="str">
        <f>FAEI!Q64</f>
        <v/>
      </c>
      <c r="R72" s="212" t="str">
        <f t="shared" si="0"/>
        <v/>
      </c>
    </row>
    <row r="73" spans="2:18" hidden="1" outlineLevel="1" x14ac:dyDescent="0.35">
      <c r="B73" s="269"/>
      <c r="C73" s="945"/>
      <c r="D73" s="249"/>
      <c r="E73" s="251"/>
      <c r="F73" s="561"/>
      <c r="G73" s="562" t="str">
        <f>IFERROR(VLOOKUP(D73,FAEI!$K$13:$L$21,2,FALSE),"")</f>
        <v/>
      </c>
      <c r="H73" s="251"/>
      <c r="I73" s="806" t="str">
        <f>IFERROR(IF(VLOOKUP($D73,FAEI!$K$13:$N$21,3,FALSE)="","",VLOOKUP($D73,FAEI!$K$13:$N$21,3,FALSE)),"")</f>
        <v/>
      </c>
      <c r="J73" s="561"/>
      <c r="K73" s="615"/>
      <c r="L73" s="977"/>
      <c r="M73" s="977"/>
      <c r="N73" s="977"/>
      <c r="O73" s="977"/>
      <c r="P73" s="616"/>
      <c r="Q73" s="980" t="str">
        <f>FAEI!Q65</f>
        <v/>
      </c>
      <c r="R73" s="212" t="str">
        <f t="shared" si="0"/>
        <v/>
      </c>
    </row>
    <row r="74" spans="2:18" hidden="1" outlineLevel="1" x14ac:dyDescent="0.35">
      <c r="B74" s="269"/>
      <c r="C74" s="945"/>
      <c r="D74" s="249"/>
      <c r="E74" s="251"/>
      <c r="F74" s="561"/>
      <c r="G74" s="562" t="str">
        <f>IFERROR(VLOOKUP(D74,FAEI!$K$13:$L$21,2,FALSE),"")</f>
        <v/>
      </c>
      <c r="H74" s="251"/>
      <c r="I74" s="806" t="str">
        <f>IFERROR(IF(VLOOKUP($D74,FAEI!$K$13:$N$21,3,FALSE)="","",VLOOKUP($D74,FAEI!$K$13:$N$21,3,FALSE)),"")</f>
        <v/>
      </c>
      <c r="J74" s="561"/>
      <c r="K74" s="615"/>
      <c r="L74" s="977"/>
      <c r="M74" s="977"/>
      <c r="N74" s="977"/>
      <c r="O74" s="977"/>
      <c r="P74" s="616"/>
      <c r="Q74" s="980" t="str">
        <f>FAEI!Q66</f>
        <v/>
      </c>
      <c r="R74" s="212" t="str">
        <f t="shared" si="0"/>
        <v/>
      </c>
    </row>
    <row r="75" spans="2:18" hidden="1" outlineLevel="1" x14ac:dyDescent="0.35">
      <c r="B75" s="269"/>
      <c r="C75" s="945"/>
      <c r="D75" s="249"/>
      <c r="E75" s="251"/>
      <c r="F75" s="561"/>
      <c r="G75" s="562" t="str">
        <f>IFERROR(VLOOKUP(D75,FAEI!$K$13:$L$21,2,FALSE),"")</f>
        <v/>
      </c>
      <c r="H75" s="251"/>
      <c r="I75" s="806" t="str">
        <f>IFERROR(IF(VLOOKUP($D75,FAEI!$K$13:$N$21,3,FALSE)="","",VLOOKUP($D75,FAEI!$K$13:$N$21,3,FALSE)),"")</f>
        <v/>
      </c>
      <c r="J75" s="561"/>
      <c r="K75" s="615"/>
      <c r="L75" s="977"/>
      <c r="M75" s="977"/>
      <c r="N75" s="977"/>
      <c r="O75" s="977"/>
      <c r="P75" s="616"/>
      <c r="Q75" s="980" t="str">
        <f>FAEI!Q67</f>
        <v/>
      </c>
      <c r="R75" s="212" t="str">
        <f t="shared" si="0"/>
        <v/>
      </c>
    </row>
    <row r="76" spans="2:18" hidden="1" outlineLevel="1" x14ac:dyDescent="0.35">
      <c r="B76" s="269"/>
      <c r="C76" s="945"/>
      <c r="D76" s="249"/>
      <c r="E76" s="251"/>
      <c r="F76" s="561"/>
      <c r="G76" s="562" t="str">
        <f>IFERROR(VLOOKUP(D76,FAEI!$K$13:$L$21,2,FALSE),"")</f>
        <v/>
      </c>
      <c r="H76" s="251"/>
      <c r="I76" s="806" t="str">
        <f>IFERROR(IF(VLOOKUP($D76,FAEI!$K$13:$N$21,3,FALSE)="","",VLOOKUP($D76,FAEI!$K$13:$N$21,3,FALSE)),"")</f>
        <v/>
      </c>
      <c r="J76" s="561"/>
      <c r="K76" s="615"/>
      <c r="L76" s="977"/>
      <c r="M76" s="977"/>
      <c r="N76" s="977"/>
      <c r="O76" s="977"/>
      <c r="P76" s="616"/>
      <c r="Q76" s="980" t="str">
        <f>FAEI!Q68</f>
        <v/>
      </c>
      <c r="R76" s="212" t="str">
        <f t="shared" si="0"/>
        <v/>
      </c>
    </row>
    <row r="77" spans="2:18" hidden="1" outlineLevel="1" x14ac:dyDescent="0.35">
      <c r="B77" s="269"/>
      <c r="C77" s="945"/>
      <c r="D77" s="249"/>
      <c r="E77" s="251"/>
      <c r="F77" s="561"/>
      <c r="G77" s="562" t="str">
        <f>IFERROR(VLOOKUP(D77,FAEI!$K$13:$L$21,2,FALSE),"")</f>
        <v/>
      </c>
      <c r="H77" s="251"/>
      <c r="I77" s="806" t="str">
        <f>IFERROR(IF(VLOOKUP($D77,FAEI!$K$13:$N$21,3,FALSE)="","",VLOOKUP($D77,FAEI!$K$13:$N$21,3,FALSE)),"")</f>
        <v/>
      </c>
      <c r="J77" s="561"/>
      <c r="K77" s="615"/>
      <c r="L77" s="977"/>
      <c r="M77" s="977"/>
      <c r="N77" s="977"/>
      <c r="O77" s="977"/>
      <c r="P77" s="616"/>
      <c r="Q77" s="980" t="str">
        <f>FAEI!Q69</f>
        <v/>
      </c>
      <c r="R77" s="212" t="str">
        <f t="shared" si="0"/>
        <v/>
      </c>
    </row>
    <row r="78" spans="2:18" hidden="1" outlineLevel="1" x14ac:dyDescent="0.35">
      <c r="B78" s="269"/>
      <c r="C78" s="945"/>
      <c r="D78" s="249"/>
      <c r="E78" s="251"/>
      <c r="F78" s="561"/>
      <c r="G78" s="562" t="str">
        <f>IFERROR(VLOOKUP(D78,FAEI!$K$13:$L$21,2,FALSE),"")</f>
        <v/>
      </c>
      <c r="H78" s="251"/>
      <c r="I78" s="806" t="str">
        <f>IFERROR(IF(VLOOKUP($D78,FAEI!$K$13:$N$21,3,FALSE)="","",VLOOKUP($D78,FAEI!$K$13:$N$21,3,FALSE)),"")</f>
        <v/>
      </c>
      <c r="J78" s="561"/>
      <c r="K78" s="615"/>
      <c r="L78" s="977"/>
      <c r="M78" s="977"/>
      <c r="N78" s="977"/>
      <c r="O78" s="977"/>
      <c r="P78" s="616"/>
      <c r="Q78" s="980" t="str">
        <f>FAEI!Q70</f>
        <v/>
      </c>
      <c r="R78" s="212" t="str">
        <f t="shared" si="0"/>
        <v/>
      </c>
    </row>
    <row r="79" spans="2:18" hidden="1" outlineLevel="1" x14ac:dyDescent="0.35">
      <c r="B79" s="269"/>
      <c r="C79" s="945"/>
      <c r="D79" s="249"/>
      <c r="E79" s="251"/>
      <c r="F79" s="561"/>
      <c r="G79" s="562" t="str">
        <f>IFERROR(VLOOKUP(D79,FAEI!$K$13:$L$21,2,FALSE),"")</f>
        <v/>
      </c>
      <c r="H79" s="251"/>
      <c r="I79" s="806" t="str">
        <f>IFERROR(IF(VLOOKUP($D79,FAEI!$K$13:$N$21,3,FALSE)="","",VLOOKUP($D79,FAEI!$K$13:$N$21,3,FALSE)),"")</f>
        <v/>
      </c>
      <c r="J79" s="561"/>
      <c r="K79" s="615"/>
      <c r="L79" s="977"/>
      <c r="M79" s="977"/>
      <c r="N79" s="977"/>
      <c r="O79" s="977"/>
      <c r="P79" s="616"/>
      <c r="Q79" s="980" t="str">
        <f>FAEI!Q71</f>
        <v/>
      </c>
      <c r="R79" s="212" t="str">
        <f t="shared" si="0"/>
        <v/>
      </c>
    </row>
    <row r="80" spans="2:18" hidden="1" outlineLevel="1" x14ac:dyDescent="0.35">
      <c r="B80" s="269"/>
      <c r="C80" s="945"/>
      <c r="D80" s="249"/>
      <c r="E80" s="251"/>
      <c r="F80" s="561"/>
      <c r="G80" s="562" t="str">
        <f>IFERROR(VLOOKUP(D80,FAEI!$K$13:$L$21,2,FALSE),"")</f>
        <v/>
      </c>
      <c r="H80" s="251"/>
      <c r="I80" s="806" t="str">
        <f>IFERROR(IF(VLOOKUP($D80,FAEI!$K$13:$N$21,3,FALSE)="","",VLOOKUP($D80,FAEI!$K$13:$N$21,3,FALSE)),"")</f>
        <v/>
      </c>
      <c r="J80" s="561"/>
      <c r="K80" s="615"/>
      <c r="L80" s="977"/>
      <c r="M80" s="977"/>
      <c r="N80" s="977"/>
      <c r="O80" s="977"/>
      <c r="P80" s="616"/>
      <c r="Q80" s="980" t="str">
        <f>FAEI!Q72</f>
        <v/>
      </c>
      <c r="R80" s="212" t="str">
        <f t="shared" si="0"/>
        <v/>
      </c>
    </row>
    <row r="81" spans="2:18" hidden="1" outlineLevel="1" x14ac:dyDescent="0.35">
      <c r="B81" s="269"/>
      <c r="C81" s="945"/>
      <c r="D81" s="249"/>
      <c r="E81" s="251"/>
      <c r="F81" s="561"/>
      <c r="G81" s="562" t="str">
        <f>IFERROR(VLOOKUP(D81,FAEI!$K$13:$L$21,2,FALSE),"")</f>
        <v/>
      </c>
      <c r="H81" s="251"/>
      <c r="I81" s="806" t="str">
        <f>IFERROR(IF(VLOOKUP($D81,FAEI!$K$13:$N$21,3,FALSE)="","",VLOOKUP($D81,FAEI!$K$13:$N$21,3,FALSE)),"")</f>
        <v/>
      </c>
      <c r="J81" s="561"/>
      <c r="K81" s="615"/>
      <c r="L81" s="977"/>
      <c r="M81" s="977"/>
      <c r="N81" s="977"/>
      <c r="O81" s="977"/>
      <c r="P81" s="616"/>
      <c r="Q81" s="980" t="str">
        <f>FAEI!Q73</f>
        <v/>
      </c>
      <c r="R81" s="212" t="str">
        <f t="shared" si="0"/>
        <v/>
      </c>
    </row>
    <row r="82" spans="2:18" hidden="1" outlineLevel="1" x14ac:dyDescent="0.35">
      <c r="B82" s="269"/>
      <c r="C82" s="945"/>
      <c r="D82" s="249"/>
      <c r="E82" s="251"/>
      <c r="F82" s="561"/>
      <c r="G82" s="562" t="str">
        <f>IFERROR(VLOOKUP(D82,FAEI!$K$13:$L$21,2,FALSE),"")</f>
        <v/>
      </c>
      <c r="H82" s="251"/>
      <c r="I82" s="806" t="str">
        <f>IFERROR(IF(VLOOKUP($D82,FAEI!$K$13:$N$21,3,FALSE)="","",VLOOKUP($D82,FAEI!$K$13:$N$21,3,FALSE)),"")</f>
        <v/>
      </c>
      <c r="J82" s="561"/>
      <c r="K82" s="615"/>
      <c r="L82" s="977"/>
      <c r="M82" s="977"/>
      <c r="N82" s="977"/>
      <c r="O82" s="977"/>
      <c r="P82" s="616"/>
      <c r="Q82" s="980" t="str">
        <f>FAEI!Q74</f>
        <v/>
      </c>
      <c r="R82" s="212" t="str">
        <f t="shared" si="0"/>
        <v/>
      </c>
    </row>
    <row r="83" spans="2:18" hidden="1" outlineLevel="1" x14ac:dyDescent="0.35">
      <c r="B83" s="269"/>
      <c r="C83" s="945"/>
      <c r="D83" s="249"/>
      <c r="E83" s="251"/>
      <c r="F83" s="561"/>
      <c r="G83" s="562" t="str">
        <f>IFERROR(VLOOKUP(D83,FAEI!$K$13:$L$21,2,FALSE),"")</f>
        <v/>
      </c>
      <c r="H83" s="251"/>
      <c r="I83" s="806" t="str">
        <f>IFERROR(IF(VLOOKUP($D83,FAEI!$K$13:$N$21,3,FALSE)="","",VLOOKUP($D83,FAEI!$K$13:$N$21,3,FALSE)),"")</f>
        <v/>
      </c>
      <c r="J83" s="561"/>
      <c r="K83" s="615"/>
      <c r="L83" s="977"/>
      <c r="M83" s="977"/>
      <c r="N83" s="977"/>
      <c r="O83" s="977"/>
      <c r="P83" s="616"/>
      <c r="Q83" s="980" t="str">
        <f>FAEI!Q75</f>
        <v/>
      </c>
      <c r="R83" s="212" t="str">
        <f t="shared" si="0"/>
        <v/>
      </c>
    </row>
    <row r="84" spans="2:18" hidden="1" outlineLevel="1" x14ac:dyDescent="0.35">
      <c r="B84" s="269"/>
      <c r="C84" s="945"/>
      <c r="D84" s="249"/>
      <c r="E84" s="251"/>
      <c r="F84" s="561"/>
      <c r="G84" s="562" t="str">
        <f>IFERROR(VLOOKUP(D84,FAEI!$K$13:$L$21,2,FALSE),"")</f>
        <v/>
      </c>
      <c r="H84" s="251"/>
      <c r="I84" s="806" t="str">
        <f>IFERROR(IF(VLOOKUP($D84,FAEI!$K$13:$N$21,3,FALSE)="","",VLOOKUP($D84,FAEI!$K$13:$N$21,3,FALSE)),"")</f>
        <v/>
      </c>
      <c r="J84" s="561"/>
      <c r="K84" s="615"/>
      <c r="L84" s="977"/>
      <c r="M84" s="977"/>
      <c r="N84" s="977"/>
      <c r="O84" s="977"/>
      <c r="P84" s="616"/>
      <c r="Q84" s="980" t="str">
        <f>FAEI!Q76</f>
        <v/>
      </c>
      <c r="R84" s="212" t="str">
        <f t="shared" si="0"/>
        <v/>
      </c>
    </row>
    <row r="85" spans="2:18" hidden="1" outlineLevel="1" x14ac:dyDescent="0.35">
      <c r="B85" s="269"/>
      <c r="C85" s="945"/>
      <c r="D85" s="249"/>
      <c r="E85" s="251"/>
      <c r="F85" s="561"/>
      <c r="G85" s="562" t="str">
        <f>IFERROR(VLOOKUP(D85,FAEI!$K$13:$L$21,2,FALSE),"")</f>
        <v/>
      </c>
      <c r="H85" s="251"/>
      <c r="I85" s="806" t="str">
        <f>IFERROR(IF(VLOOKUP($D85,FAEI!$K$13:$N$21,3,FALSE)="","",VLOOKUP($D85,FAEI!$K$13:$N$21,3,FALSE)),"")</f>
        <v/>
      </c>
      <c r="J85" s="561"/>
      <c r="K85" s="615"/>
      <c r="L85" s="977"/>
      <c r="M85" s="977"/>
      <c r="N85" s="977"/>
      <c r="O85" s="977"/>
      <c r="P85" s="616"/>
      <c r="Q85" s="980" t="str">
        <f>FAEI!Q77</f>
        <v/>
      </c>
      <c r="R85" s="212" t="str">
        <f t="shared" si="0"/>
        <v/>
      </c>
    </row>
    <row r="86" spans="2:18" hidden="1" outlineLevel="1" x14ac:dyDescent="0.35">
      <c r="B86" s="269"/>
      <c r="C86" s="945"/>
      <c r="D86" s="249"/>
      <c r="E86" s="251"/>
      <c r="F86" s="561"/>
      <c r="G86" s="562" t="str">
        <f>IFERROR(VLOOKUP(D86,FAEI!$K$13:$L$21,2,FALSE),"")</f>
        <v/>
      </c>
      <c r="H86" s="251"/>
      <c r="I86" s="806" t="str">
        <f>IFERROR(IF(VLOOKUP($D86,FAEI!$K$13:$N$21,3,FALSE)="","",VLOOKUP($D86,FAEI!$K$13:$N$21,3,FALSE)),"")</f>
        <v/>
      </c>
      <c r="J86" s="561"/>
      <c r="K86" s="615"/>
      <c r="L86" s="977"/>
      <c r="M86" s="977"/>
      <c r="N86" s="977"/>
      <c r="O86" s="977"/>
      <c r="P86" s="616"/>
      <c r="Q86" s="980" t="str">
        <f>FAEI!Q78</f>
        <v/>
      </c>
      <c r="R86" s="212" t="str">
        <f t="shared" si="0"/>
        <v/>
      </c>
    </row>
    <row r="87" spans="2:18" hidden="1" outlineLevel="1" x14ac:dyDescent="0.35">
      <c r="B87" s="269"/>
      <c r="C87" s="945"/>
      <c r="D87" s="249"/>
      <c r="E87" s="251"/>
      <c r="F87" s="561"/>
      <c r="G87" s="562" t="str">
        <f>IFERROR(VLOOKUP(D87,FAEI!$K$13:$L$21,2,FALSE),"")</f>
        <v/>
      </c>
      <c r="H87" s="251"/>
      <c r="I87" s="806" t="str">
        <f>IFERROR(IF(VLOOKUP($D87,FAEI!$K$13:$N$21,3,FALSE)="","",VLOOKUP($D87,FAEI!$K$13:$N$21,3,FALSE)),"")</f>
        <v/>
      </c>
      <c r="J87" s="561"/>
      <c r="K87" s="615"/>
      <c r="L87" s="977"/>
      <c r="M87" s="977"/>
      <c r="N87" s="977"/>
      <c r="O87" s="977"/>
      <c r="P87" s="616"/>
      <c r="Q87" s="980" t="str">
        <f>FAEI!Q79</f>
        <v/>
      </c>
      <c r="R87" s="212" t="str">
        <f t="shared" si="0"/>
        <v/>
      </c>
    </row>
    <row r="88" spans="2:18" hidden="1" outlineLevel="1" x14ac:dyDescent="0.35">
      <c r="B88" s="269"/>
      <c r="C88" s="945"/>
      <c r="D88" s="249"/>
      <c r="E88" s="251"/>
      <c r="F88" s="561"/>
      <c r="G88" s="562" t="str">
        <f>IFERROR(VLOOKUP(D88,FAEI!$K$13:$L$21,2,FALSE),"")</f>
        <v/>
      </c>
      <c r="H88" s="251"/>
      <c r="I88" s="806" t="str">
        <f>IFERROR(IF(VLOOKUP($D88,FAEI!$K$13:$N$21,3,FALSE)="","",VLOOKUP($D88,FAEI!$K$13:$N$21,3,FALSE)),"")</f>
        <v/>
      </c>
      <c r="J88" s="561"/>
      <c r="K88" s="615"/>
      <c r="L88" s="977"/>
      <c r="M88" s="977"/>
      <c r="N88" s="977"/>
      <c r="O88" s="977"/>
      <c r="P88" s="616"/>
      <c r="Q88" s="980" t="str">
        <f>FAEI!Q80</f>
        <v/>
      </c>
      <c r="R88" s="212" t="str">
        <f t="shared" si="0"/>
        <v/>
      </c>
    </row>
    <row r="89" spans="2:18" hidden="1" outlineLevel="1" x14ac:dyDescent="0.35">
      <c r="B89" s="269"/>
      <c r="C89" s="945"/>
      <c r="D89" s="249"/>
      <c r="E89" s="251"/>
      <c r="F89" s="561"/>
      <c r="G89" s="562" t="str">
        <f>IFERROR(VLOOKUP(D89,FAEI!$K$13:$L$21,2,FALSE),"")</f>
        <v/>
      </c>
      <c r="H89" s="251"/>
      <c r="I89" s="806" t="str">
        <f>IFERROR(IF(VLOOKUP($D89,FAEI!$K$13:$N$21,3,FALSE)="","",VLOOKUP($D89,FAEI!$K$13:$N$21,3,FALSE)),"")</f>
        <v/>
      </c>
      <c r="J89" s="561"/>
      <c r="K89" s="615"/>
      <c r="L89" s="977"/>
      <c r="M89" s="977"/>
      <c r="N89" s="977"/>
      <c r="O89" s="977"/>
      <c r="P89" s="616"/>
      <c r="Q89" s="980" t="str">
        <f>FAEI!Q81</f>
        <v/>
      </c>
      <c r="R89" s="212" t="str">
        <f t="shared" si="0"/>
        <v/>
      </c>
    </row>
    <row r="90" spans="2:18" hidden="1" outlineLevel="1" x14ac:dyDescent="0.35">
      <c r="B90" s="269"/>
      <c r="C90" s="945"/>
      <c r="D90" s="249"/>
      <c r="E90" s="251"/>
      <c r="F90" s="561"/>
      <c r="G90" s="562" t="str">
        <f>IFERROR(VLOOKUP(D90,FAEI!$K$13:$L$21,2,FALSE),"")</f>
        <v/>
      </c>
      <c r="H90" s="251"/>
      <c r="I90" s="806" t="str">
        <f>IFERROR(IF(VLOOKUP($D90,FAEI!$K$13:$N$21,3,FALSE)="","",VLOOKUP($D90,FAEI!$K$13:$N$21,3,FALSE)),"")</f>
        <v/>
      </c>
      <c r="J90" s="561"/>
      <c r="K90" s="615"/>
      <c r="L90" s="977"/>
      <c r="M90" s="977"/>
      <c r="N90" s="977"/>
      <c r="O90" s="977"/>
      <c r="P90" s="616"/>
      <c r="Q90" s="980" t="str">
        <f>FAEI!Q82</f>
        <v/>
      </c>
      <c r="R90" s="212" t="str">
        <f t="shared" si="0"/>
        <v/>
      </c>
    </row>
    <row r="91" spans="2:18" hidden="1" outlineLevel="1" x14ac:dyDescent="0.35">
      <c r="B91" s="269"/>
      <c r="C91" s="945"/>
      <c r="D91" s="249"/>
      <c r="E91" s="251"/>
      <c r="F91" s="561"/>
      <c r="G91" s="562" t="str">
        <f>IFERROR(VLOOKUP(D91,FAEI!$K$13:$L$21,2,FALSE),"")</f>
        <v/>
      </c>
      <c r="H91" s="251"/>
      <c r="I91" s="806" t="str">
        <f>IFERROR(IF(VLOOKUP($D91,FAEI!$K$13:$N$21,3,FALSE)="","",VLOOKUP($D91,FAEI!$K$13:$N$21,3,FALSE)),"")</f>
        <v/>
      </c>
      <c r="J91" s="561"/>
      <c r="K91" s="615"/>
      <c r="L91" s="977"/>
      <c r="M91" s="977"/>
      <c r="N91" s="977"/>
      <c r="O91" s="977"/>
      <c r="P91" s="616"/>
      <c r="Q91" s="980" t="str">
        <f>FAEI!Q83</f>
        <v/>
      </c>
      <c r="R91" s="212" t="str">
        <f t="shared" si="0"/>
        <v/>
      </c>
    </row>
    <row r="92" spans="2:18" hidden="1" outlineLevel="1" x14ac:dyDescent="0.35">
      <c r="B92" s="269"/>
      <c r="C92" s="945"/>
      <c r="D92" s="249"/>
      <c r="E92" s="251"/>
      <c r="F92" s="561"/>
      <c r="G92" s="562" t="str">
        <f>IFERROR(VLOOKUP(D92,FAEI!$K$13:$L$21,2,FALSE),"")</f>
        <v/>
      </c>
      <c r="H92" s="251"/>
      <c r="I92" s="806" t="str">
        <f>IFERROR(IF(VLOOKUP($D92,FAEI!$K$13:$N$21,3,FALSE)="","",VLOOKUP($D92,FAEI!$K$13:$N$21,3,FALSE)),"")</f>
        <v/>
      </c>
      <c r="J92" s="561"/>
      <c r="K92" s="615"/>
      <c r="L92" s="977"/>
      <c r="M92" s="977"/>
      <c r="N92" s="977"/>
      <c r="O92" s="977"/>
      <c r="P92" s="616"/>
      <c r="Q92" s="980" t="str">
        <f>FAEI!Q84</f>
        <v/>
      </c>
      <c r="R92" s="212" t="str">
        <f t="shared" si="0"/>
        <v/>
      </c>
    </row>
    <row r="93" spans="2:18" hidden="1" outlineLevel="1" x14ac:dyDescent="0.35">
      <c r="B93" s="269"/>
      <c r="C93" s="945"/>
      <c r="D93" s="249"/>
      <c r="E93" s="251"/>
      <c r="F93" s="561"/>
      <c r="G93" s="562" t="str">
        <f>IFERROR(VLOOKUP(D93,FAEI!$K$13:$L$21,2,FALSE),"")</f>
        <v/>
      </c>
      <c r="H93" s="251"/>
      <c r="I93" s="806" t="str">
        <f>IFERROR(IF(VLOOKUP($D93,FAEI!$K$13:$N$21,3,FALSE)="","",VLOOKUP($D93,FAEI!$K$13:$N$21,3,FALSE)),"")</f>
        <v/>
      </c>
      <c r="J93" s="561"/>
      <c r="K93" s="615"/>
      <c r="L93" s="977"/>
      <c r="M93" s="977"/>
      <c r="N93" s="977"/>
      <c r="O93" s="977"/>
      <c r="P93" s="616"/>
      <c r="Q93" s="980" t="str">
        <f>FAEI!Q85</f>
        <v/>
      </c>
      <c r="R93" s="212" t="str">
        <f t="shared" si="0"/>
        <v/>
      </c>
    </row>
    <row r="94" spans="2:18" hidden="1" outlineLevel="1" x14ac:dyDescent="0.35">
      <c r="B94" s="269"/>
      <c r="C94" s="945"/>
      <c r="D94" s="249"/>
      <c r="E94" s="251"/>
      <c r="F94" s="561"/>
      <c r="G94" s="562" t="str">
        <f>IFERROR(VLOOKUP(D94,FAEI!$K$13:$L$21,2,FALSE),"")</f>
        <v/>
      </c>
      <c r="H94" s="251"/>
      <c r="I94" s="806" t="str">
        <f>IFERROR(IF(VLOOKUP($D94,FAEI!$K$13:$N$21,3,FALSE)="","",VLOOKUP($D94,FAEI!$K$13:$N$21,3,FALSE)),"")</f>
        <v/>
      </c>
      <c r="J94" s="561"/>
      <c r="K94" s="615"/>
      <c r="L94" s="977"/>
      <c r="M94" s="977"/>
      <c r="N94" s="977"/>
      <c r="O94" s="977"/>
      <c r="P94" s="616"/>
      <c r="Q94" s="980" t="str">
        <f>FAEI!Q86</f>
        <v/>
      </c>
      <c r="R94" s="212" t="str">
        <f t="shared" si="0"/>
        <v/>
      </c>
    </row>
    <row r="95" spans="2:18" hidden="1" outlineLevel="1" x14ac:dyDescent="0.35">
      <c r="B95" s="269"/>
      <c r="C95" s="945"/>
      <c r="D95" s="249"/>
      <c r="E95" s="251"/>
      <c r="F95" s="561"/>
      <c r="G95" s="562" t="str">
        <f>IFERROR(VLOOKUP(D95,FAEI!$K$13:$L$21,2,FALSE),"")</f>
        <v/>
      </c>
      <c r="H95" s="251"/>
      <c r="I95" s="806" t="str">
        <f>IFERROR(IF(VLOOKUP($D95,FAEI!$K$13:$N$21,3,FALSE)="","",VLOOKUP($D95,FAEI!$K$13:$N$21,3,FALSE)),"")</f>
        <v/>
      </c>
      <c r="J95" s="561"/>
      <c r="K95" s="615"/>
      <c r="L95" s="977"/>
      <c r="M95" s="977"/>
      <c r="N95" s="977"/>
      <c r="O95" s="977"/>
      <c r="P95" s="616"/>
      <c r="Q95" s="980" t="str">
        <f>FAEI!Q87</f>
        <v/>
      </c>
      <c r="R95" s="212" t="str">
        <f t="shared" si="0"/>
        <v/>
      </c>
    </row>
    <row r="96" spans="2:18" hidden="1" outlineLevel="1" x14ac:dyDescent="0.35">
      <c r="B96" s="269"/>
      <c r="C96" s="945"/>
      <c r="D96" s="249"/>
      <c r="E96" s="251"/>
      <c r="F96" s="561"/>
      <c r="G96" s="562" t="str">
        <f>IFERROR(VLOOKUP(D96,FAEI!$K$13:$L$21,2,FALSE),"")</f>
        <v/>
      </c>
      <c r="H96" s="251"/>
      <c r="I96" s="806" t="str">
        <f>IFERROR(IF(VLOOKUP($D96,FAEI!$K$13:$N$21,3,FALSE)="","",VLOOKUP($D96,FAEI!$K$13:$N$21,3,FALSE)),"")</f>
        <v/>
      </c>
      <c r="J96" s="561"/>
      <c r="K96" s="615"/>
      <c r="L96" s="977"/>
      <c r="M96" s="977"/>
      <c r="N96" s="977"/>
      <c r="O96" s="977"/>
      <c r="P96" s="616"/>
      <c r="Q96" s="980" t="str">
        <f>FAEI!Q88</f>
        <v/>
      </c>
      <c r="R96" s="212" t="str">
        <f t="shared" si="0"/>
        <v/>
      </c>
    </row>
    <row r="97" spans="2:18" hidden="1" outlineLevel="1" x14ac:dyDescent="0.35">
      <c r="B97" s="269"/>
      <c r="C97" s="945"/>
      <c r="D97" s="249"/>
      <c r="E97" s="251"/>
      <c r="F97" s="561"/>
      <c r="G97" s="562" t="str">
        <f>IFERROR(VLOOKUP(D97,FAEI!$K$13:$L$21,2,FALSE),"")</f>
        <v/>
      </c>
      <c r="H97" s="251"/>
      <c r="I97" s="806" t="str">
        <f>IFERROR(IF(VLOOKUP($D97,FAEI!$K$13:$N$21,3,FALSE)="","",VLOOKUP($D97,FAEI!$K$13:$N$21,3,FALSE)),"")</f>
        <v/>
      </c>
      <c r="J97" s="561"/>
      <c r="K97" s="615"/>
      <c r="L97" s="977"/>
      <c r="M97" s="977"/>
      <c r="N97" s="977"/>
      <c r="O97" s="977"/>
      <c r="P97" s="616"/>
      <c r="Q97" s="980" t="str">
        <f>FAEI!Q89</f>
        <v/>
      </c>
      <c r="R97" s="212" t="str">
        <f t="shared" si="0"/>
        <v/>
      </c>
    </row>
    <row r="98" spans="2:18" hidden="1" outlineLevel="1" x14ac:dyDescent="0.35">
      <c r="B98" s="269"/>
      <c r="C98" s="945"/>
      <c r="D98" s="249"/>
      <c r="E98" s="251"/>
      <c r="F98" s="561"/>
      <c r="G98" s="562" t="str">
        <f>IFERROR(VLOOKUP(D98,FAEI!$K$13:$L$21,2,FALSE),"")</f>
        <v/>
      </c>
      <c r="H98" s="251"/>
      <c r="I98" s="806" t="str">
        <f>IFERROR(IF(VLOOKUP($D98,FAEI!$K$13:$N$21,3,FALSE)="","",VLOOKUP($D98,FAEI!$K$13:$N$21,3,FALSE)),"")</f>
        <v/>
      </c>
      <c r="J98" s="561"/>
      <c r="K98" s="615"/>
      <c r="L98" s="977"/>
      <c r="M98" s="977"/>
      <c r="N98" s="977"/>
      <c r="O98" s="977"/>
      <c r="P98" s="616"/>
      <c r="Q98" s="980" t="str">
        <f>FAEI!Q90</f>
        <v/>
      </c>
      <c r="R98" s="212" t="str">
        <f t="shared" si="0"/>
        <v/>
      </c>
    </row>
    <row r="99" spans="2:18" hidden="1" outlineLevel="1" x14ac:dyDescent="0.35">
      <c r="B99" s="269"/>
      <c r="C99" s="945"/>
      <c r="D99" s="249"/>
      <c r="E99" s="251"/>
      <c r="F99" s="561"/>
      <c r="G99" s="562" t="str">
        <f>IFERROR(VLOOKUP(D99,FAEI!$K$13:$L$21,2,FALSE),"")</f>
        <v/>
      </c>
      <c r="H99" s="251"/>
      <c r="I99" s="806" t="str">
        <f>IFERROR(IF(VLOOKUP($D99,FAEI!$K$13:$N$21,3,FALSE)="","",VLOOKUP($D99,FAEI!$K$13:$N$21,3,FALSE)),"")</f>
        <v/>
      </c>
      <c r="J99" s="561"/>
      <c r="K99" s="615"/>
      <c r="L99" s="977"/>
      <c r="M99" s="977"/>
      <c r="N99" s="977"/>
      <c r="O99" s="977"/>
      <c r="P99" s="616"/>
      <c r="Q99" s="980" t="str">
        <f>FAEI!Q91</f>
        <v/>
      </c>
      <c r="R99" s="212" t="str">
        <f t="shared" ref="R99:R133" si="1">IF(OR(AND(J99&gt;0,L99&gt;0), AND(J99&gt;0,M99&gt;0),AND(L99&gt;0,M99&gt;0)), "ERRO, preencha apenas uma das três opções (opção 1, 2 ou 3)","")</f>
        <v/>
      </c>
    </row>
    <row r="100" spans="2:18" hidden="1" outlineLevel="1" x14ac:dyDescent="0.35">
      <c r="B100" s="269"/>
      <c r="C100" s="945"/>
      <c r="D100" s="249"/>
      <c r="E100" s="251"/>
      <c r="F100" s="561"/>
      <c r="G100" s="562" t="str">
        <f>IFERROR(VLOOKUP(D100,FAEI!$K$13:$L$21,2,FALSE),"")</f>
        <v/>
      </c>
      <c r="H100" s="251"/>
      <c r="I100" s="806" t="str">
        <f>IFERROR(IF(VLOOKUP($D100,FAEI!$K$13:$N$21,3,FALSE)="","",VLOOKUP($D100,FAEI!$K$13:$N$21,3,FALSE)),"")</f>
        <v/>
      </c>
      <c r="J100" s="561"/>
      <c r="K100" s="615"/>
      <c r="L100" s="977"/>
      <c r="M100" s="977"/>
      <c r="N100" s="977"/>
      <c r="O100" s="977"/>
      <c r="P100" s="616"/>
      <c r="Q100" s="980" t="str">
        <f>FAEI!Q92</f>
        <v/>
      </c>
      <c r="R100" s="212" t="str">
        <f t="shared" si="1"/>
        <v/>
      </c>
    </row>
    <row r="101" spans="2:18" hidden="1" outlineLevel="1" x14ac:dyDescent="0.35">
      <c r="B101" s="269"/>
      <c r="C101" s="945"/>
      <c r="D101" s="249"/>
      <c r="E101" s="251"/>
      <c r="F101" s="561"/>
      <c r="G101" s="562" t="str">
        <f>IFERROR(VLOOKUP(D101,FAEI!$K$13:$L$21,2,FALSE),"")</f>
        <v/>
      </c>
      <c r="H101" s="251"/>
      <c r="I101" s="806" t="str">
        <f>IFERROR(IF(VLOOKUP($D101,FAEI!$K$13:$N$21,3,FALSE)="","",VLOOKUP($D101,FAEI!$K$13:$N$21,3,FALSE)),"")</f>
        <v/>
      </c>
      <c r="J101" s="561"/>
      <c r="K101" s="615"/>
      <c r="L101" s="977"/>
      <c r="M101" s="977"/>
      <c r="N101" s="977"/>
      <c r="O101" s="977"/>
      <c r="P101" s="616"/>
      <c r="Q101" s="980" t="str">
        <f>FAEI!Q93</f>
        <v/>
      </c>
      <c r="R101" s="212" t="str">
        <f t="shared" si="1"/>
        <v/>
      </c>
    </row>
    <row r="102" spans="2:18" hidden="1" outlineLevel="1" x14ac:dyDescent="0.35">
      <c r="B102" s="269"/>
      <c r="C102" s="945"/>
      <c r="D102" s="249"/>
      <c r="E102" s="251"/>
      <c r="F102" s="561"/>
      <c r="G102" s="562" t="str">
        <f>IFERROR(VLOOKUP(D102,FAEI!$K$13:$L$21,2,FALSE),"")</f>
        <v/>
      </c>
      <c r="H102" s="251"/>
      <c r="I102" s="806" t="str">
        <f>IFERROR(IF(VLOOKUP($D102,FAEI!$K$13:$N$21,3,FALSE)="","",VLOOKUP($D102,FAEI!$K$13:$N$21,3,FALSE)),"")</f>
        <v/>
      </c>
      <c r="J102" s="561"/>
      <c r="K102" s="615"/>
      <c r="L102" s="977"/>
      <c r="M102" s="977"/>
      <c r="N102" s="977"/>
      <c r="O102" s="977"/>
      <c r="P102" s="616"/>
      <c r="Q102" s="980" t="str">
        <f>FAEI!Q94</f>
        <v/>
      </c>
      <c r="R102" s="212" t="str">
        <f t="shared" si="1"/>
        <v/>
      </c>
    </row>
    <row r="103" spans="2:18" hidden="1" outlineLevel="1" x14ac:dyDescent="0.35">
      <c r="B103" s="269"/>
      <c r="C103" s="945"/>
      <c r="D103" s="249"/>
      <c r="E103" s="251"/>
      <c r="F103" s="561"/>
      <c r="G103" s="562" t="str">
        <f>IFERROR(VLOOKUP(D103,FAEI!$K$13:$L$21,2,FALSE),"")</f>
        <v/>
      </c>
      <c r="H103" s="251"/>
      <c r="I103" s="806" t="str">
        <f>IFERROR(IF(VLOOKUP($D103,FAEI!$K$13:$N$21,3,FALSE)="","",VLOOKUP($D103,FAEI!$K$13:$N$21,3,FALSE)),"")</f>
        <v/>
      </c>
      <c r="J103" s="561"/>
      <c r="K103" s="615"/>
      <c r="L103" s="977"/>
      <c r="M103" s="977"/>
      <c r="N103" s="977"/>
      <c r="O103" s="977"/>
      <c r="P103" s="616"/>
      <c r="Q103" s="980" t="str">
        <f>FAEI!Q95</f>
        <v/>
      </c>
      <c r="R103" s="212" t="str">
        <f t="shared" si="1"/>
        <v/>
      </c>
    </row>
    <row r="104" spans="2:18" hidden="1" outlineLevel="1" x14ac:dyDescent="0.35">
      <c r="B104" s="269"/>
      <c r="C104" s="945"/>
      <c r="D104" s="249"/>
      <c r="E104" s="251"/>
      <c r="F104" s="561"/>
      <c r="G104" s="562" t="str">
        <f>IFERROR(VLOOKUP(D104,FAEI!$K$13:$L$21,2,FALSE),"")</f>
        <v/>
      </c>
      <c r="H104" s="251"/>
      <c r="I104" s="806" t="str">
        <f>IFERROR(IF(VLOOKUP($D104,FAEI!$K$13:$N$21,3,FALSE)="","",VLOOKUP($D104,FAEI!$K$13:$N$21,3,FALSE)),"")</f>
        <v/>
      </c>
      <c r="J104" s="561"/>
      <c r="K104" s="615"/>
      <c r="L104" s="977"/>
      <c r="M104" s="977"/>
      <c r="N104" s="977"/>
      <c r="O104" s="977"/>
      <c r="P104" s="616"/>
      <c r="Q104" s="980" t="str">
        <f>FAEI!Q96</f>
        <v/>
      </c>
      <c r="R104" s="212" t="str">
        <f t="shared" si="1"/>
        <v/>
      </c>
    </row>
    <row r="105" spans="2:18" hidden="1" outlineLevel="1" x14ac:dyDescent="0.35">
      <c r="B105" s="269"/>
      <c r="C105" s="945"/>
      <c r="D105" s="249"/>
      <c r="E105" s="251"/>
      <c r="F105" s="561"/>
      <c r="G105" s="562" t="str">
        <f>IFERROR(VLOOKUP(D105,FAEI!$K$13:$L$21,2,FALSE),"")</f>
        <v/>
      </c>
      <c r="H105" s="251"/>
      <c r="I105" s="806" t="str">
        <f>IFERROR(IF(VLOOKUP($D105,FAEI!$K$13:$N$21,3,FALSE)="","",VLOOKUP($D105,FAEI!$K$13:$N$21,3,FALSE)),"")</f>
        <v/>
      </c>
      <c r="J105" s="561"/>
      <c r="K105" s="615"/>
      <c r="L105" s="977"/>
      <c r="M105" s="977"/>
      <c r="N105" s="977"/>
      <c r="O105" s="977"/>
      <c r="P105" s="616"/>
      <c r="Q105" s="980" t="str">
        <f>FAEI!Q97</f>
        <v/>
      </c>
      <c r="R105" s="212" t="str">
        <f t="shared" si="1"/>
        <v/>
      </c>
    </row>
    <row r="106" spans="2:18" hidden="1" outlineLevel="1" x14ac:dyDescent="0.35">
      <c r="B106" s="269"/>
      <c r="C106" s="945"/>
      <c r="D106" s="249"/>
      <c r="E106" s="251"/>
      <c r="F106" s="561"/>
      <c r="G106" s="562" t="str">
        <f>IFERROR(VLOOKUP(D106,FAEI!$K$13:$L$21,2,FALSE),"")</f>
        <v/>
      </c>
      <c r="H106" s="251"/>
      <c r="I106" s="806" t="str">
        <f>IFERROR(IF(VLOOKUP($D106,FAEI!$K$13:$N$21,3,FALSE)="","",VLOOKUP($D106,FAEI!$K$13:$N$21,3,FALSE)),"")</f>
        <v/>
      </c>
      <c r="J106" s="561"/>
      <c r="K106" s="615"/>
      <c r="L106" s="977"/>
      <c r="M106" s="977"/>
      <c r="N106" s="977"/>
      <c r="O106" s="977"/>
      <c r="P106" s="616"/>
      <c r="Q106" s="980" t="str">
        <f>FAEI!Q98</f>
        <v/>
      </c>
      <c r="R106" s="212" t="str">
        <f t="shared" si="1"/>
        <v/>
      </c>
    </row>
    <row r="107" spans="2:18" hidden="1" outlineLevel="1" x14ac:dyDescent="0.35">
      <c r="B107" s="269"/>
      <c r="C107" s="945"/>
      <c r="D107" s="249"/>
      <c r="E107" s="251"/>
      <c r="F107" s="561"/>
      <c r="G107" s="562" t="str">
        <f>IFERROR(VLOOKUP(D107,FAEI!$K$13:$L$21,2,FALSE),"")</f>
        <v/>
      </c>
      <c r="H107" s="251"/>
      <c r="I107" s="806" t="str">
        <f>IFERROR(IF(VLOOKUP($D107,FAEI!$K$13:$N$21,3,FALSE)="","",VLOOKUP($D107,FAEI!$K$13:$N$21,3,FALSE)),"")</f>
        <v/>
      </c>
      <c r="J107" s="561"/>
      <c r="K107" s="615"/>
      <c r="L107" s="977"/>
      <c r="M107" s="977"/>
      <c r="N107" s="977"/>
      <c r="O107" s="977"/>
      <c r="P107" s="616"/>
      <c r="Q107" s="980" t="str">
        <f>FAEI!Q99</f>
        <v/>
      </c>
      <c r="R107" s="212" t="str">
        <f t="shared" si="1"/>
        <v/>
      </c>
    </row>
    <row r="108" spans="2:18" hidden="1" outlineLevel="1" x14ac:dyDescent="0.35">
      <c r="B108" s="269"/>
      <c r="C108" s="945"/>
      <c r="D108" s="249"/>
      <c r="E108" s="251"/>
      <c r="F108" s="561"/>
      <c r="G108" s="562" t="str">
        <f>IFERROR(VLOOKUP(D108,FAEI!$K$13:$L$21,2,FALSE),"")</f>
        <v/>
      </c>
      <c r="H108" s="251"/>
      <c r="I108" s="806" t="str">
        <f>IFERROR(IF(VLOOKUP($D108,FAEI!$K$13:$N$21,3,FALSE)="","",VLOOKUP($D108,FAEI!$K$13:$N$21,3,FALSE)),"")</f>
        <v/>
      </c>
      <c r="J108" s="561"/>
      <c r="K108" s="615"/>
      <c r="L108" s="977"/>
      <c r="M108" s="977"/>
      <c r="N108" s="977"/>
      <c r="O108" s="977"/>
      <c r="P108" s="616"/>
      <c r="Q108" s="980" t="str">
        <f>FAEI!Q100</f>
        <v/>
      </c>
      <c r="R108" s="212" t="str">
        <f t="shared" si="1"/>
        <v/>
      </c>
    </row>
    <row r="109" spans="2:18" hidden="1" outlineLevel="1" x14ac:dyDescent="0.35">
      <c r="B109" s="269"/>
      <c r="C109" s="945"/>
      <c r="D109" s="249"/>
      <c r="E109" s="251"/>
      <c r="F109" s="561"/>
      <c r="G109" s="562" t="str">
        <f>IFERROR(VLOOKUP(D109,FAEI!$K$13:$L$21,2,FALSE),"")</f>
        <v/>
      </c>
      <c r="H109" s="251"/>
      <c r="I109" s="806" t="str">
        <f>IFERROR(IF(VLOOKUP($D109,FAEI!$K$13:$N$21,3,FALSE)="","",VLOOKUP($D109,FAEI!$K$13:$N$21,3,FALSE)),"")</f>
        <v/>
      </c>
      <c r="J109" s="561"/>
      <c r="K109" s="615"/>
      <c r="L109" s="977"/>
      <c r="M109" s="977"/>
      <c r="N109" s="977"/>
      <c r="O109" s="977"/>
      <c r="P109" s="616"/>
      <c r="Q109" s="980" t="str">
        <f>FAEI!Q101</f>
        <v/>
      </c>
      <c r="R109" s="212" t="str">
        <f t="shared" si="1"/>
        <v/>
      </c>
    </row>
    <row r="110" spans="2:18" hidden="1" outlineLevel="1" x14ac:dyDescent="0.35">
      <c r="B110" s="269"/>
      <c r="C110" s="945"/>
      <c r="D110" s="249"/>
      <c r="E110" s="251"/>
      <c r="F110" s="561"/>
      <c r="G110" s="562" t="str">
        <f>IFERROR(VLOOKUP(D110,FAEI!$K$13:$L$21,2,FALSE),"")</f>
        <v/>
      </c>
      <c r="H110" s="251"/>
      <c r="I110" s="806" t="str">
        <f>IFERROR(IF(VLOOKUP($D110,FAEI!$K$13:$N$21,3,FALSE)="","",VLOOKUP($D110,FAEI!$K$13:$N$21,3,FALSE)),"")</f>
        <v/>
      </c>
      <c r="J110" s="561"/>
      <c r="K110" s="615"/>
      <c r="L110" s="977"/>
      <c r="M110" s="977"/>
      <c r="N110" s="977"/>
      <c r="O110" s="977"/>
      <c r="P110" s="616"/>
      <c r="Q110" s="980" t="str">
        <f>FAEI!Q102</f>
        <v/>
      </c>
      <c r="R110" s="212" t="str">
        <f t="shared" si="1"/>
        <v/>
      </c>
    </row>
    <row r="111" spans="2:18" hidden="1" outlineLevel="1" x14ac:dyDescent="0.35">
      <c r="B111" s="269"/>
      <c r="C111" s="945"/>
      <c r="D111" s="249"/>
      <c r="E111" s="251"/>
      <c r="F111" s="561"/>
      <c r="G111" s="562" t="str">
        <f>IFERROR(VLOOKUP(D111,FAEI!$K$13:$L$21,2,FALSE),"")</f>
        <v/>
      </c>
      <c r="H111" s="251"/>
      <c r="I111" s="806" t="str">
        <f>IFERROR(IF(VLOOKUP($D111,FAEI!$K$13:$N$21,3,FALSE)="","",VLOOKUP($D111,FAEI!$K$13:$N$21,3,FALSE)),"")</f>
        <v/>
      </c>
      <c r="J111" s="561"/>
      <c r="K111" s="615"/>
      <c r="L111" s="977"/>
      <c r="M111" s="977"/>
      <c r="N111" s="977"/>
      <c r="O111" s="977"/>
      <c r="P111" s="616"/>
      <c r="Q111" s="980" t="str">
        <f>FAEI!Q103</f>
        <v/>
      </c>
      <c r="R111" s="212" t="str">
        <f t="shared" si="1"/>
        <v/>
      </c>
    </row>
    <row r="112" spans="2:18" hidden="1" outlineLevel="1" x14ac:dyDescent="0.35">
      <c r="B112" s="269"/>
      <c r="C112" s="945"/>
      <c r="D112" s="249"/>
      <c r="E112" s="251"/>
      <c r="F112" s="561"/>
      <c r="G112" s="562" t="str">
        <f>IFERROR(VLOOKUP(D112,FAEI!$K$13:$L$21,2,FALSE),"")</f>
        <v/>
      </c>
      <c r="H112" s="251"/>
      <c r="I112" s="806" t="str">
        <f>IFERROR(IF(VLOOKUP($D112,FAEI!$K$13:$N$21,3,FALSE)="","",VLOOKUP($D112,FAEI!$K$13:$N$21,3,FALSE)),"")</f>
        <v/>
      </c>
      <c r="J112" s="561"/>
      <c r="K112" s="615"/>
      <c r="L112" s="977"/>
      <c r="M112" s="977"/>
      <c r="N112" s="977"/>
      <c r="O112" s="977"/>
      <c r="P112" s="616"/>
      <c r="Q112" s="980" t="str">
        <f>FAEI!Q104</f>
        <v/>
      </c>
      <c r="R112" s="212" t="str">
        <f t="shared" si="1"/>
        <v/>
      </c>
    </row>
    <row r="113" spans="2:18" hidden="1" outlineLevel="1" x14ac:dyDescent="0.35">
      <c r="B113" s="269"/>
      <c r="C113" s="945"/>
      <c r="D113" s="249"/>
      <c r="E113" s="251"/>
      <c r="F113" s="561"/>
      <c r="G113" s="562" t="str">
        <f>IFERROR(VLOOKUP(D113,FAEI!$K$13:$L$21,2,FALSE),"")</f>
        <v/>
      </c>
      <c r="H113" s="251"/>
      <c r="I113" s="806" t="str">
        <f>IFERROR(IF(VLOOKUP($D113,FAEI!$K$13:$N$21,3,FALSE)="","",VLOOKUP($D113,FAEI!$K$13:$N$21,3,FALSE)),"")</f>
        <v/>
      </c>
      <c r="J113" s="561"/>
      <c r="K113" s="615"/>
      <c r="L113" s="977"/>
      <c r="M113" s="977"/>
      <c r="N113" s="977"/>
      <c r="O113" s="977"/>
      <c r="P113" s="616"/>
      <c r="Q113" s="980" t="str">
        <f>FAEI!Q105</f>
        <v/>
      </c>
      <c r="R113" s="212" t="str">
        <f t="shared" si="1"/>
        <v/>
      </c>
    </row>
    <row r="114" spans="2:18" hidden="1" outlineLevel="1" x14ac:dyDescent="0.35">
      <c r="B114" s="269"/>
      <c r="C114" s="945"/>
      <c r="D114" s="249"/>
      <c r="E114" s="251"/>
      <c r="F114" s="561"/>
      <c r="G114" s="562" t="str">
        <f>IFERROR(VLOOKUP(D114,FAEI!$K$13:$L$21,2,FALSE),"")</f>
        <v/>
      </c>
      <c r="H114" s="251"/>
      <c r="I114" s="806" t="str">
        <f>IFERROR(IF(VLOOKUP($D114,FAEI!$K$13:$N$21,3,FALSE)="","",VLOOKUP($D114,FAEI!$K$13:$N$21,3,FALSE)),"")</f>
        <v/>
      </c>
      <c r="J114" s="561"/>
      <c r="K114" s="615"/>
      <c r="L114" s="977"/>
      <c r="M114" s="977"/>
      <c r="N114" s="977"/>
      <c r="O114" s="977"/>
      <c r="P114" s="616"/>
      <c r="Q114" s="980" t="str">
        <f>FAEI!Q106</f>
        <v/>
      </c>
      <c r="R114" s="212" t="str">
        <f t="shared" si="1"/>
        <v/>
      </c>
    </row>
    <row r="115" spans="2:18" hidden="1" outlineLevel="1" x14ac:dyDescent="0.35">
      <c r="B115" s="269"/>
      <c r="C115" s="945"/>
      <c r="D115" s="249"/>
      <c r="E115" s="251"/>
      <c r="F115" s="561"/>
      <c r="G115" s="562" t="str">
        <f>IFERROR(VLOOKUP(D115,FAEI!$K$13:$L$21,2,FALSE),"")</f>
        <v/>
      </c>
      <c r="H115" s="251"/>
      <c r="I115" s="806" t="str">
        <f>IFERROR(IF(VLOOKUP($D115,FAEI!$K$13:$N$21,3,FALSE)="","",VLOOKUP($D115,FAEI!$K$13:$N$21,3,FALSE)),"")</f>
        <v/>
      </c>
      <c r="J115" s="561"/>
      <c r="K115" s="615"/>
      <c r="L115" s="977"/>
      <c r="M115" s="977"/>
      <c r="N115" s="977"/>
      <c r="O115" s="977"/>
      <c r="P115" s="616"/>
      <c r="Q115" s="980" t="str">
        <f>FAEI!Q107</f>
        <v/>
      </c>
      <c r="R115" s="212" t="str">
        <f t="shared" si="1"/>
        <v/>
      </c>
    </row>
    <row r="116" spans="2:18" hidden="1" outlineLevel="1" x14ac:dyDescent="0.35">
      <c r="B116" s="269"/>
      <c r="C116" s="945"/>
      <c r="D116" s="249"/>
      <c r="E116" s="251"/>
      <c r="F116" s="561"/>
      <c r="G116" s="562" t="str">
        <f>IFERROR(VLOOKUP(D116,FAEI!$K$13:$L$21,2,FALSE),"")</f>
        <v/>
      </c>
      <c r="H116" s="251"/>
      <c r="I116" s="806" t="str">
        <f>IFERROR(IF(VLOOKUP($D116,FAEI!$K$13:$N$21,3,FALSE)="","",VLOOKUP($D116,FAEI!$K$13:$N$21,3,FALSE)),"")</f>
        <v/>
      </c>
      <c r="J116" s="561"/>
      <c r="K116" s="615"/>
      <c r="L116" s="977"/>
      <c r="M116" s="977"/>
      <c r="N116" s="977"/>
      <c r="O116" s="977"/>
      <c r="P116" s="616"/>
      <c r="Q116" s="980" t="str">
        <f>FAEI!Q108</f>
        <v/>
      </c>
      <c r="R116" s="212" t="str">
        <f t="shared" si="1"/>
        <v/>
      </c>
    </row>
    <row r="117" spans="2:18" hidden="1" outlineLevel="1" x14ac:dyDescent="0.35">
      <c r="B117" s="269"/>
      <c r="C117" s="945"/>
      <c r="D117" s="249"/>
      <c r="E117" s="251"/>
      <c r="F117" s="561"/>
      <c r="G117" s="562" t="str">
        <f>IFERROR(VLOOKUP(D117,FAEI!$K$13:$L$21,2,FALSE),"")</f>
        <v/>
      </c>
      <c r="H117" s="251"/>
      <c r="I117" s="806" t="str">
        <f>IFERROR(IF(VLOOKUP($D117,FAEI!$K$13:$N$21,3,FALSE)="","",VLOOKUP($D117,FAEI!$K$13:$N$21,3,FALSE)),"")</f>
        <v/>
      </c>
      <c r="J117" s="561"/>
      <c r="K117" s="615"/>
      <c r="L117" s="977"/>
      <c r="M117" s="977"/>
      <c r="N117" s="977"/>
      <c r="O117" s="977"/>
      <c r="P117" s="616"/>
      <c r="Q117" s="980" t="str">
        <f>FAEI!Q109</f>
        <v/>
      </c>
      <c r="R117" s="212" t="str">
        <f t="shared" si="1"/>
        <v/>
      </c>
    </row>
    <row r="118" spans="2:18" hidden="1" outlineLevel="1" x14ac:dyDescent="0.35">
      <c r="B118" s="269"/>
      <c r="C118" s="945"/>
      <c r="D118" s="249"/>
      <c r="E118" s="251"/>
      <c r="F118" s="561"/>
      <c r="G118" s="562" t="str">
        <f>IFERROR(VLOOKUP(D118,FAEI!$K$13:$L$21,2,FALSE),"")</f>
        <v/>
      </c>
      <c r="H118" s="251"/>
      <c r="I118" s="806" t="str">
        <f>IFERROR(IF(VLOOKUP($D118,FAEI!$K$13:$N$21,3,FALSE)="","",VLOOKUP($D118,FAEI!$K$13:$N$21,3,FALSE)),"")</f>
        <v/>
      </c>
      <c r="J118" s="561"/>
      <c r="K118" s="615"/>
      <c r="L118" s="977"/>
      <c r="M118" s="977"/>
      <c r="N118" s="977"/>
      <c r="O118" s="977"/>
      <c r="P118" s="616"/>
      <c r="Q118" s="980" t="str">
        <f>FAEI!Q110</f>
        <v/>
      </c>
      <c r="R118" s="212" t="str">
        <f t="shared" si="1"/>
        <v/>
      </c>
    </row>
    <row r="119" spans="2:18" hidden="1" outlineLevel="1" x14ac:dyDescent="0.35">
      <c r="B119" s="269"/>
      <c r="C119" s="945"/>
      <c r="D119" s="249"/>
      <c r="E119" s="251"/>
      <c r="F119" s="561"/>
      <c r="G119" s="562" t="str">
        <f>IFERROR(VLOOKUP(D119,FAEI!$K$13:$L$21,2,FALSE),"")</f>
        <v/>
      </c>
      <c r="H119" s="251"/>
      <c r="I119" s="806" t="str">
        <f>IFERROR(IF(VLOOKUP($D119,FAEI!$K$13:$N$21,3,FALSE)="","",VLOOKUP($D119,FAEI!$K$13:$N$21,3,FALSE)),"")</f>
        <v/>
      </c>
      <c r="J119" s="561"/>
      <c r="K119" s="615"/>
      <c r="L119" s="977"/>
      <c r="M119" s="977"/>
      <c r="N119" s="977"/>
      <c r="O119" s="977"/>
      <c r="P119" s="616"/>
      <c r="Q119" s="980" t="str">
        <f>FAEI!Q111</f>
        <v/>
      </c>
      <c r="R119" s="212" t="str">
        <f t="shared" si="1"/>
        <v/>
      </c>
    </row>
    <row r="120" spans="2:18" hidden="1" outlineLevel="1" x14ac:dyDescent="0.35">
      <c r="B120" s="269"/>
      <c r="C120" s="945"/>
      <c r="D120" s="249"/>
      <c r="E120" s="251"/>
      <c r="F120" s="561"/>
      <c r="G120" s="562" t="str">
        <f>IFERROR(VLOOKUP(D120,FAEI!$K$13:$L$21,2,FALSE),"")</f>
        <v/>
      </c>
      <c r="H120" s="251"/>
      <c r="I120" s="806" t="str">
        <f>IFERROR(IF(VLOOKUP($D120,FAEI!$K$13:$N$21,3,FALSE)="","",VLOOKUP($D120,FAEI!$K$13:$N$21,3,FALSE)),"")</f>
        <v/>
      </c>
      <c r="J120" s="561"/>
      <c r="K120" s="615"/>
      <c r="L120" s="977"/>
      <c r="M120" s="977"/>
      <c r="N120" s="977"/>
      <c r="O120" s="977"/>
      <c r="P120" s="616"/>
      <c r="Q120" s="980" t="str">
        <f>FAEI!Q112</f>
        <v/>
      </c>
      <c r="R120" s="212" t="str">
        <f t="shared" si="1"/>
        <v/>
      </c>
    </row>
    <row r="121" spans="2:18" hidden="1" outlineLevel="1" x14ac:dyDescent="0.35">
      <c r="B121" s="269"/>
      <c r="C121" s="945"/>
      <c r="D121" s="249"/>
      <c r="E121" s="251"/>
      <c r="F121" s="561"/>
      <c r="G121" s="562" t="str">
        <f>IFERROR(VLOOKUP(D121,FAEI!$K$13:$L$21,2,FALSE),"")</f>
        <v/>
      </c>
      <c r="H121" s="251"/>
      <c r="I121" s="806" t="str">
        <f>IFERROR(IF(VLOOKUP($D121,FAEI!$K$13:$N$21,3,FALSE)="","",VLOOKUP($D121,FAEI!$K$13:$N$21,3,FALSE)),"")</f>
        <v/>
      </c>
      <c r="J121" s="561"/>
      <c r="K121" s="615"/>
      <c r="L121" s="977"/>
      <c r="M121" s="977"/>
      <c r="N121" s="977"/>
      <c r="O121" s="977"/>
      <c r="P121" s="616"/>
      <c r="Q121" s="980" t="str">
        <f>FAEI!Q113</f>
        <v/>
      </c>
      <c r="R121" s="212" t="str">
        <f t="shared" si="1"/>
        <v/>
      </c>
    </row>
    <row r="122" spans="2:18" hidden="1" outlineLevel="1" x14ac:dyDescent="0.35">
      <c r="B122" s="269"/>
      <c r="C122" s="945"/>
      <c r="D122" s="249"/>
      <c r="E122" s="251"/>
      <c r="F122" s="561"/>
      <c r="G122" s="562" t="str">
        <f>IFERROR(VLOOKUP(D122,FAEI!$K$13:$L$21,2,FALSE),"")</f>
        <v/>
      </c>
      <c r="H122" s="251"/>
      <c r="I122" s="806" t="str">
        <f>IFERROR(IF(VLOOKUP($D122,FAEI!$K$13:$N$21,3,FALSE)="","",VLOOKUP($D122,FAEI!$K$13:$N$21,3,FALSE)),"")</f>
        <v/>
      </c>
      <c r="J122" s="561"/>
      <c r="K122" s="615"/>
      <c r="L122" s="977"/>
      <c r="M122" s="977"/>
      <c r="N122" s="977"/>
      <c r="O122" s="977"/>
      <c r="P122" s="616"/>
      <c r="Q122" s="980" t="str">
        <f>FAEI!Q114</f>
        <v/>
      </c>
      <c r="R122" s="212" t="str">
        <f t="shared" si="1"/>
        <v/>
      </c>
    </row>
    <row r="123" spans="2:18" hidden="1" outlineLevel="1" x14ac:dyDescent="0.35">
      <c r="B123" s="269"/>
      <c r="C123" s="945"/>
      <c r="D123" s="249"/>
      <c r="E123" s="251"/>
      <c r="F123" s="561"/>
      <c r="G123" s="562" t="str">
        <f>IFERROR(VLOOKUP(D123,FAEI!$K$13:$L$21,2,FALSE),"")</f>
        <v/>
      </c>
      <c r="H123" s="251"/>
      <c r="I123" s="806" t="str">
        <f>IFERROR(IF(VLOOKUP($D123,FAEI!$K$13:$N$21,3,FALSE)="","",VLOOKUP($D123,FAEI!$K$13:$N$21,3,FALSE)),"")</f>
        <v/>
      </c>
      <c r="J123" s="561"/>
      <c r="K123" s="615"/>
      <c r="L123" s="977"/>
      <c r="M123" s="977"/>
      <c r="N123" s="977"/>
      <c r="O123" s="977"/>
      <c r="P123" s="616"/>
      <c r="Q123" s="980" t="str">
        <f>FAEI!Q115</f>
        <v/>
      </c>
      <c r="R123" s="212" t="str">
        <f t="shared" si="1"/>
        <v/>
      </c>
    </row>
    <row r="124" spans="2:18" hidden="1" outlineLevel="1" x14ac:dyDescent="0.35">
      <c r="B124" s="269"/>
      <c r="C124" s="945"/>
      <c r="D124" s="249"/>
      <c r="E124" s="251"/>
      <c r="F124" s="561"/>
      <c r="G124" s="562" t="str">
        <f>IFERROR(VLOOKUP(D124,FAEI!$K$13:$L$21,2,FALSE),"")</f>
        <v/>
      </c>
      <c r="H124" s="251"/>
      <c r="I124" s="806" t="str">
        <f>IFERROR(IF(VLOOKUP($D124,FAEI!$K$13:$N$21,3,FALSE)="","",VLOOKUP($D124,FAEI!$K$13:$N$21,3,FALSE)),"")</f>
        <v/>
      </c>
      <c r="J124" s="561"/>
      <c r="K124" s="615"/>
      <c r="L124" s="977"/>
      <c r="M124" s="977"/>
      <c r="N124" s="977"/>
      <c r="O124" s="977"/>
      <c r="P124" s="616"/>
      <c r="Q124" s="980" t="str">
        <f>FAEI!Q116</f>
        <v/>
      </c>
      <c r="R124" s="212" t="str">
        <f t="shared" si="1"/>
        <v/>
      </c>
    </row>
    <row r="125" spans="2:18" hidden="1" outlineLevel="1" x14ac:dyDescent="0.35">
      <c r="B125" s="269"/>
      <c r="C125" s="945"/>
      <c r="D125" s="249"/>
      <c r="E125" s="251"/>
      <c r="F125" s="561"/>
      <c r="G125" s="562" t="str">
        <f>IFERROR(VLOOKUP(D125,FAEI!$K$13:$L$21,2,FALSE),"")</f>
        <v/>
      </c>
      <c r="H125" s="251"/>
      <c r="I125" s="806" t="str">
        <f>IFERROR(IF(VLOOKUP($D125,FAEI!$K$13:$N$21,3,FALSE)="","",VLOOKUP($D125,FAEI!$K$13:$N$21,3,FALSE)),"")</f>
        <v/>
      </c>
      <c r="J125" s="561"/>
      <c r="K125" s="615"/>
      <c r="L125" s="977"/>
      <c r="M125" s="977"/>
      <c r="N125" s="977"/>
      <c r="O125" s="977"/>
      <c r="P125" s="616"/>
      <c r="Q125" s="980" t="str">
        <f>FAEI!Q117</f>
        <v/>
      </c>
      <c r="R125" s="212" t="str">
        <f t="shared" si="1"/>
        <v/>
      </c>
    </row>
    <row r="126" spans="2:18" hidden="1" outlineLevel="1" x14ac:dyDescent="0.35">
      <c r="B126" s="269"/>
      <c r="C126" s="945"/>
      <c r="D126" s="249"/>
      <c r="E126" s="251"/>
      <c r="F126" s="561"/>
      <c r="G126" s="562" t="str">
        <f>IFERROR(VLOOKUP(D126,FAEI!$K$13:$L$21,2,FALSE),"")</f>
        <v/>
      </c>
      <c r="H126" s="251"/>
      <c r="I126" s="806" t="str">
        <f>IFERROR(IF(VLOOKUP($D126,FAEI!$K$13:$N$21,3,FALSE)="","",VLOOKUP($D126,FAEI!$K$13:$N$21,3,FALSE)),"")</f>
        <v/>
      </c>
      <c r="J126" s="561"/>
      <c r="K126" s="615"/>
      <c r="L126" s="977"/>
      <c r="M126" s="977"/>
      <c r="N126" s="977"/>
      <c r="O126" s="977"/>
      <c r="P126" s="616"/>
      <c r="Q126" s="980" t="str">
        <f>FAEI!Q118</f>
        <v/>
      </c>
      <c r="R126" s="212" t="str">
        <f t="shared" si="1"/>
        <v/>
      </c>
    </row>
    <row r="127" spans="2:18" hidden="1" outlineLevel="1" x14ac:dyDescent="0.35">
      <c r="B127" s="269"/>
      <c r="C127" s="945"/>
      <c r="D127" s="249"/>
      <c r="E127" s="251"/>
      <c r="F127" s="561"/>
      <c r="G127" s="562" t="str">
        <f>IFERROR(VLOOKUP(D127,FAEI!$K$13:$L$21,2,FALSE),"")</f>
        <v/>
      </c>
      <c r="H127" s="251"/>
      <c r="I127" s="806" t="str">
        <f>IFERROR(IF(VLOOKUP($D127,FAEI!$K$13:$N$21,3,FALSE)="","",VLOOKUP($D127,FAEI!$K$13:$N$21,3,FALSE)),"")</f>
        <v/>
      </c>
      <c r="J127" s="561"/>
      <c r="K127" s="615"/>
      <c r="L127" s="977"/>
      <c r="M127" s="977"/>
      <c r="N127" s="977"/>
      <c r="O127" s="977"/>
      <c r="P127" s="616"/>
      <c r="Q127" s="980" t="str">
        <f>FAEI!Q119</f>
        <v/>
      </c>
      <c r="R127" s="212" t="str">
        <f t="shared" si="1"/>
        <v/>
      </c>
    </row>
    <row r="128" spans="2:18" hidden="1" outlineLevel="1" x14ac:dyDescent="0.35">
      <c r="B128" s="269"/>
      <c r="C128" s="945"/>
      <c r="D128" s="249"/>
      <c r="E128" s="251"/>
      <c r="F128" s="561"/>
      <c r="G128" s="562" t="str">
        <f>IFERROR(VLOOKUP(D128,FAEI!$K$13:$L$21,2,FALSE),"")</f>
        <v/>
      </c>
      <c r="H128" s="251"/>
      <c r="I128" s="806" t="str">
        <f>IFERROR(IF(VLOOKUP($D128,FAEI!$K$13:$N$21,3,FALSE)="","",VLOOKUP($D128,FAEI!$K$13:$N$21,3,FALSE)),"")</f>
        <v/>
      </c>
      <c r="J128" s="561"/>
      <c r="K128" s="615"/>
      <c r="L128" s="977"/>
      <c r="M128" s="977"/>
      <c r="N128" s="977"/>
      <c r="O128" s="977"/>
      <c r="P128" s="616"/>
      <c r="Q128" s="980" t="str">
        <f>FAEI!Q120</f>
        <v/>
      </c>
      <c r="R128" s="212" t="str">
        <f t="shared" si="1"/>
        <v/>
      </c>
    </row>
    <row r="129" spans="2:18" hidden="1" outlineLevel="1" x14ac:dyDescent="0.35">
      <c r="B129" s="269"/>
      <c r="C129" s="945"/>
      <c r="D129" s="249"/>
      <c r="E129" s="251"/>
      <c r="F129" s="561"/>
      <c r="G129" s="562" t="str">
        <f>IFERROR(VLOOKUP(D129,FAEI!$K$13:$L$21,2,FALSE),"")</f>
        <v/>
      </c>
      <c r="H129" s="251"/>
      <c r="I129" s="806" t="str">
        <f>IFERROR(IF(VLOOKUP($D129,FAEI!$K$13:$N$21,3,FALSE)="","",VLOOKUP($D129,FAEI!$K$13:$N$21,3,FALSE)),"")</f>
        <v/>
      </c>
      <c r="J129" s="561"/>
      <c r="K129" s="615"/>
      <c r="L129" s="977"/>
      <c r="M129" s="977"/>
      <c r="N129" s="977"/>
      <c r="O129" s="977"/>
      <c r="P129" s="616"/>
      <c r="Q129" s="980" t="str">
        <f>FAEI!Q121</f>
        <v/>
      </c>
      <c r="R129" s="212" t="str">
        <f t="shared" si="1"/>
        <v/>
      </c>
    </row>
    <row r="130" spans="2:18" hidden="1" outlineLevel="1" x14ac:dyDescent="0.35">
      <c r="B130" s="269"/>
      <c r="C130" s="945"/>
      <c r="D130" s="249"/>
      <c r="E130" s="251"/>
      <c r="F130" s="561"/>
      <c r="G130" s="562" t="str">
        <f>IFERROR(VLOOKUP(D130,FAEI!$K$13:$L$21,2,FALSE),"")</f>
        <v/>
      </c>
      <c r="H130" s="251"/>
      <c r="I130" s="806" t="str">
        <f>IFERROR(IF(VLOOKUP($D130,FAEI!$K$13:$N$21,3,FALSE)="","",VLOOKUP($D130,FAEI!$K$13:$N$21,3,FALSE)),"")</f>
        <v/>
      </c>
      <c r="J130" s="561"/>
      <c r="K130" s="615"/>
      <c r="L130" s="977"/>
      <c r="M130" s="977"/>
      <c r="N130" s="977"/>
      <c r="O130" s="977"/>
      <c r="P130" s="616"/>
      <c r="Q130" s="980" t="str">
        <f>FAEI!Q122</f>
        <v/>
      </c>
      <c r="R130" s="212" t="str">
        <f t="shared" si="1"/>
        <v/>
      </c>
    </row>
    <row r="131" spans="2:18" hidden="1" outlineLevel="1" x14ac:dyDescent="0.35">
      <c r="B131" s="269"/>
      <c r="C131" s="945"/>
      <c r="D131" s="249"/>
      <c r="E131" s="251"/>
      <c r="F131" s="561"/>
      <c r="G131" s="562" t="str">
        <f>IFERROR(VLOOKUP(D131,FAEI!$K$13:$L$21,2,FALSE),"")</f>
        <v/>
      </c>
      <c r="H131" s="251"/>
      <c r="I131" s="806" t="str">
        <f>IFERROR(IF(VLOOKUP($D131,FAEI!$K$13:$N$21,3,FALSE)="","",VLOOKUP($D131,FAEI!$K$13:$N$21,3,FALSE)),"")</f>
        <v/>
      </c>
      <c r="J131" s="561"/>
      <c r="K131" s="615"/>
      <c r="L131" s="977"/>
      <c r="M131" s="977"/>
      <c r="N131" s="977"/>
      <c r="O131" s="977"/>
      <c r="P131" s="616"/>
      <c r="Q131" s="980" t="str">
        <f>FAEI!Q123</f>
        <v/>
      </c>
      <c r="R131" s="212" t="str">
        <f t="shared" si="1"/>
        <v/>
      </c>
    </row>
    <row r="132" spans="2:18" hidden="1" outlineLevel="1" x14ac:dyDescent="0.35">
      <c r="B132" s="269"/>
      <c r="C132" s="945"/>
      <c r="D132" s="249"/>
      <c r="E132" s="251"/>
      <c r="F132" s="561"/>
      <c r="G132" s="562" t="str">
        <f>IFERROR(VLOOKUP(D132,FAEI!$K$13:$L$21,2,FALSE),"")</f>
        <v/>
      </c>
      <c r="H132" s="251"/>
      <c r="I132" s="806" t="str">
        <f>IFERROR(IF(VLOOKUP($D132,FAEI!$K$13:$N$21,3,FALSE)="","",VLOOKUP($D132,FAEI!$K$13:$N$21,3,FALSE)),"")</f>
        <v/>
      </c>
      <c r="J132" s="561"/>
      <c r="K132" s="615"/>
      <c r="L132" s="977"/>
      <c r="M132" s="977"/>
      <c r="N132" s="977"/>
      <c r="O132" s="977"/>
      <c r="P132" s="616"/>
      <c r="Q132" s="980" t="str">
        <f>FAEI!Q124</f>
        <v/>
      </c>
      <c r="R132" s="212" t="str">
        <f t="shared" si="1"/>
        <v/>
      </c>
    </row>
    <row r="133" spans="2:18" hidden="1" outlineLevel="1" x14ac:dyDescent="0.35">
      <c r="B133" s="908"/>
      <c r="C133" s="946"/>
      <c r="D133" s="813"/>
      <c r="E133" s="814"/>
      <c r="F133" s="561"/>
      <c r="G133" s="816" t="str">
        <f>IFERROR(VLOOKUP(D133,FAEI!$K$13:$L$21,2,FALSE),"")</f>
        <v/>
      </c>
      <c r="H133" s="814"/>
      <c r="I133" s="820" t="str">
        <f>IFERROR(IF(VLOOKUP($D133,FAEI!$K$13:$N$21,3,FALSE)="","",VLOOKUP($D133,FAEI!$K$13:$N$21,3,FALSE)),"")</f>
        <v/>
      </c>
      <c r="J133" s="815"/>
      <c r="K133" s="817"/>
      <c r="L133" s="977"/>
      <c r="M133" s="977"/>
      <c r="N133" s="977"/>
      <c r="O133" s="977"/>
      <c r="P133" s="616"/>
      <c r="Q133" s="980" t="str">
        <f>FAEI!Q125</f>
        <v/>
      </c>
      <c r="R133" s="212" t="str">
        <f t="shared" si="1"/>
        <v/>
      </c>
    </row>
    <row r="134" spans="2:18" ht="24.65" customHeight="1" collapsed="1" x14ac:dyDescent="0.35">
      <c r="B134" s="819" t="s">
        <v>40</v>
      </c>
      <c r="C134" s="818"/>
      <c r="D134" s="818"/>
      <c r="E134" s="818"/>
      <c r="F134" s="818"/>
      <c r="G134" s="818"/>
      <c r="H134" s="818"/>
      <c r="I134" s="821"/>
      <c r="J134" s="821"/>
      <c r="K134" s="818"/>
      <c r="L134" s="978">
        <f>SUM(L34:L133)</f>
        <v>0</v>
      </c>
      <c r="M134" s="978">
        <f>SUM(M34:M133)</f>
        <v>0</v>
      </c>
      <c r="N134" s="978">
        <f>SUM(N34:N133)</f>
        <v>0</v>
      </c>
      <c r="O134" s="978">
        <f>SUM(O34:O133)</f>
        <v>0</v>
      </c>
      <c r="P134" s="281"/>
      <c r="Q134" s="978">
        <f>SUM(Q34:Q133)</f>
        <v>0</v>
      </c>
    </row>
    <row r="135" spans="2:18" s="171" customFormat="1" ht="24.65" customHeight="1" x14ac:dyDescent="0.35">
      <c r="B135" s="253"/>
      <c r="C135" s="254"/>
      <c r="D135" s="254"/>
      <c r="E135" s="254"/>
      <c r="F135" s="254"/>
      <c r="G135" s="254"/>
      <c r="H135" s="255"/>
      <c r="I135" s="255"/>
      <c r="J135" s="255"/>
    </row>
    <row r="136" spans="2:18" x14ac:dyDescent="0.35"/>
    <row r="137" spans="2:18" x14ac:dyDescent="0.35"/>
    <row r="138" spans="2:18" s="566" customFormat="1" ht="30" customHeight="1" x14ac:dyDescent="0.35">
      <c r="B138" s="565" t="s">
        <v>671</v>
      </c>
    </row>
    <row r="139" spans="2:18" x14ac:dyDescent="0.35"/>
    <row r="140" spans="2:18" x14ac:dyDescent="0.35">
      <c r="F140" s="1050" t="s">
        <v>598</v>
      </c>
      <c r="G140" s="1051"/>
      <c r="H140" s="1052"/>
    </row>
    <row r="141" spans="2:18" s="357" customFormat="1" ht="47.5" customHeight="1" x14ac:dyDescent="0.35">
      <c r="F141" s="370" t="str">
        <f>'Emissões Fugitivas'!E188</f>
        <v>Construção ou fase preparatória</v>
      </c>
      <c r="G141" s="371" t="s">
        <v>36</v>
      </c>
      <c r="H141" s="372" t="s">
        <v>255</v>
      </c>
    </row>
    <row r="142" spans="2:18" ht="17.5" x14ac:dyDescent="0.35">
      <c r="C142" s="1050" t="s">
        <v>1248</v>
      </c>
      <c r="D142" s="1051"/>
      <c r="E142" s="1052"/>
      <c r="F142" s="807">
        <f>SUMIF(FAEI!$D$26:$D$125,FAEI!$A$10,FAEI!$Q$26:$Q$125)</f>
        <v>0</v>
      </c>
      <c r="G142" s="807">
        <f>SUMIF(FAEI!$D$26:$D$125,FAEI!$A$11,FAEI!$Q$26:$Q$125)</f>
        <v>0</v>
      </c>
      <c r="H142" s="807">
        <f>SUMIF(FAEI!$D$26:$D$125,FAEI!$A$12,FAEI!$Q$26:$Q$125)</f>
        <v>0</v>
      </c>
      <c r="I142" s="285" t="s">
        <v>40</v>
      </c>
    </row>
    <row r="143" spans="2:18" ht="17.5" x14ac:dyDescent="0.35">
      <c r="C143" s="1050" t="s">
        <v>1249</v>
      </c>
      <c r="D143" s="1051"/>
      <c r="E143" s="1052"/>
      <c r="F143" s="807">
        <f>IF('Dados gerais'!$F$33="", 2*F142, 'Dados gerais'!$F$33*F142)</f>
        <v>0</v>
      </c>
      <c r="G143" s="807">
        <f>IF('Dados gerais'!$F$34="", 10*G142, 'Dados gerais'!$F$34*G142)</f>
        <v>0</v>
      </c>
      <c r="H143" s="807">
        <f>IF('Dados gerais'!$F$35="", 1*H142, 'Dados gerais'!$F$35*H142)</f>
        <v>0</v>
      </c>
      <c r="I143" s="807">
        <f>SUM(F143:H143)</f>
        <v>0</v>
      </c>
    </row>
    <row r="144" spans="2:18"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sheetData>
  <sheetProtection algorithmName="SHA-512" hashValue="La9skvbclXKxh9PT3MofJc8mRmqu7Mzo2eQcaj8+2gu1/CsAcP+F5dZQGRKjhTHWerRHeB38DR/+Zz1RKlXlsw==" saltValue="az5uV0HFO8qfsrq3hfRpew==" spinCount="100000" sheet="1" formatRows="0" selectLockedCells="1"/>
  <protectedRanges>
    <protectedRange sqref="H34:H133 J34:J133 B34:F133" name="PI1"/>
  </protectedRanges>
  <dataConsolidate/>
  <mergeCells count="19">
    <mergeCell ref="C142:E142"/>
    <mergeCell ref="C143:E143"/>
    <mergeCell ref="B25:P25"/>
    <mergeCell ref="B31:B32"/>
    <mergeCell ref="C31:C32"/>
    <mergeCell ref="D31:D32"/>
    <mergeCell ref="E31:E32"/>
    <mergeCell ref="F31:H31"/>
    <mergeCell ref="M31:O31"/>
    <mergeCell ref="P31:P32"/>
    <mergeCell ref="B12:J12"/>
    <mergeCell ref="B13:J13"/>
    <mergeCell ref="D8:H8"/>
    <mergeCell ref="F140:H140"/>
    <mergeCell ref="I31:K31"/>
    <mergeCell ref="B24:P24"/>
    <mergeCell ref="B26:P26"/>
    <mergeCell ref="B23:Q23"/>
    <mergeCell ref="Q31:Q32"/>
  </mergeCells>
  <conditionalFormatting sqref="J34:J133">
    <cfRule type="expression" dxfId="57" priority="1">
      <formula>OR($L34&gt;0,$M34&gt;0,$N34&gt;0,$O34&gt;0)</formula>
    </cfRule>
  </conditionalFormatting>
  <conditionalFormatting sqref="K34:K133">
    <cfRule type="expression" dxfId="56" priority="3">
      <formula>$J34=""</formula>
    </cfRule>
  </conditionalFormatting>
  <conditionalFormatting sqref="L34:L133">
    <cfRule type="expression" dxfId="55" priority="31" stopIfTrue="1">
      <formula>OR($J34&gt;0,$M34&gt;0,$N34&gt;0,$O34&gt;0)</formula>
    </cfRule>
  </conditionalFormatting>
  <conditionalFormatting sqref="M34:O133">
    <cfRule type="expression" dxfId="53" priority="32" stopIfTrue="1">
      <formula>OR($J34&gt;0,$L34&gt;0)</formula>
    </cfRule>
  </conditionalFormatting>
  <conditionalFormatting sqref="P34:P133">
    <cfRule type="expression" dxfId="52" priority="2">
      <formula>AND($L34="",M34="",N34="",O34="")</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 id="{F3CC6CF1-DFAE-48C4-BE3B-C6C5719C0801}">
            <xm:f>Triagem!$C$32=""</xm:f>
            <x14:dxf>
              <font>
                <b/>
                <i val="0"/>
                <u val="double"/>
                <color rgb="FFFF0000"/>
              </font>
              <fill>
                <patternFill>
                  <bgColor theme="7" tint="0.79998168889431442"/>
                </patternFill>
              </fill>
            </x14:dxf>
          </x14:cfRule>
          <x14:cfRule type="expression" priority="5" id="{DBAAFD11-D61A-40CD-81A3-D7B5137A32E6}">
            <xm:f>Triagem!$C$32="Sim"</xm:f>
            <x14:dxf/>
          </x14:cfRule>
          <x14:cfRule type="expression" priority="6" id="{08238A3F-5EB1-4451-91D2-2DFD34B1E848}">
            <xm:f>Triagem!$C$32="Não"</xm:f>
            <x14:dxf>
              <font>
                <color theme="2" tint="-0.24994659260841701"/>
              </font>
            </x14:dxf>
          </x14:cfRule>
          <xm:sqref>D8:H8</xm:sqref>
        </x14:conditionalFormatting>
        <x14:conditionalFormatting xmlns:xm="http://schemas.microsoft.com/office/excel/2006/main">
          <x14:cfRule type="expression" priority="11" id="{8481A233-B943-4EF6-99FD-5E2253B0081F}">
            <xm:f>D34=FAEI!$K$21</xm:f>
            <x14:dxf>
              <font>
                <color auto="1"/>
              </font>
              <fill>
                <patternFill>
                  <bgColor theme="8" tint="0.59996337778862885"/>
                </patternFill>
              </fill>
            </x14:dxf>
          </x14:cfRule>
          <xm:sqref>E34:E133</xm:sqref>
        </x14:conditionalFormatting>
        <x14:conditionalFormatting xmlns:xm="http://schemas.microsoft.com/office/excel/2006/main">
          <x14:cfRule type="expression" priority="10" id="{DEA88F2C-1C83-4671-AD18-E32CDD84E8CC}">
            <xm:f>D34=FAEI!$K$21</xm:f>
            <x14:dxf>
              <fill>
                <patternFill>
                  <bgColor theme="8" tint="0.59996337778862885"/>
                </patternFill>
              </fill>
            </x14:dxf>
          </x14:cfRule>
          <xm:sqref>H34:H133</xm:sqref>
        </x14:conditionalFormatting>
        <x14:conditionalFormatting xmlns:xm="http://schemas.microsoft.com/office/excel/2006/main">
          <x14:cfRule type="expression" priority="9" id="{F7DF907E-0FDE-4F4B-A85F-02C64D67597D}">
            <xm:f>$D34=FAEI!$K$21</xm:f>
            <x14:dxf>
              <fill>
                <patternFill>
                  <bgColor theme="8" tint="0.59996337778862885"/>
                </patternFill>
              </fill>
            </x14:dxf>
          </x14:cfRule>
          <xm:sqref>L34:O133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CABDD1C-9BC9-4457-ADAE-49C36B258CE0}">
          <x14:formula1>
            <xm:f>FAEI!$A$10:$A$12</xm:f>
          </x14:formula1>
          <xm:sqref>B33:B133</xm:sqref>
        </x14:dataValidation>
        <x14:dataValidation type="list" allowBlank="1" showInputMessage="1" showErrorMessage="1" xr:uid="{21DC875D-DC58-4662-A281-1EC935ECF799}">
          <x14:formula1>
            <xm:f>'Fatores de Emissão'!$C$248:$C$281</xm:f>
          </x14:formula1>
          <xm:sqref>AE33:AE44</xm:sqref>
        </x14:dataValidation>
        <x14:dataValidation type="list" allowBlank="1" showInputMessage="1" showErrorMessage="1" xr:uid="{1D5D7869-7592-4511-ABB0-21429FC8BCA7}">
          <x14:formula1>
            <xm:f>FAEI!$K$13:$K$21</xm:f>
          </x14:formula1>
          <xm:sqref>D34:D133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A178E-061D-4CCC-831B-6214A7F2BDA3}">
  <sheetPr codeName="Folha14"/>
  <dimension ref="A9:Q125"/>
  <sheetViews>
    <sheetView showGridLines="0" topLeftCell="A7" zoomScale="70" zoomScaleNormal="70" workbookViewId="0">
      <selection activeCell="M14" sqref="M14"/>
    </sheetView>
  </sheetViews>
  <sheetFormatPr defaultRowHeight="14.5" x14ac:dyDescent="0.35"/>
  <cols>
    <col min="1" max="1" width="21.453125" customWidth="1"/>
    <col min="4" max="4" width="9.81640625" bestFit="1" customWidth="1"/>
    <col min="5" max="5" width="16.1796875" bestFit="1" customWidth="1"/>
    <col min="6" max="6" width="18.26953125" bestFit="1" customWidth="1"/>
    <col min="7" max="7" width="18.7265625" bestFit="1" customWidth="1"/>
    <col min="8" max="8" width="11.7265625" bestFit="1" customWidth="1"/>
    <col min="9" max="9" width="18.7265625" bestFit="1" customWidth="1"/>
    <col min="10" max="10" width="11.453125" customWidth="1"/>
    <col min="11" max="11" width="11.7265625" bestFit="1" customWidth="1"/>
    <col min="12" max="12" width="23.26953125" customWidth="1"/>
    <col min="13" max="13" width="24.26953125" bestFit="1" customWidth="1"/>
    <col min="16" max="16" width="26.1796875" bestFit="1" customWidth="1"/>
  </cols>
  <sheetData>
    <row r="9" spans="1:15" x14ac:dyDescent="0.35">
      <c r="A9" s="3" t="s">
        <v>37</v>
      </c>
    </row>
    <row r="10" spans="1:15" x14ac:dyDescent="0.35">
      <c r="A10" s="133" t="str">
        <f>'Fatores de Emissão'!B12</f>
        <v>Construção ou fase preparatória</v>
      </c>
    </row>
    <row r="11" spans="1:15" ht="20" x14ac:dyDescent="0.35">
      <c r="A11" s="133" t="str">
        <f>'Fatores de Emissão'!B13</f>
        <v>Exploração</v>
      </c>
      <c r="D11" s="1"/>
      <c r="E11" s="1200" t="s">
        <v>35</v>
      </c>
      <c r="F11" s="1201"/>
      <c r="G11" s="1202"/>
      <c r="K11" t="s">
        <v>893</v>
      </c>
    </row>
    <row r="12" spans="1:15" ht="20" x14ac:dyDescent="0.35">
      <c r="A12" s="133" t="str">
        <f>'Fatores de Emissão'!B14</f>
        <v>Desativação</v>
      </c>
      <c r="D12" s="1"/>
      <c r="E12" s="13" t="str">
        <f>A10</f>
        <v>Construção ou fase preparatória</v>
      </c>
      <c r="F12" s="14" t="str">
        <f>A11</f>
        <v>Exploração</v>
      </c>
      <c r="G12" s="15" t="str">
        <f>A12</f>
        <v>Desativação</v>
      </c>
      <c r="K12" s="83" t="s">
        <v>871</v>
      </c>
      <c r="L12" s="83" t="s">
        <v>29</v>
      </c>
      <c r="M12" s="83" t="s">
        <v>800</v>
      </c>
      <c r="N12" s="83" t="s">
        <v>887</v>
      </c>
      <c r="O12" s="83"/>
    </row>
    <row r="13" spans="1:15" ht="21.5" x14ac:dyDescent="0.35">
      <c r="D13" s="144" t="s">
        <v>1087</v>
      </c>
      <c r="E13" s="18">
        <f>G126</f>
        <v>0</v>
      </c>
      <c r="F13" s="19">
        <f>H126</f>
        <v>0</v>
      </c>
      <c r="G13" s="19">
        <f>I126</f>
        <v>0</v>
      </c>
      <c r="K13" s="22" t="str">
        <f>'Fatores de Emissão'!B209</f>
        <v>1. Produção de cimento</v>
      </c>
      <c r="L13" s="22" t="str">
        <f>'Fatores de Emissão'!F209</f>
        <v>t clínquer</v>
      </c>
      <c r="M13" s="121">
        <f>'Fatores de Emissão'!C209</f>
        <v>510.64400013059742</v>
      </c>
      <c r="N13" s="121" t="str">
        <f>'Fatores de Emissão'!D209</f>
        <v>kg CO2e / t clínquer</v>
      </c>
      <c r="O13" s="22"/>
    </row>
    <row r="14" spans="1:15" ht="21.5" x14ac:dyDescent="0.35">
      <c r="D14" s="144" t="s">
        <v>45</v>
      </c>
      <c r="E14" s="18">
        <f>J126</f>
        <v>0</v>
      </c>
      <c r="F14" s="19">
        <f>K126</f>
        <v>0</v>
      </c>
      <c r="G14" s="19">
        <f>L126</f>
        <v>0</v>
      </c>
      <c r="K14" s="22" t="str">
        <f>'Fatores de Emissão'!B210</f>
        <v>2. Produção de cal</v>
      </c>
      <c r="L14" s="22" t="str">
        <f>'Fatores de Emissão'!F210</f>
        <v>t cal</v>
      </c>
      <c r="M14" s="121">
        <f>'Fatores de Emissão'!C210</f>
        <v>683.82051204099218</v>
      </c>
      <c r="N14" s="121" t="str">
        <f>'Fatores de Emissão'!D210</f>
        <v>kg CO2e / t cal</v>
      </c>
      <c r="O14" s="22"/>
    </row>
    <row r="15" spans="1:15" ht="21.5" x14ac:dyDescent="0.35">
      <c r="D15" s="294" t="s">
        <v>178</v>
      </c>
      <c r="E15" s="20">
        <f>M126</f>
        <v>0</v>
      </c>
      <c r="K15" s="22" t="str">
        <f>'Fatores de Emissão'!B211</f>
        <v>3. Produção de vidro</v>
      </c>
      <c r="L15" s="22" t="str">
        <f>'Fatores de Emissão'!F211</f>
        <v>t vidro</v>
      </c>
      <c r="M15" s="121">
        <f>'Fatores de Emissão'!C211</f>
        <v>89.208332324399436</v>
      </c>
      <c r="N15" s="121" t="str">
        <f>'Fatores de Emissão'!D211</f>
        <v>kg CO2e / t vidro</v>
      </c>
      <c r="O15" s="22"/>
    </row>
    <row r="16" spans="1:15" x14ac:dyDescent="0.35">
      <c r="K16" s="22" t="str">
        <f>'Fatores de Emissão'!B212</f>
        <v>4. Produção cerâmica</v>
      </c>
      <c r="L16" s="22" t="str">
        <f>'Fatores de Emissão'!F212</f>
        <v>t carbonatos consumidos</v>
      </c>
      <c r="M16" s="121">
        <f>'Fatores de Emissão'!C212</f>
        <v>21.896543813572944</v>
      </c>
      <c r="N16" s="121" t="str">
        <f>'Fatores de Emissão'!D212</f>
        <v>kg CO2e / t carbonatos consumidos</v>
      </c>
      <c r="O16" s="22"/>
    </row>
    <row r="17" spans="4:17" x14ac:dyDescent="0.35">
      <c r="K17" s="22" t="str">
        <f>'Fatores de Emissão'!B213</f>
        <v>5. Produção de ácido nítrico</v>
      </c>
      <c r="L17" s="22" t="str">
        <f>'Fatores de Emissão'!F213</f>
        <v>t ácido nítrico</v>
      </c>
      <c r="M17" s="121">
        <f>'Fatores de Emissão'!C213</f>
        <v>75.134848369877133</v>
      </c>
      <c r="N17" s="121" t="str">
        <f>'Fatores de Emissão'!D213</f>
        <v>kg CO2e / t ácido nítrico</v>
      </c>
      <c r="O17" s="22"/>
    </row>
    <row r="18" spans="4:17" x14ac:dyDescent="0.35">
      <c r="K18" s="22" t="str">
        <f>'Fatores de Emissão'!B214</f>
        <v>6. Produção de etileno</v>
      </c>
      <c r="L18" s="22" t="str">
        <f>'Fatores de Emissão'!F214</f>
        <v>t etileno</v>
      </c>
      <c r="M18" s="121">
        <f>'Fatores de Emissão'!C214</f>
        <v>1730</v>
      </c>
      <c r="N18" s="121" t="str">
        <f>'Fatores de Emissão'!D214</f>
        <v>kg CO2e / t etileno</v>
      </c>
      <c r="O18" s="22"/>
    </row>
    <row r="19" spans="4:17" x14ac:dyDescent="0.35">
      <c r="K19" s="22" t="str">
        <f>'Fatores de Emissão'!B215</f>
        <v>7. Produção de aço</v>
      </c>
      <c r="L19" s="22" t="str">
        <f>'Fatores de Emissão'!F215</f>
        <v>t aço</v>
      </c>
      <c r="M19" s="121">
        <f>'Fatores de Emissão'!C215</f>
        <v>34.10331661918017</v>
      </c>
      <c r="N19" s="121" t="str">
        <f>'Fatores de Emissão'!D215</f>
        <v>kg CO2e / t aço</v>
      </c>
      <c r="O19" s="22"/>
    </row>
    <row r="20" spans="4:17" x14ac:dyDescent="0.35">
      <c r="K20" s="22" t="str">
        <f>'Fatores de Emissão'!B216</f>
        <v>8. Produção de chumbo</v>
      </c>
      <c r="L20" s="22" t="str">
        <f>'Fatores de Emissão'!F216</f>
        <v>t chumbo</v>
      </c>
      <c r="M20" s="121">
        <f>'Fatores de Emissão'!C216</f>
        <v>520</v>
      </c>
      <c r="N20" s="121" t="str">
        <f>'Fatores de Emissão'!D216</f>
        <v>kg CO2e / t chumbo</v>
      </c>
      <c r="O20" s="22"/>
    </row>
    <row r="21" spans="4:17" x14ac:dyDescent="0.35">
      <c r="K21" s="22" t="s">
        <v>872</v>
      </c>
      <c r="L21" s="294" t="s">
        <v>883</v>
      </c>
      <c r="M21" s="22"/>
      <c r="N21" s="22"/>
      <c r="O21" s="22"/>
    </row>
    <row r="23" spans="4:17" x14ac:dyDescent="0.35">
      <c r="L23" t="s">
        <v>1457</v>
      </c>
      <c r="M23" t="s">
        <v>1458</v>
      </c>
      <c r="N23" t="s">
        <v>1459</v>
      </c>
    </row>
    <row r="24" spans="4:17" x14ac:dyDescent="0.35">
      <c r="D24" s="1139" t="s">
        <v>868</v>
      </c>
      <c r="E24" s="1139" t="s">
        <v>869</v>
      </c>
      <c r="F24" s="1139" t="s">
        <v>870</v>
      </c>
      <c r="G24" s="1139" t="s">
        <v>884</v>
      </c>
      <c r="H24" s="1203" t="s">
        <v>874</v>
      </c>
      <c r="I24" s="1203"/>
      <c r="J24" s="1203"/>
      <c r="K24" s="1204" t="s">
        <v>885</v>
      </c>
      <c r="L24" s="1205"/>
      <c r="M24" s="1203" t="s">
        <v>888</v>
      </c>
      <c r="N24" s="1203"/>
      <c r="O24" s="1203"/>
      <c r="P24" s="1203"/>
      <c r="Q24" s="1139" t="s">
        <v>48</v>
      </c>
    </row>
    <row r="25" spans="4:17" ht="58" x14ac:dyDescent="0.35">
      <c r="D25" s="1176"/>
      <c r="E25" s="1176"/>
      <c r="F25" s="1176"/>
      <c r="G25" s="1176"/>
      <c r="H25" s="119" t="s">
        <v>762</v>
      </c>
      <c r="I25" s="119" t="s">
        <v>29</v>
      </c>
      <c r="J25" s="119" t="s">
        <v>29</v>
      </c>
      <c r="K25" s="119" t="s">
        <v>729</v>
      </c>
      <c r="L25" s="120" t="s">
        <v>886</v>
      </c>
      <c r="M25" s="119" t="s">
        <v>889</v>
      </c>
      <c r="N25" s="119" t="s">
        <v>890</v>
      </c>
      <c r="O25" s="119" t="s">
        <v>891</v>
      </c>
      <c r="P25" s="119" t="s">
        <v>892</v>
      </c>
      <c r="Q25" s="1176"/>
    </row>
    <row r="26" spans="4:17" x14ac:dyDescent="0.35">
      <c r="D26" s="16">
        <f>'Processos Industriais'!B34</f>
        <v>0</v>
      </c>
      <c r="E26" s="16">
        <f>'Processos Industriais'!C34</f>
        <v>0</v>
      </c>
      <c r="F26" s="16">
        <f>'Processos Industriais'!D34</f>
        <v>0</v>
      </c>
      <c r="G26" s="16">
        <f>'Processos Industriais'!E34</f>
        <v>0</v>
      </c>
      <c r="H26" s="16">
        <f>'Processos Industriais'!F34</f>
        <v>0</v>
      </c>
      <c r="I26" s="16" t="str">
        <f>'Processos Industriais'!G34</f>
        <v/>
      </c>
      <c r="J26" s="16">
        <f>'Processos Industriais'!H34</f>
        <v>0</v>
      </c>
      <c r="K26" s="16" t="str">
        <f>'Processos Industriais'!I34</f>
        <v/>
      </c>
      <c r="L26" s="16">
        <f>'Processos Industriais'!J34</f>
        <v>0</v>
      </c>
      <c r="M26" s="16">
        <f>'Processos Industriais'!L34</f>
        <v>0</v>
      </c>
      <c r="N26" s="16">
        <f>'Processos Industriais'!M34</f>
        <v>0</v>
      </c>
      <c r="O26" s="16">
        <f>'Processos Industriais'!N34</f>
        <v>0</v>
      </c>
      <c r="P26" s="16">
        <f>'Processos Industriais'!O34</f>
        <v>0</v>
      </c>
      <c r="Q26" s="16" t="str">
        <f>IFERROR(IF(F26=$K$21,IF(L26&gt;0,L26*H26/1000,IF(M26&gt;0,M26/1000,(N26+O26*'Fatores de Emissão'!$E$248/1000+P26*'Fatores de Emissão'!$E$249/1000)/1000)),IF(L26&gt;0,H26*L26/1000,H26*K26/1000)),"")</f>
        <v/>
      </c>
    </row>
    <row r="27" spans="4:17" x14ac:dyDescent="0.35">
      <c r="D27" s="16">
        <f>'Processos Industriais'!B35</f>
        <v>0</v>
      </c>
      <c r="E27" s="16">
        <f>'Processos Industriais'!C35</f>
        <v>0</v>
      </c>
      <c r="F27" s="16">
        <f>'Processos Industriais'!D35</f>
        <v>0</v>
      </c>
      <c r="G27" s="16">
        <f>'Processos Industriais'!E35</f>
        <v>0</v>
      </c>
      <c r="H27" s="16">
        <f>'Processos Industriais'!F35</f>
        <v>0</v>
      </c>
      <c r="I27" s="16" t="str">
        <f>'Processos Industriais'!G35</f>
        <v/>
      </c>
      <c r="J27" s="16">
        <f>'Processos Industriais'!H35</f>
        <v>0</v>
      </c>
      <c r="K27" s="16" t="str">
        <f>'Processos Industriais'!I35</f>
        <v/>
      </c>
      <c r="L27" s="16">
        <f>'Processos Industriais'!J35</f>
        <v>0</v>
      </c>
      <c r="M27" s="16">
        <f>'Processos Industriais'!L35</f>
        <v>0</v>
      </c>
      <c r="N27" s="16">
        <f>'Processos Industriais'!M35</f>
        <v>0</v>
      </c>
      <c r="O27" s="16">
        <f>'Processos Industriais'!N35</f>
        <v>0</v>
      </c>
      <c r="P27" s="16">
        <f>'Processos Industriais'!O35</f>
        <v>0</v>
      </c>
      <c r="Q27" s="16" t="str">
        <f>IFERROR(IF(F27=$K$21,IF(L27&gt;0,L27*H27/1000,IF(M27&gt;0,M27/1000,(N27+O27*'Fatores de Emissão'!$E$248/1000+P27*'Fatores de Emissão'!$E$249/1000)/1000)),IF(L27&gt;0,H27*L27/1000,H27*K27/1000)),"")</f>
        <v/>
      </c>
    </row>
    <row r="28" spans="4:17" x14ac:dyDescent="0.35">
      <c r="D28" s="16">
        <f>'Processos Industriais'!B36</f>
        <v>0</v>
      </c>
      <c r="E28" s="16">
        <f>'Processos Industriais'!C36</f>
        <v>0</v>
      </c>
      <c r="F28" s="16">
        <f>'Processos Industriais'!D36</f>
        <v>0</v>
      </c>
      <c r="G28" s="16">
        <f>'Processos Industriais'!E36</f>
        <v>0</v>
      </c>
      <c r="H28" s="16">
        <f>'Processos Industriais'!F36</f>
        <v>0</v>
      </c>
      <c r="I28" s="16" t="str">
        <f>'Processos Industriais'!G36</f>
        <v/>
      </c>
      <c r="J28" s="16">
        <f>'Processos Industriais'!H36</f>
        <v>0</v>
      </c>
      <c r="K28" s="16" t="str">
        <f>'Processos Industriais'!I36</f>
        <v/>
      </c>
      <c r="L28" s="16">
        <f>'Processos Industriais'!J36</f>
        <v>0</v>
      </c>
      <c r="M28" s="16">
        <f>'Processos Industriais'!L36</f>
        <v>0</v>
      </c>
      <c r="N28" s="16">
        <f>'Processos Industriais'!M36</f>
        <v>0</v>
      </c>
      <c r="O28" s="16">
        <f>'Processos Industriais'!N36</f>
        <v>0</v>
      </c>
      <c r="P28" s="16">
        <f>'Processos Industriais'!O36</f>
        <v>0</v>
      </c>
      <c r="Q28" s="16" t="str">
        <f>IFERROR(IF(F28=$K$21,IF(L28&gt;0,L28*H28/1000,IF(M28&gt;0,M28/1000,(N28+O28*'Fatores de Emissão'!$E$248/1000+P28*'Fatores de Emissão'!$E$249/1000)/1000)),IF(L28&gt;0,H28*L28/1000,H28*K28/1000)),"")</f>
        <v/>
      </c>
    </row>
    <row r="29" spans="4:17" x14ac:dyDescent="0.35">
      <c r="D29" s="16">
        <f>'Processos Industriais'!B37</f>
        <v>0</v>
      </c>
      <c r="E29" s="16">
        <f>'Processos Industriais'!C37</f>
        <v>0</v>
      </c>
      <c r="F29" s="16">
        <f>'Processos Industriais'!D37</f>
        <v>0</v>
      </c>
      <c r="G29" s="16">
        <f>'Processos Industriais'!E37</f>
        <v>0</v>
      </c>
      <c r="H29" s="16">
        <f>'Processos Industriais'!F37</f>
        <v>0</v>
      </c>
      <c r="I29" s="16" t="str">
        <f>'Processos Industriais'!G37</f>
        <v/>
      </c>
      <c r="J29" s="16">
        <f>'Processos Industriais'!H37</f>
        <v>0</v>
      </c>
      <c r="K29" s="16" t="str">
        <f>'Processos Industriais'!I37</f>
        <v/>
      </c>
      <c r="L29" s="16">
        <f>'Processos Industriais'!J37</f>
        <v>0</v>
      </c>
      <c r="M29" s="16">
        <f>'Processos Industriais'!L37</f>
        <v>0</v>
      </c>
      <c r="N29" s="16">
        <f>'Processos Industriais'!M37</f>
        <v>0</v>
      </c>
      <c r="O29" s="16">
        <f>'Processos Industriais'!N37</f>
        <v>0</v>
      </c>
      <c r="P29" s="16">
        <f>'Processos Industriais'!O37</f>
        <v>0</v>
      </c>
      <c r="Q29" s="16" t="str">
        <f>IFERROR(IF(F29=$K$21,IF(L29&gt;0,L29*H29/1000,IF(M29&gt;0,M29/1000,(N29+O29*'Fatores de Emissão'!$E$248/1000+P29*'Fatores de Emissão'!$E$249/1000)/1000)),IF(L29&gt;0,H29*L29/1000,H29*K29/1000)),"")</f>
        <v/>
      </c>
    </row>
    <row r="30" spans="4:17" x14ac:dyDescent="0.35">
      <c r="D30" s="16">
        <f>'Processos Industriais'!B38</f>
        <v>0</v>
      </c>
      <c r="E30" s="16">
        <f>'Processos Industriais'!C38</f>
        <v>0</v>
      </c>
      <c r="F30" s="16">
        <f>'Processos Industriais'!D38</f>
        <v>0</v>
      </c>
      <c r="G30" s="16">
        <f>'Processos Industriais'!E38</f>
        <v>0</v>
      </c>
      <c r="H30" s="16">
        <f>'Processos Industriais'!F38</f>
        <v>0</v>
      </c>
      <c r="I30" s="16" t="str">
        <f>'Processos Industriais'!G38</f>
        <v/>
      </c>
      <c r="J30" s="16">
        <f>'Processos Industriais'!H38</f>
        <v>0</v>
      </c>
      <c r="K30" s="16" t="str">
        <f>'Processos Industriais'!I38</f>
        <v/>
      </c>
      <c r="L30" s="16">
        <f>'Processos Industriais'!J38</f>
        <v>0</v>
      </c>
      <c r="M30" s="16">
        <f>'Processos Industriais'!L38</f>
        <v>0</v>
      </c>
      <c r="N30" s="16">
        <f>'Processos Industriais'!M38</f>
        <v>0</v>
      </c>
      <c r="O30" s="16">
        <f>'Processos Industriais'!N38</f>
        <v>0</v>
      </c>
      <c r="P30" s="16">
        <f>'Processos Industriais'!O38</f>
        <v>0</v>
      </c>
      <c r="Q30" s="16" t="str">
        <f>IFERROR(IF(F30=$K$21,IF(L30&gt;0,L30*H30/1000,IF(M30&gt;0,M30/1000,(N30+O30*'Fatores de Emissão'!$E$248/1000+P30*'Fatores de Emissão'!$E$249/1000)/1000)),IF(L30&gt;0,H30*L30/1000,H30*K30/1000)),"")</f>
        <v/>
      </c>
    </row>
    <row r="31" spans="4:17" x14ac:dyDescent="0.35">
      <c r="D31" s="16">
        <f>'Processos Industriais'!B39</f>
        <v>0</v>
      </c>
      <c r="E31" s="16">
        <f>'Processos Industriais'!C39</f>
        <v>0</v>
      </c>
      <c r="F31" s="16">
        <f>'Processos Industriais'!D39</f>
        <v>0</v>
      </c>
      <c r="G31" s="16">
        <f>'Processos Industriais'!E39</f>
        <v>0</v>
      </c>
      <c r="H31" s="16">
        <f>'Processos Industriais'!F39</f>
        <v>0</v>
      </c>
      <c r="I31" s="16" t="str">
        <f>'Processos Industriais'!G39</f>
        <v/>
      </c>
      <c r="J31" s="16">
        <f>'Processos Industriais'!H39</f>
        <v>0</v>
      </c>
      <c r="K31" s="16" t="str">
        <f>'Processos Industriais'!I39</f>
        <v/>
      </c>
      <c r="L31" s="16">
        <f>'Processos Industriais'!J39</f>
        <v>0</v>
      </c>
      <c r="M31" s="16">
        <f>'Processos Industriais'!L39</f>
        <v>0</v>
      </c>
      <c r="N31" s="16">
        <f>'Processos Industriais'!M39</f>
        <v>0</v>
      </c>
      <c r="O31" s="16">
        <f>'Processos Industriais'!N39</f>
        <v>0</v>
      </c>
      <c r="P31" s="16">
        <f>'Processos Industriais'!O39</f>
        <v>0</v>
      </c>
      <c r="Q31" s="16" t="str">
        <f>IFERROR(IF(F31=$K$21,IF(L31&gt;0,L31*H31/1000,IF(M31&gt;0,M31/1000,(N31+O31*'Fatores de Emissão'!$E$248/1000+P31*'Fatores de Emissão'!$E$249/1000)/1000)),IF(L31&gt;0,H31*L31/1000,H31*K31/1000)),"")</f>
        <v/>
      </c>
    </row>
    <row r="32" spans="4:17" x14ac:dyDescent="0.35">
      <c r="D32" s="16">
        <f>'Processos Industriais'!B40</f>
        <v>0</v>
      </c>
      <c r="E32" s="16">
        <f>'Processos Industriais'!C40</f>
        <v>0</v>
      </c>
      <c r="F32" s="16">
        <f>'Processos Industriais'!D40</f>
        <v>0</v>
      </c>
      <c r="G32" s="16">
        <f>'Processos Industriais'!E40</f>
        <v>0</v>
      </c>
      <c r="H32" s="16">
        <f>'Processos Industriais'!F40</f>
        <v>0</v>
      </c>
      <c r="I32" s="16" t="str">
        <f>'Processos Industriais'!G40</f>
        <v/>
      </c>
      <c r="J32" s="16">
        <f>'Processos Industriais'!H40</f>
        <v>0</v>
      </c>
      <c r="K32" s="16" t="str">
        <f>'Processos Industriais'!I40</f>
        <v/>
      </c>
      <c r="L32" s="16">
        <f>'Processos Industriais'!J40</f>
        <v>0</v>
      </c>
      <c r="M32" s="16">
        <f>'Processos Industriais'!L40</f>
        <v>0</v>
      </c>
      <c r="N32" s="16">
        <f>'Processos Industriais'!M40</f>
        <v>0</v>
      </c>
      <c r="O32" s="16">
        <f>'Processos Industriais'!N40</f>
        <v>0</v>
      </c>
      <c r="P32" s="16">
        <f>'Processos Industriais'!O40</f>
        <v>0</v>
      </c>
      <c r="Q32" s="16" t="str">
        <f>IFERROR(IF(F32=$K$21,IF(L32&gt;0,L32*H32/1000,IF(M32&gt;0,M32/1000,(N32+O32*'Fatores de Emissão'!$E$248/1000+P32*'Fatores de Emissão'!$E$249/1000)/1000)),IF(L32&gt;0,H32*L32/1000,H32*K32/1000)),"")</f>
        <v/>
      </c>
    </row>
    <row r="33" spans="4:17" x14ac:dyDescent="0.35">
      <c r="D33" s="16">
        <f>'Processos Industriais'!B41</f>
        <v>0</v>
      </c>
      <c r="E33" s="16">
        <f>'Processos Industriais'!C41</f>
        <v>0</v>
      </c>
      <c r="F33" s="16">
        <f>'Processos Industriais'!D41</f>
        <v>0</v>
      </c>
      <c r="G33" s="16">
        <f>'Processos Industriais'!E41</f>
        <v>0</v>
      </c>
      <c r="H33" s="16">
        <f>'Processos Industriais'!F41</f>
        <v>0</v>
      </c>
      <c r="I33" s="16" t="str">
        <f>'Processos Industriais'!G41</f>
        <v/>
      </c>
      <c r="J33" s="16">
        <f>'Processos Industriais'!H41</f>
        <v>0</v>
      </c>
      <c r="K33" s="16" t="str">
        <f>'Processos Industriais'!I41</f>
        <v/>
      </c>
      <c r="L33" s="16">
        <f>'Processos Industriais'!J41</f>
        <v>0</v>
      </c>
      <c r="M33" s="16">
        <f>'Processos Industriais'!L41</f>
        <v>0</v>
      </c>
      <c r="N33" s="16">
        <f>'Processos Industriais'!M41</f>
        <v>0</v>
      </c>
      <c r="O33" s="16">
        <f>'Processos Industriais'!N41</f>
        <v>0</v>
      </c>
      <c r="P33" s="16">
        <f>'Processos Industriais'!O41</f>
        <v>0</v>
      </c>
      <c r="Q33" s="16" t="str">
        <f>IFERROR(IF(F33=$K$21,IF(L33&gt;0,L33*H33/1000,IF(M33&gt;0,M33/1000,(N33+O33*'Fatores de Emissão'!$E$248/1000+P33*'Fatores de Emissão'!$E$249/1000)/1000)),IF(L33&gt;0,H33*L33/1000,H33*K33/1000)),"")</f>
        <v/>
      </c>
    </row>
    <row r="34" spans="4:17" x14ac:dyDescent="0.35">
      <c r="D34" s="16">
        <f>'Processos Industriais'!B42</f>
        <v>0</v>
      </c>
      <c r="E34" s="16">
        <f>'Processos Industriais'!C42</f>
        <v>0</v>
      </c>
      <c r="F34" s="16">
        <f>'Processos Industriais'!D42</f>
        <v>0</v>
      </c>
      <c r="G34" s="16">
        <f>'Processos Industriais'!E42</f>
        <v>0</v>
      </c>
      <c r="H34" s="16">
        <f>'Processos Industriais'!F42</f>
        <v>0</v>
      </c>
      <c r="I34" s="16" t="str">
        <f>'Processos Industriais'!G42</f>
        <v/>
      </c>
      <c r="J34" s="16">
        <f>'Processos Industriais'!H42</f>
        <v>0</v>
      </c>
      <c r="K34" s="16" t="str">
        <f>'Processos Industriais'!I42</f>
        <v/>
      </c>
      <c r="L34" s="16">
        <f>'Processos Industriais'!J42</f>
        <v>0</v>
      </c>
      <c r="M34" s="16">
        <f>'Processos Industriais'!L42</f>
        <v>0</v>
      </c>
      <c r="N34" s="16">
        <f>'Processos Industriais'!M42</f>
        <v>0</v>
      </c>
      <c r="O34" s="16">
        <f>'Processos Industriais'!N42</f>
        <v>0</v>
      </c>
      <c r="P34" s="16">
        <f>'Processos Industriais'!O42</f>
        <v>0</v>
      </c>
      <c r="Q34" s="16" t="str">
        <f>IFERROR(IF(F34=$K$21,IF(L34&gt;0,L34*H34/1000,IF(M34&gt;0,M34/1000,(N34+O34*'Fatores de Emissão'!$E$248/1000+P34*'Fatores de Emissão'!$E$249/1000)/1000)),IF(L34&gt;0,H34*L34/1000,H34*K34/1000)),"")</f>
        <v/>
      </c>
    </row>
    <row r="35" spans="4:17" x14ac:dyDescent="0.35">
      <c r="D35" s="16">
        <f>'Processos Industriais'!B43</f>
        <v>0</v>
      </c>
      <c r="E35" s="16">
        <f>'Processos Industriais'!C43</f>
        <v>0</v>
      </c>
      <c r="F35" s="16">
        <f>'Processos Industriais'!D43</f>
        <v>0</v>
      </c>
      <c r="G35" s="16">
        <f>'Processos Industriais'!E43</f>
        <v>0</v>
      </c>
      <c r="H35" s="16">
        <f>'Processos Industriais'!F43</f>
        <v>0</v>
      </c>
      <c r="I35" s="16" t="str">
        <f>'Processos Industriais'!G43</f>
        <v/>
      </c>
      <c r="J35" s="16">
        <f>'Processos Industriais'!H43</f>
        <v>0</v>
      </c>
      <c r="K35" s="16" t="str">
        <f>'Processos Industriais'!I43</f>
        <v/>
      </c>
      <c r="L35" s="16">
        <f>'Processos Industriais'!J43</f>
        <v>0</v>
      </c>
      <c r="M35" s="16">
        <f>'Processos Industriais'!L43</f>
        <v>0</v>
      </c>
      <c r="N35" s="16">
        <f>'Processos Industriais'!M43</f>
        <v>0</v>
      </c>
      <c r="O35" s="16">
        <f>'Processos Industriais'!N43</f>
        <v>0</v>
      </c>
      <c r="P35" s="16">
        <f>'Processos Industriais'!O43</f>
        <v>0</v>
      </c>
      <c r="Q35" s="16" t="str">
        <f>IFERROR(IF(F35=$K$21,IF(L35&gt;0,L35*H35/1000,IF(M35&gt;0,M35/1000,(N35+O35*'Fatores de Emissão'!$E$248/1000+P35*'Fatores de Emissão'!$E$249/1000)/1000)),IF(L35&gt;0,H35*L35/1000,H35*K35/1000)),"")</f>
        <v/>
      </c>
    </row>
    <row r="36" spans="4:17" x14ac:dyDescent="0.35">
      <c r="D36" s="16">
        <f>'Processos Industriais'!B44</f>
        <v>0</v>
      </c>
      <c r="E36" s="16">
        <f>'Processos Industriais'!C44</f>
        <v>0</v>
      </c>
      <c r="F36" s="16">
        <f>'Processos Industriais'!D44</f>
        <v>0</v>
      </c>
      <c r="G36" s="16">
        <f>'Processos Industriais'!E44</f>
        <v>0</v>
      </c>
      <c r="H36" s="16">
        <f>'Processos Industriais'!F44</f>
        <v>0</v>
      </c>
      <c r="I36" s="16" t="str">
        <f>'Processos Industriais'!G44</f>
        <v/>
      </c>
      <c r="J36" s="16">
        <f>'Processos Industriais'!H44</f>
        <v>0</v>
      </c>
      <c r="K36" s="16" t="str">
        <f>'Processos Industriais'!I44</f>
        <v/>
      </c>
      <c r="L36" s="16">
        <f>'Processos Industriais'!J44</f>
        <v>0</v>
      </c>
      <c r="M36" s="16">
        <f>'Processos Industriais'!L44</f>
        <v>0</v>
      </c>
      <c r="N36" s="16">
        <f>'Processos Industriais'!M44</f>
        <v>0</v>
      </c>
      <c r="O36" s="16">
        <f>'Processos Industriais'!N44</f>
        <v>0</v>
      </c>
      <c r="P36" s="16">
        <f>'Processos Industriais'!O44</f>
        <v>0</v>
      </c>
      <c r="Q36" s="16" t="str">
        <f>IFERROR(IF(F36=$K$21,IF(L36&gt;0,L36*H36/1000,IF(M36&gt;0,M36/1000,(N36+O36*'Fatores de Emissão'!$E$248/1000+P36*'Fatores de Emissão'!$E$249/1000)/1000)),IF(L36&gt;0,H36*L36/1000,H36*K36/1000)),"")</f>
        <v/>
      </c>
    </row>
    <row r="37" spans="4:17" x14ac:dyDescent="0.35">
      <c r="D37" s="16">
        <f>'Processos Industriais'!B45</f>
        <v>0</v>
      </c>
      <c r="E37" s="16">
        <f>'Processos Industriais'!C45</f>
        <v>0</v>
      </c>
      <c r="F37" s="16">
        <f>'Processos Industriais'!D45</f>
        <v>0</v>
      </c>
      <c r="G37" s="16">
        <f>'Processos Industriais'!E45</f>
        <v>0</v>
      </c>
      <c r="H37" s="16">
        <f>'Processos Industriais'!F45</f>
        <v>0</v>
      </c>
      <c r="I37" s="16" t="str">
        <f>'Processos Industriais'!G45</f>
        <v/>
      </c>
      <c r="J37" s="16">
        <f>'Processos Industriais'!H45</f>
        <v>0</v>
      </c>
      <c r="K37" s="16" t="str">
        <f>'Processos Industriais'!I45</f>
        <v/>
      </c>
      <c r="L37" s="16">
        <f>'Processos Industriais'!J45</f>
        <v>0</v>
      </c>
      <c r="M37" s="16">
        <f>'Processos Industriais'!L45</f>
        <v>0</v>
      </c>
      <c r="N37" s="16">
        <f>'Processos Industriais'!M45</f>
        <v>0</v>
      </c>
      <c r="O37" s="16">
        <f>'Processos Industriais'!N45</f>
        <v>0</v>
      </c>
      <c r="P37" s="16">
        <f>'Processos Industriais'!O45</f>
        <v>0</v>
      </c>
      <c r="Q37" s="16" t="str">
        <f>IFERROR(IF(F37=$K$21,IF(L37&gt;0,L37*H37/1000,IF(M37&gt;0,M37/1000,(N37+O37*'Fatores de Emissão'!$E$248/1000+P37*'Fatores de Emissão'!$E$249/1000)/1000)),IF(L37&gt;0,H37*L37/1000,H37*K37/1000)),"")</f>
        <v/>
      </c>
    </row>
    <row r="38" spans="4:17" x14ac:dyDescent="0.35">
      <c r="D38" s="16">
        <f>'Processos Industriais'!B46</f>
        <v>0</v>
      </c>
      <c r="E38" s="16">
        <f>'Processos Industriais'!C46</f>
        <v>0</v>
      </c>
      <c r="F38" s="16">
        <f>'Processos Industriais'!D46</f>
        <v>0</v>
      </c>
      <c r="G38" s="16">
        <f>'Processos Industriais'!E46</f>
        <v>0</v>
      </c>
      <c r="H38" s="16">
        <f>'Processos Industriais'!F46</f>
        <v>0</v>
      </c>
      <c r="I38" s="16" t="str">
        <f>'Processos Industriais'!G46</f>
        <v/>
      </c>
      <c r="J38" s="16">
        <f>'Processos Industriais'!H46</f>
        <v>0</v>
      </c>
      <c r="K38" s="16" t="str">
        <f>'Processos Industriais'!I46</f>
        <v/>
      </c>
      <c r="L38" s="16">
        <f>'Processos Industriais'!J46</f>
        <v>0</v>
      </c>
      <c r="M38" s="16">
        <f>'Processos Industriais'!L46</f>
        <v>0</v>
      </c>
      <c r="N38" s="16">
        <f>'Processos Industriais'!M46</f>
        <v>0</v>
      </c>
      <c r="O38" s="16">
        <f>'Processos Industriais'!N46</f>
        <v>0</v>
      </c>
      <c r="P38" s="16">
        <f>'Processos Industriais'!O46</f>
        <v>0</v>
      </c>
      <c r="Q38" s="16" t="str">
        <f>IFERROR(IF(F38=$K$21,IF(L38&gt;0,L38*H38/1000,IF(M38&gt;0,M38/1000,(N38+O38*'Fatores de Emissão'!$E$248/1000+P38*'Fatores de Emissão'!$E$249/1000)/1000)),IF(L38&gt;0,H38*L38/1000,H38*K38/1000)),"")</f>
        <v/>
      </c>
    </row>
    <row r="39" spans="4:17" x14ac:dyDescent="0.35">
      <c r="D39" s="16">
        <f>'Processos Industriais'!B47</f>
        <v>0</v>
      </c>
      <c r="E39" s="16">
        <f>'Processos Industriais'!C47</f>
        <v>0</v>
      </c>
      <c r="F39" s="16">
        <f>'Processos Industriais'!D47</f>
        <v>0</v>
      </c>
      <c r="G39" s="16">
        <f>'Processos Industriais'!E47</f>
        <v>0</v>
      </c>
      <c r="H39" s="16">
        <f>'Processos Industriais'!F47</f>
        <v>0</v>
      </c>
      <c r="I39" s="16" t="str">
        <f>'Processos Industriais'!G47</f>
        <v/>
      </c>
      <c r="J39" s="16">
        <f>'Processos Industriais'!H47</f>
        <v>0</v>
      </c>
      <c r="K39" s="16" t="str">
        <f>'Processos Industriais'!I47</f>
        <v/>
      </c>
      <c r="L39" s="16">
        <f>'Processos Industriais'!J47</f>
        <v>0</v>
      </c>
      <c r="M39" s="16">
        <f>'Processos Industriais'!L47</f>
        <v>0</v>
      </c>
      <c r="N39" s="16">
        <f>'Processos Industriais'!M47</f>
        <v>0</v>
      </c>
      <c r="O39" s="16">
        <f>'Processos Industriais'!N47</f>
        <v>0</v>
      </c>
      <c r="P39" s="16">
        <f>'Processos Industriais'!O47</f>
        <v>0</v>
      </c>
      <c r="Q39" s="16" t="str">
        <f>IFERROR(IF(F39=$K$21,IF(L39&gt;0,L39*H39/1000,IF(M39&gt;0,M39/1000,(N39+O39*'Fatores de Emissão'!$E$248/1000+P39*'Fatores de Emissão'!$E$249/1000)/1000)),IF(L39&gt;0,H39*L39/1000,H39*K39/1000)),"")</f>
        <v/>
      </c>
    </row>
    <row r="40" spans="4:17" x14ac:dyDescent="0.35">
      <c r="D40" s="16">
        <f>'Processos Industriais'!B48</f>
        <v>0</v>
      </c>
      <c r="E40" s="16">
        <f>'Processos Industriais'!C48</f>
        <v>0</v>
      </c>
      <c r="F40" s="16">
        <f>'Processos Industriais'!D48</f>
        <v>0</v>
      </c>
      <c r="G40" s="16">
        <f>'Processos Industriais'!E48</f>
        <v>0</v>
      </c>
      <c r="H40" s="16">
        <f>'Processos Industriais'!F48</f>
        <v>0</v>
      </c>
      <c r="I40" s="16" t="str">
        <f>'Processos Industriais'!G48</f>
        <v/>
      </c>
      <c r="J40" s="16">
        <f>'Processos Industriais'!H48</f>
        <v>0</v>
      </c>
      <c r="K40" s="16" t="str">
        <f>'Processos Industriais'!I48</f>
        <v/>
      </c>
      <c r="L40" s="16">
        <f>'Processos Industriais'!J48</f>
        <v>0</v>
      </c>
      <c r="M40" s="16">
        <f>'Processos Industriais'!L48</f>
        <v>0</v>
      </c>
      <c r="N40" s="16">
        <f>'Processos Industriais'!M48</f>
        <v>0</v>
      </c>
      <c r="O40" s="16">
        <f>'Processos Industriais'!N48</f>
        <v>0</v>
      </c>
      <c r="P40" s="16">
        <f>'Processos Industriais'!O48</f>
        <v>0</v>
      </c>
      <c r="Q40" s="16" t="str">
        <f>IFERROR(IF(F40=$K$21,IF(L40&gt;0,L40*H40/1000,IF(M40&gt;0,M40/1000,(N40+O40*'Fatores de Emissão'!$E$248/1000+P40*'Fatores de Emissão'!$E$249/1000)/1000)),IF(L40&gt;0,H40*L40/1000,H40*K40/1000)),"")</f>
        <v/>
      </c>
    </row>
    <row r="41" spans="4:17" x14ac:dyDescent="0.35">
      <c r="D41" s="16">
        <f>'Processos Industriais'!B49</f>
        <v>0</v>
      </c>
      <c r="E41" s="16">
        <f>'Processos Industriais'!C49</f>
        <v>0</v>
      </c>
      <c r="F41" s="16">
        <f>'Processos Industriais'!D49</f>
        <v>0</v>
      </c>
      <c r="G41" s="16">
        <f>'Processos Industriais'!E49</f>
        <v>0</v>
      </c>
      <c r="H41" s="16">
        <f>'Processos Industriais'!F49</f>
        <v>0</v>
      </c>
      <c r="I41" s="16" t="str">
        <f>'Processos Industriais'!G49</f>
        <v/>
      </c>
      <c r="J41" s="16">
        <f>'Processos Industriais'!H49</f>
        <v>0</v>
      </c>
      <c r="K41" s="16" t="str">
        <f>'Processos Industriais'!I49</f>
        <v/>
      </c>
      <c r="L41" s="16">
        <f>'Processos Industriais'!J49</f>
        <v>0</v>
      </c>
      <c r="M41" s="16">
        <f>'Processos Industriais'!L49</f>
        <v>0</v>
      </c>
      <c r="N41" s="16">
        <f>'Processos Industriais'!M49</f>
        <v>0</v>
      </c>
      <c r="O41" s="16">
        <f>'Processos Industriais'!N49</f>
        <v>0</v>
      </c>
      <c r="P41" s="16">
        <f>'Processos Industriais'!O49</f>
        <v>0</v>
      </c>
      <c r="Q41" s="16" t="str">
        <f>IFERROR(IF(F41=$K$21,IF(L41&gt;0,L41*H41/1000,IF(M41&gt;0,M41/1000,(N41+O41*'Fatores de Emissão'!$E$248/1000+P41*'Fatores de Emissão'!$E$249/1000)/1000)),IF(L41&gt;0,H41*L41/1000,H41*K41/1000)),"")</f>
        <v/>
      </c>
    </row>
    <row r="42" spans="4:17" x14ac:dyDescent="0.35">
      <c r="D42" s="16">
        <f>'Processos Industriais'!B50</f>
        <v>0</v>
      </c>
      <c r="E42" s="16">
        <f>'Processos Industriais'!C50</f>
        <v>0</v>
      </c>
      <c r="F42" s="16">
        <f>'Processos Industriais'!D50</f>
        <v>0</v>
      </c>
      <c r="G42" s="16">
        <f>'Processos Industriais'!E50</f>
        <v>0</v>
      </c>
      <c r="H42" s="16">
        <f>'Processos Industriais'!F50</f>
        <v>0</v>
      </c>
      <c r="I42" s="16" t="str">
        <f>'Processos Industriais'!G50</f>
        <v/>
      </c>
      <c r="J42" s="16">
        <f>'Processos Industriais'!H50</f>
        <v>0</v>
      </c>
      <c r="K42" s="16" t="str">
        <f>'Processos Industriais'!I50</f>
        <v/>
      </c>
      <c r="L42" s="16">
        <f>'Processos Industriais'!J50</f>
        <v>0</v>
      </c>
      <c r="M42" s="16">
        <f>'Processos Industriais'!L50</f>
        <v>0</v>
      </c>
      <c r="N42" s="16">
        <f>'Processos Industriais'!M50</f>
        <v>0</v>
      </c>
      <c r="O42" s="16">
        <f>'Processos Industriais'!N50</f>
        <v>0</v>
      </c>
      <c r="P42" s="16">
        <f>'Processos Industriais'!O50</f>
        <v>0</v>
      </c>
      <c r="Q42" s="16" t="str">
        <f>IFERROR(IF(F42=$K$21,IF(L42&gt;0,L42*H42/1000,IF(M42&gt;0,M42/1000,(N42+O42*'Fatores de Emissão'!$E$248/1000+P42*'Fatores de Emissão'!$E$249/1000)/1000)),IF(L42&gt;0,H42*L42/1000,H42*K42/1000)),"")</f>
        <v/>
      </c>
    </row>
    <row r="43" spans="4:17" x14ac:dyDescent="0.35">
      <c r="D43" s="16">
        <f>'Processos Industriais'!B51</f>
        <v>0</v>
      </c>
      <c r="E43" s="16">
        <f>'Processos Industriais'!C51</f>
        <v>0</v>
      </c>
      <c r="F43" s="16">
        <f>'Processos Industriais'!D51</f>
        <v>0</v>
      </c>
      <c r="G43" s="16">
        <f>'Processos Industriais'!E51</f>
        <v>0</v>
      </c>
      <c r="H43" s="16">
        <f>'Processos Industriais'!F51</f>
        <v>0</v>
      </c>
      <c r="I43" s="16" t="str">
        <f>'Processos Industriais'!G51</f>
        <v/>
      </c>
      <c r="J43" s="16">
        <f>'Processos Industriais'!H51</f>
        <v>0</v>
      </c>
      <c r="K43" s="16" t="str">
        <f>'Processos Industriais'!I51</f>
        <v/>
      </c>
      <c r="L43" s="16">
        <f>'Processos Industriais'!J51</f>
        <v>0</v>
      </c>
      <c r="M43" s="16">
        <f>'Processos Industriais'!L51</f>
        <v>0</v>
      </c>
      <c r="N43" s="16">
        <f>'Processos Industriais'!M51</f>
        <v>0</v>
      </c>
      <c r="O43" s="16">
        <f>'Processos Industriais'!N51</f>
        <v>0</v>
      </c>
      <c r="P43" s="16">
        <f>'Processos Industriais'!O51</f>
        <v>0</v>
      </c>
      <c r="Q43" s="16" t="str">
        <f>IFERROR(IF(F43=$K$21,IF(L43&gt;0,L43*H43/1000,IF(M43&gt;0,M43/1000,(N43+O43*'Fatores de Emissão'!$E$248/1000+P43*'Fatores de Emissão'!$E$249/1000)/1000)),IF(L43&gt;0,H43*L43/1000,H43*K43/1000)),"")</f>
        <v/>
      </c>
    </row>
    <row r="44" spans="4:17" x14ac:dyDescent="0.35">
      <c r="D44" s="16">
        <f>'Processos Industriais'!B52</f>
        <v>0</v>
      </c>
      <c r="E44" s="16">
        <f>'Processos Industriais'!C52</f>
        <v>0</v>
      </c>
      <c r="F44" s="16">
        <f>'Processos Industriais'!D52</f>
        <v>0</v>
      </c>
      <c r="G44" s="16">
        <f>'Processos Industriais'!E52</f>
        <v>0</v>
      </c>
      <c r="H44" s="16">
        <f>'Processos Industriais'!F52</f>
        <v>0</v>
      </c>
      <c r="I44" s="16" t="str">
        <f>'Processos Industriais'!G52</f>
        <v/>
      </c>
      <c r="J44" s="16">
        <f>'Processos Industriais'!H52</f>
        <v>0</v>
      </c>
      <c r="K44" s="16" t="str">
        <f>'Processos Industriais'!I52</f>
        <v/>
      </c>
      <c r="L44" s="16">
        <f>'Processos Industriais'!J52</f>
        <v>0</v>
      </c>
      <c r="M44" s="16">
        <f>'Processos Industriais'!L52</f>
        <v>0</v>
      </c>
      <c r="N44" s="16">
        <f>'Processos Industriais'!M52</f>
        <v>0</v>
      </c>
      <c r="O44" s="16">
        <f>'Processos Industriais'!N52</f>
        <v>0</v>
      </c>
      <c r="P44" s="16">
        <f>'Processos Industriais'!O52</f>
        <v>0</v>
      </c>
      <c r="Q44" s="16" t="str">
        <f>IFERROR(IF(F44=$K$21,IF(L44&gt;0,L44*H44/1000,IF(M44&gt;0,M44/1000,(N44+O44*'Fatores de Emissão'!$E$248/1000+P44*'Fatores de Emissão'!$E$249/1000)/1000)),IF(L44&gt;0,H44*L44/1000,H44*K44/1000)),"")</f>
        <v/>
      </c>
    </row>
    <row r="45" spans="4:17" x14ac:dyDescent="0.35">
      <c r="D45" s="16">
        <f>'Processos Industriais'!B53</f>
        <v>0</v>
      </c>
      <c r="E45" s="16">
        <f>'Processos Industriais'!C53</f>
        <v>0</v>
      </c>
      <c r="F45" s="16">
        <f>'Processos Industriais'!D53</f>
        <v>0</v>
      </c>
      <c r="G45" s="16">
        <f>'Processos Industriais'!E53</f>
        <v>0</v>
      </c>
      <c r="H45" s="16">
        <f>'Processos Industriais'!F53</f>
        <v>0</v>
      </c>
      <c r="I45" s="16" t="str">
        <f>'Processos Industriais'!G53</f>
        <v/>
      </c>
      <c r="J45" s="16">
        <f>'Processos Industriais'!H53</f>
        <v>0</v>
      </c>
      <c r="K45" s="16" t="str">
        <f>'Processos Industriais'!I53</f>
        <v/>
      </c>
      <c r="L45" s="16">
        <f>'Processos Industriais'!J53</f>
        <v>0</v>
      </c>
      <c r="M45" s="16">
        <f>'Processos Industriais'!L53</f>
        <v>0</v>
      </c>
      <c r="N45" s="16">
        <f>'Processos Industriais'!M53</f>
        <v>0</v>
      </c>
      <c r="O45" s="16">
        <f>'Processos Industriais'!N53</f>
        <v>0</v>
      </c>
      <c r="P45" s="16">
        <f>'Processos Industriais'!O53</f>
        <v>0</v>
      </c>
      <c r="Q45" s="16" t="str">
        <f>IFERROR(IF(F45=$K$21,IF(L45&gt;0,L45*H45/1000,IF(M45&gt;0,M45/1000,(N45+O45*'Fatores de Emissão'!$E$248/1000+P45*'Fatores de Emissão'!$E$249/1000)/1000)),IF(L45&gt;0,H45*L45/1000,H45*K45/1000)),"")</f>
        <v/>
      </c>
    </row>
    <row r="46" spans="4:17" x14ac:dyDescent="0.35">
      <c r="D46" s="16">
        <f>'Processos Industriais'!B54</f>
        <v>0</v>
      </c>
      <c r="E46" s="16">
        <f>'Processos Industriais'!C54</f>
        <v>0</v>
      </c>
      <c r="F46" s="16">
        <f>'Processos Industriais'!D54</f>
        <v>0</v>
      </c>
      <c r="G46" s="16">
        <f>'Processos Industriais'!E54</f>
        <v>0</v>
      </c>
      <c r="H46" s="16">
        <f>'Processos Industriais'!F54</f>
        <v>0</v>
      </c>
      <c r="I46" s="16" t="str">
        <f>'Processos Industriais'!G54</f>
        <v/>
      </c>
      <c r="J46" s="16">
        <f>'Processos Industriais'!H54</f>
        <v>0</v>
      </c>
      <c r="K46" s="16" t="str">
        <f>'Processos Industriais'!I54</f>
        <v/>
      </c>
      <c r="L46" s="16">
        <f>'Processos Industriais'!J54</f>
        <v>0</v>
      </c>
      <c r="M46" s="16">
        <f>'Processos Industriais'!L54</f>
        <v>0</v>
      </c>
      <c r="N46" s="16">
        <f>'Processos Industriais'!M54</f>
        <v>0</v>
      </c>
      <c r="O46" s="16">
        <f>'Processos Industriais'!N54</f>
        <v>0</v>
      </c>
      <c r="P46" s="16">
        <f>'Processos Industriais'!O54</f>
        <v>0</v>
      </c>
      <c r="Q46" s="16" t="str">
        <f>IFERROR(IF(F46=$K$21,IF(L46&gt;0,L46*H46/1000,IF(M46&gt;0,M46/1000,(N46+O46*'Fatores de Emissão'!$E$248/1000+P46*'Fatores de Emissão'!$E$249/1000)/1000)),IF(L46&gt;0,H46*L46/1000,H46*K46/1000)),"")</f>
        <v/>
      </c>
    </row>
    <row r="47" spans="4:17" x14ac:dyDescent="0.35">
      <c r="D47" s="16">
        <f>'Processos Industriais'!B55</f>
        <v>0</v>
      </c>
      <c r="E47" s="16">
        <f>'Processos Industriais'!C55</f>
        <v>0</v>
      </c>
      <c r="F47" s="16">
        <f>'Processos Industriais'!D55</f>
        <v>0</v>
      </c>
      <c r="G47" s="16">
        <f>'Processos Industriais'!E55</f>
        <v>0</v>
      </c>
      <c r="H47" s="16">
        <f>'Processos Industriais'!F55</f>
        <v>0</v>
      </c>
      <c r="I47" s="16" t="str">
        <f>'Processos Industriais'!G55</f>
        <v/>
      </c>
      <c r="J47" s="16">
        <f>'Processos Industriais'!H55</f>
        <v>0</v>
      </c>
      <c r="K47" s="16" t="str">
        <f>'Processos Industriais'!I55</f>
        <v/>
      </c>
      <c r="L47" s="16">
        <f>'Processos Industriais'!J55</f>
        <v>0</v>
      </c>
      <c r="M47" s="16">
        <f>'Processos Industriais'!L55</f>
        <v>0</v>
      </c>
      <c r="N47" s="16">
        <f>'Processos Industriais'!M55</f>
        <v>0</v>
      </c>
      <c r="O47" s="16">
        <f>'Processos Industriais'!N55</f>
        <v>0</v>
      </c>
      <c r="P47" s="16">
        <f>'Processos Industriais'!O55</f>
        <v>0</v>
      </c>
      <c r="Q47" s="16" t="str">
        <f>IFERROR(IF(F47=$K$21,IF(L47&gt;0,L47*H47/1000,IF(M47&gt;0,M47/1000,(N47+O47*'Fatores de Emissão'!$E$248/1000+P47*'Fatores de Emissão'!$E$249/1000)/1000)),IF(L47&gt;0,H47*L47/1000,H47*K47/1000)),"")</f>
        <v/>
      </c>
    </row>
    <row r="48" spans="4:17" x14ac:dyDescent="0.35">
      <c r="D48" s="16">
        <f>'Processos Industriais'!B56</f>
        <v>0</v>
      </c>
      <c r="E48" s="16">
        <f>'Processos Industriais'!C56</f>
        <v>0</v>
      </c>
      <c r="F48" s="16">
        <f>'Processos Industriais'!D56</f>
        <v>0</v>
      </c>
      <c r="G48" s="16">
        <f>'Processos Industriais'!E56</f>
        <v>0</v>
      </c>
      <c r="H48" s="16">
        <f>'Processos Industriais'!F56</f>
        <v>0</v>
      </c>
      <c r="I48" s="16" t="str">
        <f>'Processos Industriais'!G56</f>
        <v/>
      </c>
      <c r="J48" s="16">
        <f>'Processos Industriais'!H56</f>
        <v>0</v>
      </c>
      <c r="K48" s="16" t="str">
        <f>'Processos Industriais'!I56</f>
        <v/>
      </c>
      <c r="L48" s="16">
        <f>'Processos Industriais'!J56</f>
        <v>0</v>
      </c>
      <c r="M48" s="16">
        <f>'Processos Industriais'!L56</f>
        <v>0</v>
      </c>
      <c r="N48" s="16">
        <f>'Processos Industriais'!M56</f>
        <v>0</v>
      </c>
      <c r="O48" s="16">
        <f>'Processos Industriais'!N56</f>
        <v>0</v>
      </c>
      <c r="P48" s="16">
        <f>'Processos Industriais'!O56</f>
        <v>0</v>
      </c>
      <c r="Q48" s="16" t="str">
        <f>IFERROR(IF(F48=$K$21,IF(L48&gt;0,L48*H48/1000,IF(M48&gt;0,M48/1000,(N48+O48*'Fatores de Emissão'!$E$248/1000+P48*'Fatores de Emissão'!$E$249/1000)/1000)),IF(L48&gt;0,H48*L48/1000,H48*K48/1000)),"")</f>
        <v/>
      </c>
    </row>
    <row r="49" spans="4:17" x14ac:dyDescent="0.35">
      <c r="D49" s="16">
        <f>'Processos Industriais'!B57</f>
        <v>0</v>
      </c>
      <c r="E49" s="16">
        <f>'Processos Industriais'!C57</f>
        <v>0</v>
      </c>
      <c r="F49" s="16">
        <f>'Processos Industriais'!D57</f>
        <v>0</v>
      </c>
      <c r="G49" s="16">
        <f>'Processos Industriais'!E57</f>
        <v>0</v>
      </c>
      <c r="H49" s="16">
        <f>'Processos Industriais'!F57</f>
        <v>0</v>
      </c>
      <c r="I49" s="16" t="str">
        <f>'Processos Industriais'!G57</f>
        <v/>
      </c>
      <c r="J49" s="16">
        <f>'Processos Industriais'!H57</f>
        <v>0</v>
      </c>
      <c r="K49" s="16" t="str">
        <f>'Processos Industriais'!I57</f>
        <v/>
      </c>
      <c r="L49" s="16">
        <f>'Processos Industriais'!J57</f>
        <v>0</v>
      </c>
      <c r="M49" s="16">
        <f>'Processos Industriais'!L57</f>
        <v>0</v>
      </c>
      <c r="N49" s="16">
        <f>'Processos Industriais'!M57</f>
        <v>0</v>
      </c>
      <c r="O49" s="16">
        <f>'Processos Industriais'!N57</f>
        <v>0</v>
      </c>
      <c r="P49" s="16">
        <f>'Processos Industriais'!O57</f>
        <v>0</v>
      </c>
      <c r="Q49" s="16" t="str">
        <f>IFERROR(IF(F49=$K$21,IF(L49&gt;0,L49*H49/1000,IF(M49&gt;0,M49/1000,(N49+O49*'Fatores de Emissão'!$E$248/1000+P49*'Fatores de Emissão'!$E$249/1000)/1000)),IF(L49&gt;0,H49*L49/1000,H49*K49/1000)),"")</f>
        <v/>
      </c>
    </row>
    <row r="50" spans="4:17" x14ac:dyDescent="0.35">
      <c r="D50" s="16">
        <f>'Processos Industriais'!B58</f>
        <v>0</v>
      </c>
      <c r="E50" s="16">
        <f>'Processos Industriais'!C58</f>
        <v>0</v>
      </c>
      <c r="F50" s="16">
        <f>'Processos Industriais'!D58</f>
        <v>0</v>
      </c>
      <c r="G50" s="16">
        <f>'Processos Industriais'!E58</f>
        <v>0</v>
      </c>
      <c r="H50" s="16">
        <f>'Processos Industriais'!F58</f>
        <v>0</v>
      </c>
      <c r="I50" s="16" t="str">
        <f>'Processos Industriais'!G58</f>
        <v/>
      </c>
      <c r="J50" s="16">
        <f>'Processos Industriais'!H58</f>
        <v>0</v>
      </c>
      <c r="K50" s="16" t="str">
        <f>'Processos Industriais'!I58</f>
        <v/>
      </c>
      <c r="L50" s="16">
        <f>'Processos Industriais'!J58</f>
        <v>0</v>
      </c>
      <c r="M50" s="16">
        <f>'Processos Industriais'!L58</f>
        <v>0</v>
      </c>
      <c r="N50" s="16">
        <f>'Processos Industriais'!M58</f>
        <v>0</v>
      </c>
      <c r="O50" s="16">
        <f>'Processos Industriais'!N58</f>
        <v>0</v>
      </c>
      <c r="P50" s="16">
        <f>'Processos Industriais'!O58</f>
        <v>0</v>
      </c>
      <c r="Q50" s="16" t="str">
        <f>IFERROR(IF(F50=$K$21,IF(L50&gt;0,L50*H50/1000,IF(M50&gt;0,M50/1000,(N50+O50*'Fatores de Emissão'!$E$248/1000+P50*'Fatores de Emissão'!$E$249/1000)/1000)),IF(L50&gt;0,H50*L50/1000,H50*K50/1000)),"")</f>
        <v/>
      </c>
    </row>
    <row r="51" spans="4:17" x14ac:dyDescent="0.35">
      <c r="D51" s="16">
        <f>'Processos Industriais'!B59</f>
        <v>0</v>
      </c>
      <c r="E51" s="16">
        <f>'Processos Industriais'!C59</f>
        <v>0</v>
      </c>
      <c r="F51" s="16">
        <f>'Processos Industriais'!D59</f>
        <v>0</v>
      </c>
      <c r="G51" s="16">
        <f>'Processos Industriais'!E59</f>
        <v>0</v>
      </c>
      <c r="H51" s="16">
        <f>'Processos Industriais'!F59</f>
        <v>0</v>
      </c>
      <c r="I51" s="16" t="str">
        <f>'Processos Industriais'!G59</f>
        <v/>
      </c>
      <c r="J51" s="16">
        <f>'Processos Industriais'!H59</f>
        <v>0</v>
      </c>
      <c r="K51" s="16" t="str">
        <f>'Processos Industriais'!I59</f>
        <v/>
      </c>
      <c r="L51" s="16">
        <f>'Processos Industriais'!J59</f>
        <v>0</v>
      </c>
      <c r="M51" s="16">
        <f>'Processos Industriais'!L59</f>
        <v>0</v>
      </c>
      <c r="N51" s="16">
        <f>'Processos Industriais'!M59</f>
        <v>0</v>
      </c>
      <c r="O51" s="16">
        <f>'Processos Industriais'!N59</f>
        <v>0</v>
      </c>
      <c r="P51" s="16">
        <f>'Processos Industriais'!O59</f>
        <v>0</v>
      </c>
      <c r="Q51" s="16" t="str">
        <f>IFERROR(IF(F51=$K$21,IF(L51&gt;0,L51*H51/1000,IF(M51&gt;0,M51/1000,(N51+O51*'Fatores de Emissão'!$E$248/1000+P51*'Fatores de Emissão'!$E$249/1000)/1000)),IF(L51&gt;0,H51*L51/1000,H51*K51/1000)),"")</f>
        <v/>
      </c>
    </row>
    <row r="52" spans="4:17" x14ac:dyDescent="0.35">
      <c r="D52" s="16">
        <f>'Processos Industriais'!B60</f>
        <v>0</v>
      </c>
      <c r="E52" s="16">
        <f>'Processos Industriais'!C60</f>
        <v>0</v>
      </c>
      <c r="F52" s="16">
        <f>'Processos Industriais'!D60</f>
        <v>0</v>
      </c>
      <c r="G52" s="16">
        <f>'Processos Industriais'!E60</f>
        <v>0</v>
      </c>
      <c r="H52" s="16">
        <f>'Processos Industriais'!F60</f>
        <v>0</v>
      </c>
      <c r="I52" s="16" t="str">
        <f>'Processos Industriais'!G60</f>
        <v/>
      </c>
      <c r="J52" s="16">
        <f>'Processos Industriais'!H60</f>
        <v>0</v>
      </c>
      <c r="K52" s="16" t="str">
        <f>'Processos Industriais'!I60</f>
        <v/>
      </c>
      <c r="L52" s="16">
        <f>'Processos Industriais'!J60</f>
        <v>0</v>
      </c>
      <c r="M52" s="16">
        <f>'Processos Industriais'!L60</f>
        <v>0</v>
      </c>
      <c r="N52" s="16">
        <f>'Processos Industriais'!M60</f>
        <v>0</v>
      </c>
      <c r="O52" s="16">
        <f>'Processos Industriais'!N60</f>
        <v>0</v>
      </c>
      <c r="P52" s="16">
        <f>'Processos Industriais'!O60</f>
        <v>0</v>
      </c>
      <c r="Q52" s="16" t="str">
        <f>IFERROR(IF(F52=$K$21,IF(L52&gt;0,L52*H52/1000,IF(M52&gt;0,M52/1000,(N52+O52*'Fatores de Emissão'!$E$248/1000+P52*'Fatores de Emissão'!$E$249/1000)/1000)),IF(L52&gt;0,H52*L52/1000,H52*K52/1000)),"")</f>
        <v/>
      </c>
    </row>
    <row r="53" spans="4:17" x14ac:dyDescent="0.35">
      <c r="D53" s="16">
        <f>'Processos Industriais'!B61</f>
        <v>0</v>
      </c>
      <c r="E53" s="16">
        <f>'Processos Industriais'!C61</f>
        <v>0</v>
      </c>
      <c r="F53" s="16">
        <f>'Processos Industriais'!D61</f>
        <v>0</v>
      </c>
      <c r="G53" s="16">
        <f>'Processos Industriais'!E61</f>
        <v>0</v>
      </c>
      <c r="H53" s="16">
        <f>'Processos Industriais'!F61</f>
        <v>0</v>
      </c>
      <c r="I53" s="16" t="str">
        <f>'Processos Industriais'!G61</f>
        <v/>
      </c>
      <c r="J53" s="16">
        <f>'Processos Industriais'!H61</f>
        <v>0</v>
      </c>
      <c r="K53" s="16" t="str">
        <f>'Processos Industriais'!I61</f>
        <v/>
      </c>
      <c r="L53" s="16">
        <f>'Processos Industriais'!J61</f>
        <v>0</v>
      </c>
      <c r="M53" s="16">
        <f>'Processos Industriais'!L61</f>
        <v>0</v>
      </c>
      <c r="N53" s="16">
        <f>'Processos Industriais'!M61</f>
        <v>0</v>
      </c>
      <c r="O53" s="16">
        <f>'Processos Industriais'!N61</f>
        <v>0</v>
      </c>
      <c r="P53" s="16">
        <f>'Processos Industriais'!O61</f>
        <v>0</v>
      </c>
      <c r="Q53" s="16" t="str">
        <f>IFERROR(IF(F53=$K$21,IF(L53&gt;0,L53*H53/1000,IF(M53&gt;0,M53/1000,(N53+O53*'Fatores de Emissão'!$E$248/1000+P53*'Fatores de Emissão'!$E$249/1000)/1000)),IF(L53&gt;0,H53*L53/1000,H53*K53/1000)),"")</f>
        <v/>
      </c>
    </row>
    <row r="54" spans="4:17" x14ac:dyDescent="0.35">
      <c r="D54" s="16">
        <f>'Processos Industriais'!B62</f>
        <v>0</v>
      </c>
      <c r="E54" s="16">
        <f>'Processos Industriais'!C62</f>
        <v>0</v>
      </c>
      <c r="F54" s="16">
        <f>'Processos Industriais'!D62</f>
        <v>0</v>
      </c>
      <c r="G54" s="16">
        <f>'Processos Industriais'!E62</f>
        <v>0</v>
      </c>
      <c r="H54" s="16">
        <f>'Processos Industriais'!F62</f>
        <v>0</v>
      </c>
      <c r="I54" s="16" t="str">
        <f>'Processos Industriais'!G62</f>
        <v/>
      </c>
      <c r="J54" s="16">
        <f>'Processos Industriais'!H62</f>
        <v>0</v>
      </c>
      <c r="K54" s="16" t="str">
        <f>'Processos Industriais'!I62</f>
        <v/>
      </c>
      <c r="L54" s="16">
        <f>'Processos Industriais'!J62</f>
        <v>0</v>
      </c>
      <c r="M54" s="16">
        <f>'Processos Industriais'!L62</f>
        <v>0</v>
      </c>
      <c r="N54" s="16">
        <f>'Processos Industriais'!M62</f>
        <v>0</v>
      </c>
      <c r="O54" s="16">
        <f>'Processos Industriais'!N62</f>
        <v>0</v>
      </c>
      <c r="P54" s="16">
        <f>'Processos Industriais'!O62</f>
        <v>0</v>
      </c>
      <c r="Q54" s="16" t="str">
        <f>IFERROR(IF(F54=$K$21,IF(L54&gt;0,L54*H54/1000,IF(M54&gt;0,M54/1000,(N54+O54*'Fatores de Emissão'!$E$248/1000+P54*'Fatores de Emissão'!$E$249/1000)/1000)),IF(L54&gt;0,H54*L54/1000,H54*K54/1000)),"")</f>
        <v/>
      </c>
    </row>
    <row r="55" spans="4:17" x14ac:dyDescent="0.35">
      <c r="D55" s="16">
        <f>'Processos Industriais'!B63</f>
        <v>0</v>
      </c>
      <c r="E55" s="16">
        <f>'Processos Industriais'!C63</f>
        <v>0</v>
      </c>
      <c r="F55" s="16">
        <f>'Processos Industriais'!D63</f>
        <v>0</v>
      </c>
      <c r="G55" s="16">
        <f>'Processos Industriais'!E63</f>
        <v>0</v>
      </c>
      <c r="H55" s="16">
        <f>'Processos Industriais'!F63</f>
        <v>0</v>
      </c>
      <c r="I55" s="16" t="str">
        <f>'Processos Industriais'!G63</f>
        <v/>
      </c>
      <c r="J55" s="16">
        <f>'Processos Industriais'!H63</f>
        <v>0</v>
      </c>
      <c r="K55" s="16" t="str">
        <f>'Processos Industriais'!I63</f>
        <v/>
      </c>
      <c r="L55" s="16">
        <f>'Processos Industriais'!J63</f>
        <v>0</v>
      </c>
      <c r="M55" s="16">
        <f>'Processos Industriais'!L63</f>
        <v>0</v>
      </c>
      <c r="N55" s="16">
        <f>'Processos Industriais'!M63</f>
        <v>0</v>
      </c>
      <c r="O55" s="16">
        <f>'Processos Industriais'!N63</f>
        <v>0</v>
      </c>
      <c r="P55" s="16">
        <f>'Processos Industriais'!O63</f>
        <v>0</v>
      </c>
      <c r="Q55" s="16" t="str">
        <f>IFERROR(IF(F55=$K$21,IF(L55&gt;0,L55*H55/1000,IF(M55&gt;0,M55/1000,(N55+O55*'Fatores de Emissão'!$E$248/1000+P55*'Fatores de Emissão'!$E$249/1000)/1000)),IF(L55&gt;0,H55*L55/1000,H55*K55/1000)),"")</f>
        <v/>
      </c>
    </row>
    <row r="56" spans="4:17" x14ac:dyDescent="0.35">
      <c r="D56" s="16">
        <f>'Processos Industriais'!B64</f>
        <v>0</v>
      </c>
      <c r="E56" s="16">
        <f>'Processos Industriais'!C64</f>
        <v>0</v>
      </c>
      <c r="F56" s="16">
        <f>'Processos Industriais'!D64</f>
        <v>0</v>
      </c>
      <c r="G56" s="16">
        <f>'Processos Industriais'!E64</f>
        <v>0</v>
      </c>
      <c r="H56" s="16">
        <f>'Processos Industriais'!F64</f>
        <v>0</v>
      </c>
      <c r="I56" s="16" t="str">
        <f>'Processos Industriais'!G64</f>
        <v/>
      </c>
      <c r="J56" s="16">
        <f>'Processos Industriais'!H64</f>
        <v>0</v>
      </c>
      <c r="K56" s="16" t="str">
        <f>'Processos Industriais'!I64</f>
        <v/>
      </c>
      <c r="L56" s="16">
        <f>'Processos Industriais'!J64</f>
        <v>0</v>
      </c>
      <c r="M56" s="16">
        <f>'Processos Industriais'!L64</f>
        <v>0</v>
      </c>
      <c r="N56" s="16">
        <f>'Processos Industriais'!M64</f>
        <v>0</v>
      </c>
      <c r="O56" s="16">
        <f>'Processos Industriais'!N64</f>
        <v>0</v>
      </c>
      <c r="P56" s="16">
        <f>'Processos Industriais'!O64</f>
        <v>0</v>
      </c>
      <c r="Q56" s="16" t="str">
        <f>IFERROR(IF(F56=$K$21,IF(L56&gt;0,L56*H56/1000,IF(M56&gt;0,M56/1000,(N56+O56*'Fatores de Emissão'!$E$248/1000+P56*'Fatores de Emissão'!$E$249/1000)/1000)),IF(L56&gt;0,H56*L56/1000,H56*K56/1000)),"")</f>
        <v/>
      </c>
    </row>
    <row r="57" spans="4:17" x14ac:dyDescent="0.35">
      <c r="D57" s="16">
        <f>'Processos Industriais'!B65</f>
        <v>0</v>
      </c>
      <c r="E57" s="16">
        <f>'Processos Industriais'!C65</f>
        <v>0</v>
      </c>
      <c r="F57" s="16">
        <f>'Processos Industriais'!D65</f>
        <v>0</v>
      </c>
      <c r="G57" s="16">
        <f>'Processos Industriais'!E65</f>
        <v>0</v>
      </c>
      <c r="H57" s="16">
        <f>'Processos Industriais'!F65</f>
        <v>0</v>
      </c>
      <c r="I57" s="16" t="str">
        <f>'Processos Industriais'!G65</f>
        <v/>
      </c>
      <c r="J57" s="16">
        <f>'Processos Industriais'!H65</f>
        <v>0</v>
      </c>
      <c r="K57" s="16" t="str">
        <f>'Processos Industriais'!I65</f>
        <v/>
      </c>
      <c r="L57" s="16">
        <f>'Processos Industriais'!J65</f>
        <v>0</v>
      </c>
      <c r="M57" s="16">
        <f>'Processos Industriais'!L65</f>
        <v>0</v>
      </c>
      <c r="N57" s="16">
        <f>'Processos Industriais'!M65</f>
        <v>0</v>
      </c>
      <c r="O57" s="16">
        <f>'Processos Industriais'!N65</f>
        <v>0</v>
      </c>
      <c r="P57" s="16">
        <f>'Processos Industriais'!O65</f>
        <v>0</v>
      </c>
      <c r="Q57" s="16" t="str">
        <f>IFERROR(IF(F57=$K$21,IF(L57&gt;0,L57*H57/1000,IF(M57&gt;0,M57/1000,(N57+O57*'Fatores de Emissão'!$E$248/1000+P57*'Fatores de Emissão'!$E$249/1000)/1000)),IF(L57&gt;0,H57*L57/1000,H57*K57/1000)),"")</f>
        <v/>
      </c>
    </row>
    <row r="58" spans="4:17" x14ac:dyDescent="0.35">
      <c r="D58" s="16">
        <f>'Processos Industriais'!B66</f>
        <v>0</v>
      </c>
      <c r="E58" s="16">
        <f>'Processos Industriais'!C66</f>
        <v>0</v>
      </c>
      <c r="F58" s="16">
        <f>'Processos Industriais'!D66</f>
        <v>0</v>
      </c>
      <c r="G58" s="16">
        <f>'Processos Industriais'!E66</f>
        <v>0</v>
      </c>
      <c r="H58" s="16">
        <f>'Processos Industriais'!F66</f>
        <v>0</v>
      </c>
      <c r="I58" s="16" t="str">
        <f>'Processos Industriais'!G66</f>
        <v/>
      </c>
      <c r="J58" s="16">
        <f>'Processos Industriais'!H66</f>
        <v>0</v>
      </c>
      <c r="K58" s="16" t="str">
        <f>'Processos Industriais'!I66</f>
        <v/>
      </c>
      <c r="L58" s="16">
        <f>'Processos Industriais'!J66</f>
        <v>0</v>
      </c>
      <c r="M58" s="16">
        <f>'Processos Industriais'!L66</f>
        <v>0</v>
      </c>
      <c r="N58" s="16">
        <f>'Processos Industriais'!M66</f>
        <v>0</v>
      </c>
      <c r="O58" s="16">
        <f>'Processos Industriais'!N66</f>
        <v>0</v>
      </c>
      <c r="P58" s="16">
        <f>'Processos Industriais'!O66</f>
        <v>0</v>
      </c>
      <c r="Q58" s="16" t="str">
        <f>IFERROR(IF(F58=$K$21,IF(L58&gt;0,L58*H58/1000,IF(M58&gt;0,M58/1000,(N58+O58*'Fatores de Emissão'!$E$248/1000+P58*'Fatores de Emissão'!$E$249/1000)/1000)),IF(L58&gt;0,H58*L58/1000,H58*K58/1000)),"")</f>
        <v/>
      </c>
    </row>
    <row r="59" spans="4:17" x14ac:dyDescent="0.35">
      <c r="D59" s="16">
        <f>'Processos Industriais'!B67</f>
        <v>0</v>
      </c>
      <c r="E59" s="16">
        <f>'Processos Industriais'!C67</f>
        <v>0</v>
      </c>
      <c r="F59" s="16">
        <f>'Processos Industriais'!D67</f>
        <v>0</v>
      </c>
      <c r="G59" s="16">
        <f>'Processos Industriais'!E67</f>
        <v>0</v>
      </c>
      <c r="H59" s="16">
        <f>'Processos Industriais'!F67</f>
        <v>0</v>
      </c>
      <c r="I59" s="16" t="str">
        <f>'Processos Industriais'!G67</f>
        <v/>
      </c>
      <c r="J59" s="16">
        <f>'Processos Industriais'!H67</f>
        <v>0</v>
      </c>
      <c r="K59" s="16" t="str">
        <f>'Processos Industriais'!I67</f>
        <v/>
      </c>
      <c r="L59" s="16">
        <f>'Processos Industriais'!J67</f>
        <v>0</v>
      </c>
      <c r="M59" s="16">
        <f>'Processos Industriais'!L67</f>
        <v>0</v>
      </c>
      <c r="N59" s="16">
        <f>'Processos Industriais'!M67</f>
        <v>0</v>
      </c>
      <c r="O59" s="16">
        <f>'Processos Industriais'!N67</f>
        <v>0</v>
      </c>
      <c r="P59" s="16">
        <f>'Processos Industriais'!O67</f>
        <v>0</v>
      </c>
      <c r="Q59" s="16" t="str">
        <f>IFERROR(IF(F59=$K$21,IF(L59&gt;0,L59*H59/1000,IF(M59&gt;0,M59/1000,(N59+O59*'Fatores de Emissão'!$E$248/1000+P59*'Fatores de Emissão'!$E$249/1000)/1000)),IF(L59&gt;0,H59*L59/1000,H59*K59/1000)),"")</f>
        <v/>
      </c>
    </row>
    <row r="60" spans="4:17" x14ac:dyDescent="0.35">
      <c r="D60" s="16">
        <f>'Processos Industriais'!B68</f>
        <v>0</v>
      </c>
      <c r="E60" s="16">
        <f>'Processos Industriais'!C68</f>
        <v>0</v>
      </c>
      <c r="F60" s="16">
        <f>'Processos Industriais'!D68</f>
        <v>0</v>
      </c>
      <c r="G60" s="16">
        <f>'Processos Industriais'!E68</f>
        <v>0</v>
      </c>
      <c r="H60" s="16">
        <f>'Processos Industriais'!F68</f>
        <v>0</v>
      </c>
      <c r="I60" s="16" t="str">
        <f>'Processos Industriais'!G68</f>
        <v/>
      </c>
      <c r="J60" s="16">
        <f>'Processos Industriais'!H68</f>
        <v>0</v>
      </c>
      <c r="K60" s="16" t="str">
        <f>'Processos Industriais'!I68</f>
        <v/>
      </c>
      <c r="L60" s="16">
        <f>'Processos Industriais'!J68</f>
        <v>0</v>
      </c>
      <c r="M60" s="16">
        <f>'Processos Industriais'!L68</f>
        <v>0</v>
      </c>
      <c r="N60" s="16">
        <f>'Processos Industriais'!M68</f>
        <v>0</v>
      </c>
      <c r="O60" s="16">
        <f>'Processos Industriais'!N68</f>
        <v>0</v>
      </c>
      <c r="P60" s="16">
        <f>'Processos Industriais'!O68</f>
        <v>0</v>
      </c>
      <c r="Q60" s="16" t="str">
        <f>IFERROR(IF(F60=$K$21,IF(L60&gt;0,L60*H60/1000,IF(M60&gt;0,M60/1000,(N60+O60*'Fatores de Emissão'!$E$248/1000+P60*'Fatores de Emissão'!$E$249/1000)/1000)),IF(L60&gt;0,H60*L60/1000,H60*K60/1000)),"")</f>
        <v/>
      </c>
    </row>
    <row r="61" spans="4:17" x14ac:dyDescent="0.35">
      <c r="D61" s="16">
        <f>'Processos Industriais'!B69</f>
        <v>0</v>
      </c>
      <c r="E61" s="16">
        <f>'Processos Industriais'!C69</f>
        <v>0</v>
      </c>
      <c r="F61" s="16">
        <f>'Processos Industriais'!D69</f>
        <v>0</v>
      </c>
      <c r="G61" s="16">
        <f>'Processos Industriais'!E69</f>
        <v>0</v>
      </c>
      <c r="H61" s="16">
        <f>'Processos Industriais'!F69</f>
        <v>0</v>
      </c>
      <c r="I61" s="16" t="str">
        <f>'Processos Industriais'!G69</f>
        <v/>
      </c>
      <c r="J61" s="16">
        <f>'Processos Industriais'!H69</f>
        <v>0</v>
      </c>
      <c r="K61" s="16" t="str">
        <f>'Processos Industriais'!I69</f>
        <v/>
      </c>
      <c r="L61" s="16">
        <f>'Processos Industriais'!J69</f>
        <v>0</v>
      </c>
      <c r="M61" s="16">
        <f>'Processos Industriais'!L69</f>
        <v>0</v>
      </c>
      <c r="N61" s="16">
        <f>'Processos Industriais'!M69</f>
        <v>0</v>
      </c>
      <c r="O61" s="16">
        <f>'Processos Industriais'!N69</f>
        <v>0</v>
      </c>
      <c r="P61" s="16">
        <f>'Processos Industriais'!O69</f>
        <v>0</v>
      </c>
      <c r="Q61" s="16" t="str">
        <f>IFERROR(IF(F61=$K$21,IF(L61&gt;0,L61*H61/1000,IF(M61&gt;0,M61/1000,(N61+O61*'Fatores de Emissão'!$E$248/1000+P61*'Fatores de Emissão'!$E$249/1000)/1000)),IF(L61&gt;0,H61*L61/1000,H61*K61/1000)),"")</f>
        <v/>
      </c>
    </row>
    <row r="62" spans="4:17" x14ac:dyDescent="0.35">
      <c r="D62" s="16">
        <f>'Processos Industriais'!B70</f>
        <v>0</v>
      </c>
      <c r="E62" s="16">
        <f>'Processos Industriais'!C70</f>
        <v>0</v>
      </c>
      <c r="F62" s="16">
        <f>'Processos Industriais'!D70</f>
        <v>0</v>
      </c>
      <c r="G62" s="16">
        <f>'Processos Industriais'!E70</f>
        <v>0</v>
      </c>
      <c r="H62" s="16">
        <f>'Processos Industriais'!F70</f>
        <v>0</v>
      </c>
      <c r="I62" s="16" t="str">
        <f>'Processos Industriais'!G70</f>
        <v/>
      </c>
      <c r="J62" s="16">
        <f>'Processos Industriais'!H70</f>
        <v>0</v>
      </c>
      <c r="K62" s="16" t="str">
        <f>'Processos Industriais'!I70</f>
        <v/>
      </c>
      <c r="L62" s="16">
        <f>'Processos Industriais'!J70</f>
        <v>0</v>
      </c>
      <c r="M62" s="16">
        <f>'Processos Industriais'!L70</f>
        <v>0</v>
      </c>
      <c r="N62" s="16">
        <f>'Processos Industriais'!M70</f>
        <v>0</v>
      </c>
      <c r="O62" s="16">
        <f>'Processos Industriais'!N70</f>
        <v>0</v>
      </c>
      <c r="P62" s="16">
        <f>'Processos Industriais'!O70</f>
        <v>0</v>
      </c>
      <c r="Q62" s="16" t="str">
        <f>IFERROR(IF(F62=$K$21,IF(L62&gt;0,L62*H62/1000,IF(M62&gt;0,M62/1000,(N62+O62*'Fatores de Emissão'!$E$248/1000+P62*'Fatores de Emissão'!$E$249/1000)/1000)),IF(L62&gt;0,H62*L62/1000,H62*K62/1000)),"")</f>
        <v/>
      </c>
    </row>
    <row r="63" spans="4:17" x14ac:dyDescent="0.35">
      <c r="D63" s="16">
        <f>'Processos Industriais'!B71</f>
        <v>0</v>
      </c>
      <c r="E63" s="16">
        <f>'Processos Industriais'!C71</f>
        <v>0</v>
      </c>
      <c r="F63" s="16">
        <f>'Processos Industriais'!D71</f>
        <v>0</v>
      </c>
      <c r="G63" s="16">
        <f>'Processos Industriais'!E71</f>
        <v>0</v>
      </c>
      <c r="H63" s="16">
        <f>'Processos Industriais'!F71</f>
        <v>0</v>
      </c>
      <c r="I63" s="16" t="str">
        <f>'Processos Industriais'!G71</f>
        <v/>
      </c>
      <c r="J63" s="16">
        <f>'Processos Industriais'!H71</f>
        <v>0</v>
      </c>
      <c r="K63" s="16" t="str">
        <f>'Processos Industriais'!I71</f>
        <v/>
      </c>
      <c r="L63" s="16">
        <f>'Processos Industriais'!J71</f>
        <v>0</v>
      </c>
      <c r="M63" s="16">
        <f>'Processos Industriais'!L71</f>
        <v>0</v>
      </c>
      <c r="N63" s="16">
        <f>'Processos Industriais'!M71</f>
        <v>0</v>
      </c>
      <c r="O63" s="16">
        <f>'Processos Industriais'!N71</f>
        <v>0</v>
      </c>
      <c r="P63" s="16">
        <f>'Processos Industriais'!O71</f>
        <v>0</v>
      </c>
      <c r="Q63" s="16" t="str">
        <f>IFERROR(IF(F63=$K$21,IF(L63&gt;0,L63*H63/1000,IF(M63&gt;0,M63/1000,(N63+O63*'Fatores de Emissão'!$E$248/1000+P63*'Fatores de Emissão'!$E$249/1000)/1000)),IF(L63&gt;0,H63*L63/1000,H63*K63/1000)),"")</f>
        <v/>
      </c>
    </row>
    <row r="64" spans="4:17" x14ac:dyDescent="0.35">
      <c r="D64" s="16">
        <f>'Processos Industriais'!B72</f>
        <v>0</v>
      </c>
      <c r="E64" s="16">
        <f>'Processos Industriais'!C72</f>
        <v>0</v>
      </c>
      <c r="F64" s="16">
        <f>'Processos Industriais'!D72</f>
        <v>0</v>
      </c>
      <c r="G64" s="16">
        <f>'Processos Industriais'!E72</f>
        <v>0</v>
      </c>
      <c r="H64" s="16">
        <f>'Processos Industriais'!F72</f>
        <v>0</v>
      </c>
      <c r="I64" s="16" t="str">
        <f>'Processos Industriais'!G72</f>
        <v/>
      </c>
      <c r="J64" s="16">
        <f>'Processos Industriais'!H72</f>
        <v>0</v>
      </c>
      <c r="K64" s="16" t="str">
        <f>'Processos Industriais'!I72</f>
        <v/>
      </c>
      <c r="L64" s="16">
        <f>'Processos Industriais'!J72</f>
        <v>0</v>
      </c>
      <c r="M64" s="16">
        <f>'Processos Industriais'!L72</f>
        <v>0</v>
      </c>
      <c r="N64" s="16">
        <f>'Processos Industriais'!M72</f>
        <v>0</v>
      </c>
      <c r="O64" s="16">
        <f>'Processos Industriais'!N72</f>
        <v>0</v>
      </c>
      <c r="P64" s="16">
        <f>'Processos Industriais'!O72</f>
        <v>0</v>
      </c>
      <c r="Q64" s="16" t="str">
        <f>IFERROR(IF(F64=$K$21,IF(L64&gt;0,L64*H64/1000,IF(M64&gt;0,M64/1000,(N64+O64*'Fatores de Emissão'!$E$248/1000+P64*'Fatores de Emissão'!$E$249/1000)/1000)),IF(L64&gt;0,H64*L64/1000,H64*K64/1000)),"")</f>
        <v/>
      </c>
    </row>
    <row r="65" spans="4:17" x14ac:dyDescent="0.35">
      <c r="D65" s="16">
        <f>'Processos Industriais'!B73</f>
        <v>0</v>
      </c>
      <c r="E65" s="16">
        <f>'Processos Industriais'!C73</f>
        <v>0</v>
      </c>
      <c r="F65" s="16">
        <f>'Processos Industriais'!D73</f>
        <v>0</v>
      </c>
      <c r="G65" s="16">
        <f>'Processos Industriais'!E73</f>
        <v>0</v>
      </c>
      <c r="H65" s="16">
        <f>'Processos Industriais'!F73</f>
        <v>0</v>
      </c>
      <c r="I65" s="16" t="str">
        <f>'Processos Industriais'!G73</f>
        <v/>
      </c>
      <c r="J65" s="16">
        <f>'Processos Industriais'!H73</f>
        <v>0</v>
      </c>
      <c r="K65" s="16" t="str">
        <f>'Processos Industriais'!I73</f>
        <v/>
      </c>
      <c r="L65" s="16">
        <f>'Processos Industriais'!J73</f>
        <v>0</v>
      </c>
      <c r="M65" s="16">
        <f>'Processos Industriais'!L73</f>
        <v>0</v>
      </c>
      <c r="N65" s="16">
        <f>'Processos Industriais'!M73</f>
        <v>0</v>
      </c>
      <c r="O65" s="16">
        <f>'Processos Industriais'!N73</f>
        <v>0</v>
      </c>
      <c r="P65" s="16">
        <f>'Processos Industriais'!O73</f>
        <v>0</v>
      </c>
      <c r="Q65" s="16" t="str">
        <f>IFERROR(IF(F65=$K$21,IF(L65&gt;0,L65*H65/1000,IF(M65&gt;0,M65/1000,(N65+O65*'Fatores de Emissão'!$E$248/1000+P65*'Fatores de Emissão'!$E$249/1000)/1000)),IF(L65&gt;0,H65*L65/1000,H65*K65/1000)),"")</f>
        <v/>
      </c>
    </row>
    <row r="66" spans="4:17" x14ac:dyDescent="0.35">
      <c r="D66" s="16">
        <f>'Processos Industriais'!B74</f>
        <v>0</v>
      </c>
      <c r="E66" s="16">
        <f>'Processos Industriais'!C74</f>
        <v>0</v>
      </c>
      <c r="F66" s="16">
        <f>'Processos Industriais'!D74</f>
        <v>0</v>
      </c>
      <c r="G66" s="16">
        <f>'Processos Industriais'!E74</f>
        <v>0</v>
      </c>
      <c r="H66" s="16">
        <f>'Processos Industriais'!F74</f>
        <v>0</v>
      </c>
      <c r="I66" s="16" t="str">
        <f>'Processos Industriais'!G74</f>
        <v/>
      </c>
      <c r="J66" s="16">
        <f>'Processos Industriais'!H74</f>
        <v>0</v>
      </c>
      <c r="K66" s="16" t="str">
        <f>'Processos Industriais'!I74</f>
        <v/>
      </c>
      <c r="L66" s="16">
        <f>'Processos Industriais'!J74</f>
        <v>0</v>
      </c>
      <c r="M66" s="16">
        <f>'Processos Industriais'!L74</f>
        <v>0</v>
      </c>
      <c r="N66" s="16">
        <f>'Processos Industriais'!M74</f>
        <v>0</v>
      </c>
      <c r="O66" s="16">
        <f>'Processos Industriais'!N74</f>
        <v>0</v>
      </c>
      <c r="P66" s="16">
        <f>'Processos Industriais'!O74</f>
        <v>0</v>
      </c>
      <c r="Q66" s="16" t="str">
        <f>IFERROR(IF(F66=$K$21,IF(L66&gt;0,L66*H66/1000,IF(M66&gt;0,M66/1000,(N66+O66*'Fatores de Emissão'!$E$248/1000+P66*'Fatores de Emissão'!$E$249/1000)/1000)),IF(L66&gt;0,H66*L66/1000,H66*K66/1000)),"")</f>
        <v/>
      </c>
    </row>
    <row r="67" spans="4:17" x14ac:dyDescent="0.35">
      <c r="D67" s="16">
        <f>'Processos Industriais'!B75</f>
        <v>0</v>
      </c>
      <c r="E67" s="16">
        <f>'Processos Industriais'!C75</f>
        <v>0</v>
      </c>
      <c r="F67" s="16">
        <f>'Processos Industriais'!D75</f>
        <v>0</v>
      </c>
      <c r="G67" s="16">
        <f>'Processos Industriais'!E75</f>
        <v>0</v>
      </c>
      <c r="H67" s="16">
        <f>'Processos Industriais'!F75</f>
        <v>0</v>
      </c>
      <c r="I67" s="16" t="str">
        <f>'Processos Industriais'!G75</f>
        <v/>
      </c>
      <c r="J67" s="16">
        <f>'Processos Industriais'!H75</f>
        <v>0</v>
      </c>
      <c r="K67" s="16" t="str">
        <f>'Processos Industriais'!I75</f>
        <v/>
      </c>
      <c r="L67" s="16">
        <f>'Processos Industriais'!J75</f>
        <v>0</v>
      </c>
      <c r="M67" s="16">
        <f>'Processos Industriais'!L75</f>
        <v>0</v>
      </c>
      <c r="N67" s="16">
        <f>'Processos Industriais'!M75</f>
        <v>0</v>
      </c>
      <c r="O67" s="16">
        <f>'Processos Industriais'!N75</f>
        <v>0</v>
      </c>
      <c r="P67" s="16">
        <f>'Processos Industriais'!O75</f>
        <v>0</v>
      </c>
      <c r="Q67" s="16" t="str">
        <f>IFERROR(IF(F67=$K$21,IF(L67&gt;0,L67*H67/1000,IF(M67&gt;0,M67/1000,(N67+O67*'Fatores de Emissão'!$E$248/1000+P67*'Fatores de Emissão'!$E$249/1000)/1000)),IF(L67&gt;0,H67*L67/1000,H67*K67/1000)),"")</f>
        <v/>
      </c>
    </row>
    <row r="68" spans="4:17" x14ac:dyDescent="0.35">
      <c r="D68" s="16">
        <f>'Processos Industriais'!B76</f>
        <v>0</v>
      </c>
      <c r="E68" s="16">
        <f>'Processos Industriais'!C76</f>
        <v>0</v>
      </c>
      <c r="F68" s="16">
        <f>'Processos Industriais'!D76</f>
        <v>0</v>
      </c>
      <c r="G68" s="16">
        <f>'Processos Industriais'!E76</f>
        <v>0</v>
      </c>
      <c r="H68" s="16">
        <f>'Processos Industriais'!F76</f>
        <v>0</v>
      </c>
      <c r="I68" s="16" t="str">
        <f>'Processos Industriais'!G76</f>
        <v/>
      </c>
      <c r="J68" s="16">
        <f>'Processos Industriais'!H76</f>
        <v>0</v>
      </c>
      <c r="K68" s="16" t="str">
        <f>'Processos Industriais'!I76</f>
        <v/>
      </c>
      <c r="L68" s="16">
        <f>'Processos Industriais'!J76</f>
        <v>0</v>
      </c>
      <c r="M68" s="16">
        <f>'Processos Industriais'!L76</f>
        <v>0</v>
      </c>
      <c r="N68" s="16">
        <f>'Processos Industriais'!M76</f>
        <v>0</v>
      </c>
      <c r="O68" s="16">
        <f>'Processos Industriais'!N76</f>
        <v>0</v>
      </c>
      <c r="P68" s="16">
        <f>'Processos Industriais'!O76</f>
        <v>0</v>
      </c>
      <c r="Q68" s="16" t="str">
        <f>IFERROR(IF(F68=$K$21,IF(L68&gt;0,L68*H68/1000,IF(M68&gt;0,M68/1000,(N68+O68*'Fatores de Emissão'!$E$248/1000+P68*'Fatores de Emissão'!$E$249/1000)/1000)),IF(L68&gt;0,H68*L68/1000,H68*K68/1000)),"")</f>
        <v/>
      </c>
    </row>
    <row r="69" spans="4:17" x14ac:dyDescent="0.35">
      <c r="D69" s="16">
        <f>'Processos Industriais'!B77</f>
        <v>0</v>
      </c>
      <c r="E69" s="16">
        <f>'Processos Industriais'!C77</f>
        <v>0</v>
      </c>
      <c r="F69" s="16">
        <f>'Processos Industriais'!D77</f>
        <v>0</v>
      </c>
      <c r="G69" s="16">
        <f>'Processos Industriais'!E77</f>
        <v>0</v>
      </c>
      <c r="H69" s="16">
        <f>'Processos Industriais'!F77</f>
        <v>0</v>
      </c>
      <c r="I69" s="16" t="str">
        <f>'Processos Industriais'!G77</f>
        <v/>
      </c>
      <c r="J69" s="16">
        <f>'Processos Industriais'!H77</f>
        <v>0</v>
      </c>
      <c r="K69" s="16" t="str">
        <f>'Processos Industriais'!I77</f>
        <v/>
      </c>
      <c r="L69" s="16">
        <f>'Processos Industriais'!J77</f>
        <v>0</v>
      </c>
      <c r="M69" s="16">
        <f>'Processos Industriais'!L77</f>
        <v>0</v>
      </c>
      <c r="N69" s="16">
        <f>'Processos Industriais'!M77</f>
        <v>0</v>
      </c>
      <c r="O69" s="16">
        <f>'Processos Industriais'!N77</f>
        <v>0</v>
      </c>
      <c r="P69" s="16">
        <f>'Processos Industriais'!O77</f>
        <v>0</v>
      </c>
      <c r="Q69" s="16" t="str">
        <f>IFERROR(IF(F69=$K$21,IF(L69&gt;0,L69*H69/1000,IF(M69&gt;0,M69/1000,(N69+O69*'Fatores de Emissão'!$E$248/1000+P69*'Fatores de Emissão'!$E$249/1000)/1000)),IF(L69&gt;0,H69*L69/1000,H69*K69/1000)),"")</f>
        <v/>
      </c>
    </row>
    <row r="70" spans="4:17" x14ac:dyDescent="0.35">
      <c r="D70" s="16">
        <f>'Processos Industriais'!B78</f>
        <v>0</v>
      </c>
      <c r="E70" s="16">
        <f>'Processos Industriais'!C78</f>
        <v>0</v>
      </c>
      <c r="F70" s="16">
        <f>'Processos Industriais'!D78</f>
        <v>0</v>
      </c>
      <c r="G70" s="16">
        <f>'Processos Industriais'!E78</f>
        <v>0</v>
      </c>
      <c r="H70" s="16">
        <f>'Processos Industriais'!F78</f>
        <v>0</v>
      </c>
      <c r="I70" s="16" t="str">
        <f>'Processos Industriais'!G78</f>
        <v/>
      </c>
      <c r="J70" s="16">
        <f>'Processos Industriais'!H78</f>
        <v>0</v>
      </c>
      <c r="K70" s="16" t="str">
        <f>'Processos Industriais'!I78</f>
        <v/>
      </c>
      <c r="L70" s="16">
        <f>'Processos Industriais'!J78</f>
        <v>0</v>
      </c>
      <c r="M70" s="16">
        <f>'Processos Industriais'!L78</f>
        <v>0</v>
      </c>
      <c r="N70" s="16">
        <f>'Processos Industriais'!M78</f>
        <v>0</v>
      </c>
      <c r="O70" s="16">
        <f>'Processos Industriais'!N78</f>
        <v>0</v>
      </c>
      <c r="P70" s="16">
        <f>'Processos Industriais'!O78</f>
        <v>0</v>
      </c>
      <c r="Q70" s="16" t="str">
        <f>IFERROR(IF(F70=$K$21,IF(L70&gt;0,L70*H70/1000,IF(M70&gt;0,M70/1000,(N70+O70*'Fatores de Emissão'!$E$248/1000+P70*'Fatores de Emissão'!$E$249/1000)/1000)),IF(L70&gt;0,H70*L70/1000,H70*K70/1000)),"")</f>
        <v/>
      </c>
    </row>
    <row r="71" spans="4:17" x14ac:dyDescent="0.35">
      <c r="D71" s="16">
        <f>'Processos Industriais'!B79</f>
        <v>0</v>
      </c>
      <c r="E71" s="16">
        <f>'Processos Industriais'!C79</f>
        <v>0</v>
      </c>
      <c r="F71" s="16">
        <f>'Processos Industriais'!D79</f>
        <v>0</v>
      </c>
      <c r="G71" s="16">
        <f>'Processos Industriais'!E79</f>
        <v>0</v>
      </c>
      <c r="H71" s="16">
        <f>'Processos Industriais'!F79</f>
        <v>0</v>
      </c>
      <c r="I71" s="16" t="str">
        <f>'Processos Industriais'!G79</f>
        <v/>
      </c>
      <c r="J71" s="16">
        <f>'Processos Industriais'!H79</f>
        <v>0</v>
      </c>
      <c r="K71" s="16" t="str">
        <f>'Processos Industriais'!I79</f>
        <v/>
      </c>
      <c r="L71" s="16">
        <f>'Processos Industriais'!J79</f>
        <v>0</v>
      </c>
      <c r="M71" s="16">
        <f>'Processos Industriais'!L79</f>
        <v>0</v>
      </c>
      <c r="N71" s="16">
        <f>'Processos Industriais'!M79</f>
        <v>0</v>
      </c>
      <c r="O71" s="16">
        <f>'Processos Industriais'!N79</f>
        <v>0</v>
      </c>
      <c r="P71" s="16">
        <f>'Processos Industriais'!O79</f>
        <v>0</v>
      </c>
      <c r="Q71" s="16" t="str">
        <f>IFERROR(IF(F71=$K$21,IF(L71&gt;0,L71*H71/1000,IF(M71&gt;0,M71/1000,(N71+O71*'Fatores de Emissão'!$E$248/1000+P71*'Fatores de Emissão'!$E$249/1000)/1000)),IF(L71&gt;0,H71*L71/1000,H71*K71/1000)),"")</f>
        <v/>
      </c>
    </row>
    <row r="72" spans="4:17" x14ac:dyDescent="0.35">
      <c r="D72" s="16">
        <f>'Processos Industriais'!B80</f>
        <v>0</v>
      </c>
      <c r="E72" s="16">
        <f>'Processos Industriais'!C80</f>
        <v>0</v>
      </c>
      <c r="F72" s="16">
        <f>'Processos Industriais'!D80</f>
        <v>0</v>
      </c>
      <c r="G72" s="16">
        <f>'Processos Industriais'!E80</f>
        <v>0</v>
      </c>
      <c r="H72" s="16">
        <f>'Processos Industriais'!F80</f>
        <v>0</v>
      </c>
      <c r="I72" s="16" t="str">
        <f>'Processos Industriais'!G80</f>
        <v/>
      </c>
      <c r="J72" s="16">
        <f>'Processos Industriais'!H80</f>
        <v>0</v>
      </c>
      <c r="K72" s="16" t="str">
        <f>'Processos Industriais'!I80</f>
        <v/>
      </c>
      <c r="L72" s="16">
        <f>'Processos Industriais'!J80</f>
        <v>0</v>
      </c>
      <c r="M72" s="16">
        <f>'Processos Industriais'!L80</f>
        <v>0</v>
      </c>
      <c r="N72" s="16">
        <f>'Processos Industriais'!M80</f>
        <v>0</v>
      </c>
      <c r="O72" s="16">
        <f>'Processos Industriais'!N80</f>
        <v>0</v>
      </c>
      <c r="P72" s="16">
        <f>'Processos Industriais'!O80</f>
        <v>0</v>
      </c>
      <c r="Q72" s="16" t="str">
        <f>IFERROR(IF(F72=$K$21,IF(L72&gt;0,L72*H72/1000,IF(M72&gt;0,M72/1000,(N72+O72*'Fatores de Emissão'!$E$248/1000+P72*'Fatores de Emissão'!$E$249/1000)/1000)),IF(L72&gt;0,H72*L72/1000,H72*K72/1000)),"")</f>
        <v/>
      </c>
    </row>
    <row r="73" spans="4:17" x14ac:dyDescent="0.35">
      <c r="D73" s="16">
        <f>'Processos Industriais'!B81</f>
        <v>0</v>
      </c>
      <c r="E73" s="16">
        <f>'Processos Industriais'!C81</f>
        <v>0</v>
      </c>
      <c r="F73" s="16">
        <f>'Processos Industriais'!D81</f>
        <v>0</v>
      </c>
      <c r="G73" s="16">
        <f>'Processos Industriais'!E81</f>
        <v>0</v>
      </c>
      <c r="H73" s="16">
        <f>'Processos Industriais'!F81</f>
        <v>0</v>
      </c>
      <c r="I73" s="16" t="str">
        <f>'Processos Industriais'!G81</f>
        <v/>
      </c>
      <c r="J73" s="16">
        <f>'Processos Industriais'!H81</f>
        <v>0</v>
      </c>
      <c r="K73" s="16" t="str">
        <f>'Processos Industriais'!I81</f>
        <v/>
      </c>
      <c r="L73" s="16">
        <f>'Processos Industriais'!J81</f>
        <v>0</v>
      </c>
      <c r="M73" s="16">
        <f>'Processos Industriais'!L81</f>
        <v>0</v>
      </c>
      <c r="N73" s="16">
        <f>'Processos Industriais'!M81</f>
        <v>0</v>
      </c>
      <c r="O73" s="16">
        <f>'Processos Industriais'!N81</f>
        <v>0</v>
      </c>
      <c r="P73" s="16">
        <f>'Processos Industriais'!O81</f>
        <v>0</v>
      </c>
      <c r="Q73" s="16" t="str">
        <f>IFERROR(IF(F73=$K$21,IF(L73&gt;0,L73*H73/1000,IF(M73&gt;0,M73/1000,(N73+O73*'Fatores de Emissão'!$E$248/1000+P73*'Fatores de Emissão'!$E$249/1000)/1000)),IF(L73&gt;0,H73*L73/1000,H73*K73/1000)),"")</f>
        <v/>
      </c>
    </row>
    <row r="74" spans="4:17" x14ac:dyDescent="0.35">
      <c r="D74" s="16">
        <f>'Processos Industriais'!B82</f>
        <v>0</v>
      </c>
      <c r="E74" s="16">
        <f>'Processos Industriais'!C82</f>
        <v>0</v>
      </c>
      <c r="F74" s="16">
        <f>'Processos Industriais'!D82</f>
        <v>0</v>
      </c>
      <c r="G74" s="16">
        <f>'Processos Industriais'!E82</f>
        <v>0</v>
      </c>
      <c r="H74" s="16">
        <f>'Processos Industriais'!F82</f>
        <v>0</v>
      </c>
      <c r="I74" s="16" t="str">
        <f>'Processos Industriais'!G82</f>
        <v/>
      </c>
      <c r="J74" s="16">
        <f>'Processos Industriais'!H82</f>
        <v>0</v>
      </c>
      <c r="K74" s="16" t="str">
        <f>'Processos Industriais'!I82</f>
        <v/>
      </c>
      <c r="L74" s="16">
        <f>'Processos Industriais'!J82</f>
        <v>0</v>
      </c>
      <c r="M74" s="16">
        <f>'Processos Industriais'!L82</f>
        <v>0</v>
      </c>
      <c r="N74" s="16">
        <f>'Processos Industriais'!M82</f>
        <v>0</v>
      </c>
      <c r="O74" s="16">
        <f>'Processos Industriais'!N82</f>
        <v>0</v>
      </c>
      <c r="P74" s="16">
        <f>'Processos Industriais'!O82</f>
        <v>0</v>
      </c>
      <c r="Q74" s="16" t="str">
        <f>IFERROR(IF(F74=$K$21,IF(L74&gt;0,L74*H74/1000,IF(M74&gt;0,M74/1000,(N74+O74*'Fatores de Emissão'!$E$248/1000+P74*'Fatores de Emissão'!$E$249/1000)/1000)),IF(L74&gt;0,H74*L74/1000,H74*K74/1000)),"")</f>
        <v/>
      </c>
    </row>
    <row r="75" spans="4:17" x14ac:dyDescent="0.35">
      <c r="D75" s="16">
        <f>'Processos Industriais'!B83</f>
        <v>0</v>
      </c>
      <c r="E75" s="16">
        <f>'Processos Industriais'!C83</f>
        <v>0</v>
      </c>
      <c r="F75" s="16">
        <f>'Processos Industriais'!D83</f>
        <v>0</v>
      </c>
      <c r="G75" s="16">
        <f>'Processos Industriais'!E83</f>
        <v>0</v>
      </c>
      <c r="H75" s="16">
        <f>'Processos Industriais'!F83</f>
        <v>0</v>
      </c>
      <c r="I75" s="16" t="str">
        <f>'Processos Industriais'!G83</f>
        <v/>
      </c>
      <c r="J75" s="16">
        <f>'Processos Industriais'!H83</f>
        <v>0</v>
      </c>
      <c r="K75" s="16" t="str">
        <f>'Processos Industriais'!I83</f>
        <v/>
      </c>
      <c r="L75" s="16">
        <f>'Processos Industriais'!J83</f>
        <v>0</v>
      </c>
      <c r="M75" s="16">
        <f>'Processos Industriais'!L83</f>
        <v>0</v>
      </c>
      <c r="N75" s="16">
        <f>'Processos Industriais'!M83</f>
        <v>0</v>
      </c>
      <c r="O75" s="16">
        <f>'Processos Industriais'!N83</f>
        <v>0</v>
      </c>
      <c r="P75" s="16">
        <f>'Processos Industriais'!O83</f>
        <v>0</v>
      </c>
      <c r="Q75" s="16" t="str">
        <f>IFERROR(IF(F75=$K$21,IF(L75&gt;0,L75*H75/1000,IF(M75&gt;0,M75/1000,(N75+O75*'Fatores de Emissão'!$E$248/1000+P75*'Fatores de Emissão'!$E$249/1000)/1000)),IF(L75&gt;0,H75*L75/1000,H75*K75/1000)),"")</f>
        <v/>
      </c>
    </row>
    <row r="76" spans="4:17" x14ac:dyDescent="0.35">
      <c r="D76" s="16">
        <f>'Processos Industriais'!B84</f>
        <v>0</v>
      </c>
      <c r="E76" s="16">
        <f>'Processos Industriais'!C84</f>
        <v>0</v>
      </c>
      <c r="F76" s="16">
        <f>'Processos Industriais'!D84</f>
        <v>0</v>
      </c>
      <c r="G76" s="16">
        <f>'Processos Industriais'!E84</f>
        <v>0</v>
      </c>
      <c r="H76" s="16">
        <f>'Processos Industriais'!F84</f>
        <v>0</v>
      </c>
      <c r="I76" s="16" t="str">
        <f>'Processos Industriais'!G84</f>
        <v/>
      </c>
      <c r="J76" s="16">
        <f>'Processos Industriais'!H84</f>
        <v>0</v>
      </c>
      <c r="K76" s="16" t="str">
        <f>'Processos Industriais'!I84</f>
        <v/>
      </c>
      <c r="L76" s="16">
        <f>'Processos Industriais'!J84</f>
        <v>0</v>
      </c>
      <c r="M76" s="16">
        <f>'Processos Industriais'!L84</f>
        <v>0</v>
      </c>
      <c r="N76" s="16">
        <f>'Processos Industriais'!M84</f>
        <v>0</v>
      </c>
      <c r="O76" s="16">
        <f>'Processos Industriais'!N84</f>
        <v>0</v>
      </c>
      <c r="P76" s="16">
        <f>'Processos Industriais'!O84</f>
        <v>0</v>
      </c>
      <c r="Q76" s="16" t="str">
        <f>IFERROR(IF(F76=$K$21,IF(L76&gt;0,L76*H76/1000,IF(M76&gt;0,M76/1000,(N76+O76*'Fatores de Emissão'!$E$248/1000+P76*'Fatores de Emissão'!$E$249/1000)/1000)),IF(L76&gt;0,H76*L76/1000,H76*K76/1000)),"")</f>
        <v/>
      </c>
    </row>
    <row r="77" spans="4:17" x14ac:dyDescent="0.35">
      <c r="D77" s="16">
        <f>'Processos Industriais'!B85</f>
        <v>0</v>
      </c>
      <c r="E77" s="16">
        <f>'Processos Industriais'!C85</f>
        <v>0</v>
      </c>
      <c r="F77" s="16">
        <f>'Processos Industriais'!D85</f>
        <v>0</v>
      </c>
      <c r="G77" s="16">
        <f>'Processos Industriais'!E85</f>
        <v>0</v>
      </c>
      <c r="H77" s="16">
        <f>'Processos Industriais'!F85</f>
        <v>0</v>
      </c>
      <c r="I77" s="16" t="str">
        <f>'Processos Industriais'!G85</f>
        <v/>
      </c>
      <c r="J77" s="16">
        <f>'Processos Industriais'!H85</f>
        <v>0</v>
      </c>
      <c r="K77" s="16" t="str">
        <f>'Processos Industriais'!I85</f>
        <v/>
      </c>
      <c r="L77" s="16">
        <f>'Processos Industriais'!J85</f>
        <v>0</v>
      </c>
      <c r="M77" s="16">
        <f>'Processos Industriais'!L85</f>
        <v>0</v>
      </c>
      <c r="N77" s="16">
        <f>'Processos Industriais'!M85</f>
        <v>0</v>
      </c>
      <c r="O77" s="16">
        <f>'Processos Industriais'!N85</f>
        <v>0</v>
      </c>
      <c r="P77" s="16">
        <f>'Processos Industriais'!O85</f>
        <v>0</v>
      </c>
      <c r="Q77" s="16" t="str">
        <f>IFERROR(IF(F77=$K$21,IF(L77&gt;0,L77*H77/1000,IF(M77&gt;0,M77/1000,(N77+O77*'Fatores de Emissão'!$E$248/1000+P77*'Fatores de Emissão'!$E$249/1000)/1000)),IF(L77&gt;0,H77*L77/1000,H77*K77/1000)),"")</f>
        <v/>
      </c>
    </row>
    <row r="78" spans="4:17" x14ac:dyDescent="0.35">
      <c r="D78" s="16">
        <f>'Processos Industriais'!B86</f>
        <v>0</v>
      </c>
      <c r="E78" s="16">
        <f>'Processos Industriais'!C86</f>
        <v>0</v>
      </c>
      <c r="F78" s="16">
        <f>'Processos Industriais'!D86</f>
        <v>0</v>
      </c>
      <c r="G78" s="16">
        <f>'Processos Industriais'!E86</f>
        <v>0</v>
      </c>
      <c r="H78" s="16">
        <f>'Processos Industriais'!F86</f>
        <v>0</v>
      </c>
      <c r="I78" s="16" t="str">
        <f>'Processos Industriais'!G86</f>
        <v/>
      </c>
      <c r="J78" s="16">
        <f>'Processos Industriais'!H86</f>
        <v>0</v>
      </c>
      <c r="K78" s="16" t="str">
        <f>'Processos Industriais'!I86</f>
        <v/>
      </c>
      <c r="L78" s="16">
        <f>'Processos Industriais'!J86</f>
        <v>0</v>
      </c>
      <c r="M78" s="16">
        <f>'Processos Industriais'!L86</f>
        <v>0</v>
      </c>
      <c r="N78" s="16">
        <f>'Processos Industriais'!M86</f>
        <v>0</v>
      </c>
      <c r="O78" s="16">
        <f>'Processos Industriais'!N86</f>
        <v>0</v>
      </c>
      <c r="P78" s="16">
        <f>'Processos Industriais'!O86</f>
        <v>0</v>
      </c>
      <c r="Q78" s="16" t="str">
        <f>IFERROR(IF(F78=$K$21,IF(L78&gt;0,L78*H78/1000,IF(M78&gt;0,M78/1000,(N78+O78*'Fatores de Emissão'!$E$248/1000+P78*'Fatores de Emissão'!$E$249/1000)/1000)),IF(L78&gt;0,H78*L78/1000,H78*K78/1000)),"")</f>
        <v/>
      </c>
    </row>
    <row r="79" spans="4:17" x14ac:dyDescent="0.35">
      <c r="D79" s="16">
        <f>'Processos Industriais'!B87</f>
        <v>0</v>
      </c>
      <c r="E79" s="16">
        <f>'Processos Industriais'!C87</f>
        <v>0</v>
      </c>
      <c r="F79" s="16">
        <f>'Processos Industriais'!D87</f>
        <v>0</v>
      </c>
      <c r="G79" s="16">
        <f>'Processos Industriais'!E87</f>
        <v>0</v>
      </c>
      <c r="H79" s="16">
        <f>'Processos Industriais'!F87</f>
        <v>0</v>
      </c>
      <c r="I79" s="16" t="str">
        <f>'Processos Industriais'!G87</f>
        <v/>
      </c>
      <c r="J79" s="16">
        <f>'Processos Industriais'!H87</f>
        <v>0</v>
      </c>
      <c r="K79" s="16" t="str">
        <f>'Processos Industriais'!I87</f>
        <v/>
      </c>
      <c r="L79" s="16">
        <f>'Processos Industriais'!J87</f>
        <v>0</v>
      </c>
      <c r="M79" s="16">
        <f>'Processos Industriais'!L87</f>
        <v>0</v>
      </c>
      <c r="N79" s="16">
        <f>'Processos Industriais'!M87</f>
        <v>0</v>
      </c>
      <c r="O79" s="16">
        <f>'Processos Industriais'!N87</f>
        <v>0</v>
      </c>
      <c r="P79" s="16">
        <f>'Processos Industriais'!O87</f>
        <v>0</v>
      </c>
      <c r="Q79" s="16" t="str">
        <f>IFERROR(IF(F79=$K$21,IF(L79&gt;0,L79*H79/1000,IF(M79&gt;0,M79/1000,(N79+O79*'Fatores de Emissão'!$E$248/1000+P79*'Fatores de Emissão'!$E$249/1000)/1000)),IF(L79&gt;0,H79*L79/1000,H79*K79/1000)),"")</f>
        <v/>
      </c>
    </row>
    <row r="80" spans="4:17" x14ac:dyDescent="0.35">
      <c r="D80" s="16">
        <f>'Processos Industriais'!B88</f>
        <v>0</v>
      </c>
      <c r="E80" s="16">
        <f>'Processos Industriais'!C88</f>
        <v>0</v>
      </c>
      <c r="F80" s="16">
        <f>'Processos Industriais'!D88</f>
        <v>0</v>
      </c>
      <c r="G80" s="16">
        <f>'Processos Industriais'!E88</f>
        <v>0</v>
      </c>
      <c r="H80" s="16">
        <f>'Processos Industriais'!F88</f>
        <v>0</v>
      </c>
      <c r="I80" s="16" t="str">
        <f>'Processos Industriais'!G88</f>
        <v/>
      </c>
      <c r="J80" s="16">
        <f>'Processos Industriais'!H88</f>
        <v>0</v>
      </c>
      <c r="K80" s="16" t="str">
        <f>'Processos Industriais'!I88</f>
        <v/>
      </c>
      <c r="L80" s="16">
        <f>'Processos Industriais'!J88</f>
        <v>0</v>
      </c>
      <c r="M80" s="16">
        <f>'Processos Industriais'!L88</f>
        <v>0</v>
      </c>
      <c r="N80" s="16">
        <f>'Processos Industriais'!M88</f>
        <v>0</v>
      </c>
      <c r="O80" s="16">
        <f>'Processos Industriais'!N88</f>
        <v>0</v>
      </c>
      <c r="P80" s="16">
        <f>'Processos Industriais'!O88</f>
        <v>0</v>
      </c>
      <c r="Q80" s="16" t="str">
        <f>IFERROR(IF(F80=$K$21,IF(L80&gt;0,L80*H80/1000,IF(M80&gt;0,M80/1000,(N80+O80*'Fatores de Emissão'!$E$248/1000+P80*'Fatores de Emissão'!$E$249/1000)/1000)),IF(L80&gt;0,H80*L80/1000,H80*K80/1000)),"")</f>
        <v/>
      </c>
    </row>
    <row r="81" spans="4:17" x14ac:dyDescent="0.35">
      <c r="D81" s="16">
        <f>'Processos Industriais'!B89</f>
        <v>0</v>
      </c>
      <c r="E81" s="16">
        <f>'Processos Industriais'!C89</f>
        <v>0</v>
      </c>
      <c r="F81" s="16">
        <f>'Processos Industriais'!D89</f>
        <v>0</v>
      </c>
      <c r="G81" s="16">
        <f>'Processos Industriais'!E89</f>
        <v>0</v>
      </c>
      <c r="H81" s="16">
        <f>'Processos Industriais'!F89</f>
        <v>0</v>
      </c>
      <c r="I81" s="16" t="str">
        <f>'Processos Industriais'!G89</f>
        <v/>
      </c>
      <c r="J81" s="16">
        <f>'Processos Industriais'!H89</f>
        <v>0</v>
      </c>
      <c r="K81" s="16" t="str">
        <f>'Processos Industriais'!I89</f>
        <v/>
      </c>
      <c r="L81" s="16">
        <f>'Processos Industriais'!J89</f>
        <v>0</v>
      </c>
      <c r="M81" s="16">
        <f>'Processos Industriais'!L89</f>
        <v>0</v>
      </c>
      <c r="N81" s="16">
        <f>'Processos Industriais'!M89</f>
        <v>0</v>
      </c>
      <c r="O81" s="16">
        <f>'Processos Industriais'!N89</f>
        <v>0</v>
      </c>
      <c r="P81" s="16">
        <f>'Processos Industriais'!O89</f>
        <v>0</v>
      </c>
      <c r="Q81" s="16" t="str">
        <f>IFERROR(IF(F81=$K$21,IF(L81&gt;0,L81*H81/1000,IF(M81&gt;0,M81/1000,(N81+O81*'Fatores de Emissão'!$E$248/1000+P81*'Fatores de Emissão'!$E$249/1000)/1000)),IF(L81&gt;0,H81*L81/1000,H81*K81/1000)),"")</f>
        <v/>
      </c>
    </row>
    <row r="82" spans="4:17" x14ac:dyDescent="0.35">
      <c r="D82" s="16">
        <f>'Processos Industriais'!B90</f>
        <v>0</v>
      </c>
      <c r="E82" s="16">
        <f>'Processos Industriais'!C90</f>
        <v>0</v>
      </c>
      <c r="F82" s="16">
        <f>'Processos Industriais'!D90</f>
        <v>0</v>
      </c>
      <c r="G82" s="16">
        <f>'Processos Industriais'!E90</f>
        <v>0</v>
      </c>
      <c r="H82" s="16">
        <f>'Processos Industriais'!F90</f>
        <v>0</v>
      </c>
      <c r="I82" s="16" t="str">
        <f>'Processos Industriais'!G90</f>
        <v/>
      </c>
      <c r="J82" s="16">
        <f>'Processos Industriais'!H90</f>
        <v>0</v>
      </c>
      <c r="K82" s="16" t="str">
        <f>'Processos Industriais'!I90</f>
        <v/>
      </c>
      <c r="L82" s="16">
        <f>'Processos Industriais'!J90</f>
        <v>0</v>
      </c>
      <c r="M82" s="16">
        <f>'Processos Industriais'!L90</f>
        <v>0</v>
      </c>
      <c r="N82" s="16">
        <f>'Processos Industriais'!M90</f>
        <v>0</v>
      </c>
      <c r="O82" s="16">
        <f>'Processos Industriais'!N90</f>
        <v>0</v>
      </c>
      <c r="P82" s="16">
        <f>'Processos Industriais'!O90</f>
        <v>0</v>
      </c>
      <c r="Q82" s="16" t="str">
        <f>IFERROR(IF(F82=$K$21,IF(L82&gt;0,L82*H82/1000,IF(M82&gt;0,M82/1000,(N82+O82*'Fatores de Emissão'!$E$248/1000+P82*'Fatores de Emissão'!$E$249/1000)/1000)),IF(L82&gt;0,H82*L82/1000,H82*K82/1000)),"")</f>
        <v/>
      </c>
    </row>
    <row r="83" spans="4:17" x14ac:dyDescent="0.35">
      <c r="D83" s="16">
        <f>'Processos Industriais'!B91</f>
        <v>0</v>
      </c>
      <c r="E83" s="16">
        <f>'Processos Industriais'!C91</f>
        <v>0</v>
      </c>
      <c r="F83" s="16">
        <f>'Processos Industriais'!D91</f>
        <v>0</v>
      </c>
      <c r="G83" s="16">
        <f>'Processos Industriais'!E91</f>
        <v>0</v>
      </c>
      <c r="H83" s="16">
        <f>'Processos Industriais'!F91</f>
        <v>0</v>
      </c>
      <c r="I83" s="16" t="str">
        <f>'Processos Industriais'!G91</f>
        <v/>
      </c>
      <c r="J83" s="16">
        <f>'Processos Industriais'!H91</f>
        <v>0</v>
      </c>
      <c r="K83" s="16" t="str">
        <f>'Processos Industriais'!I91</f>
        <v/>
      </c>
      <c r="L83" s="16">
        <f>'Processos Industriais'!J91</f>
        <v>0</v>
      </c>
      <c r="M83" s="16">
        <f>'Processos Industriais'!L91</f>
        <v>0</v>
      </c>
      <c r="N83" s="16">
        <f>'Processos Industriais'!M91</f>
        <v>0</v>
      </c>
      <c r="O83" s="16">
        <f>'Processos Industriais'!N91</f>
        <v>0</v>
      </c>
      <c r="P83" s="16">
        <f>'Processos Industriais'!O91</f>
        <v>0</v>
      </c>
      <c r="Q83" s="16" t="str">
        <f>IFERROR(IF(F83=$K$21,IF(L83&gt;0,L83*H83/1000,IF(M83&gt;0,M83/1000,(N83+O83*'Fatores de Emissão'!$E$248/1000+P83*'Fatores de Emissão'!$E$249/1000)/1000)),IF(L83&gt;0,H83*L83/1000,H83*K83/1000)),"")</f>
        <v/>
      </c>
    </row>
    <row r="84" spans="4:17" x14ac:dyDescent="0.35">
      <c r="D84" s="16">
        <f>'Processos Industriais'!B92</f>
        <v>0</v>
      </c>
      <c r="E84" s="16">
        <f>'Processos Industriais'!C92</f>
        <v>0</v>
      </c>
      <c r="F84" s="16">
        <f>'Processos Industriais'!D92</f>
        <v>0</v>
      </c>
      <c r="G84" s="16">
        <f>'Processos Industriais'!E92</f>
        <v>0</v>
      </c>
      <c r="H84" s="16">
        <f>'Processos Industriais'!F92</f>
        <v>0</v>
      </c>
      <c r="I84" s="16" t="str">
        <f>'Processos Industriais'!G92</f>
        <v/>
      </c>
      <c r="J84" s="16">
        <f>'Processos Industriais'!H92</f>
        <v>0</v>
      </c>
      <c r="K84" s="16" t="str">
        <f>'Processos Industriais'!I92</f>
        <v/>
      </c>
      <c r="L84" s="16">
        <f>'Processos Industriais'!J92</f>
        <v>0</v>
      </c>
      <c r="M84" s="16">
        <f>'Processos Industriais'!L92</f>
        <v>0</v>
      </c>
      <c r="N84" s="16">
        <f>'Processos Industriais'!M92</f>
        <v>0</v>
      </c>
      <c r="O84" s="16">
        <f>'Processos Industriais'!N92</f>
        <v>0</v>
      </c>
      <c r="P84" s="16">
        <f>'Processos Industriais'!O92</f>
        <v>0</v>
      </c>
      <c r="Q84" s="16" t="str">
        <f>IFERROR(IF(F84=$K$21,IF(L84&gt;0,L84*H84/1000,IF(M84&gt;0,M84/1000,(N84+O84*'Fatores de Emissão'!$E$248/1000+P84*'Fatores de Emissão'!$E$249/1000)/1000)),IF(L84&gt;0,H84*L84/1000,H84*K84/1000)),"")</f>
        <v/>
      </c>
    </row>
    <row r="85" spans="4:17" x14ac:dyDescent="0.35">
      <c r="D85" s="16">
        <f>'Processos Industriais'!B93</f>
        <v>0</v>
      </c>
      <c r="E85" s="16">
        <f>'Processos Industriais'!C93</f>
        <v>0</v>
      </c>
      <c r="F85" s="16">
        <f>'Processos Industriais'!D93</f>
        <v>0</v>
      </c>
      <c r="G85" s="16">
        <f>'Processos Industriais'!E93</f>
        <v>0</v>
      </c>
      <c r="H85" s="16">
        <f>'Processos Industriais'!F93</f>
        <v>0</v>
      </c>
      <c r="I85" s="16" t="str">
        <f>'Processos Industriais'!G93</f>
        <v/>
      </c>
      <c r="J85" s="16">
        <f>'Processos Industriais'!H93</f>
        <v>0</v>
      </c>
      <c r="K85" s="16" t="str">
        <f>'Processos Industriais'!I93</f>
        <v/>
      </c>
      <c r="L85" s="16">
        <f>'Processos Industriais'!J93</f>
        <v>0</v>
      </c>
      <c r="M85" s="16">
        <f>'Processos Industriais'!L93</f>
        <v>0</v>
      </c>
      <c r="N85" s="16">
        <f>'Processos Industriais'!M93</f>
        <v>0</v>
      </c>
      <c r="O85" s="16">
        <f>'Processos Industriais'!N93</f>
        <v>0</v>
      </c>
      <c r="P85" s="16">
        <f>'Processos Industriais'!O93</f>
        <v>0</v>
      </c>
      <c r="Q85" s="16" t="str">
        <f>IFERROR(IF(F85=$K$21,IF(L85&gt;0,L85*H85/1000,IF(M85&gt;0,M85/1000,(N85+O85*'Fatores de Emissão'!$E$248/1000+P85*'Fatores de Emissão'!$E$249/1000)/1000)),IF(L85&gt;0,H85*L85/1000,H85*K85/1000)),"")</f>
        <v/>
      </c>
    </row>
    <row r="86" spans="4:17" x14ac:dyDescent="0.35">
      <c r="D86" s="16">
        <f>'Processos Industriais'!B94</f>
        <v>0</v>
      </c>
      <c r="E86" s="16">
        <f>'Processos Industriais'!C94</f>
        <v>0</v>
      </c>
      <c r="F86" s="16">
        <f>'Processos Industriais'!D94</f>
        <v>0</v>
      </c>
      <c r="G86" s="16">
        <f>'Processos Industriais'!E94</f>
        <v>0</v>
      </c>
      <c r="H86" s="16">
        <f>'Processos Industriais'!F94</f>
        <v>0</v>
      </c>
      <c r="I86" s="16" t="str">
        <f>'Processos Industriais'!G94</f>
        <v/>
      </c>
      <c r="J86" s="16">
        <f>'Processos Industriais'!H94</f>
        <v>0</v>
      </c>
      <c r="K86" s="16" t="str">
        <f>'Processos Industriais'!I94</f>
        <v/>
      </c>
      <c r="L86" s="16">
        <f>'Processos Industriais'!J94</f>
        <v>0</v>
      </c>
      <c r="M86" s="16">
        <f>'Processos Industriais'!L94</f>
        <v>0</v>
      </c>
      <c r="N86" s="16">
        <f>'Processos Industriais'!M94</f>
        <v>0</v>
      </c>
      <c r="O86" s="16">
        <f>'Processos Industriais'!N94</f>
        <v>0</v>
      </c>
      <c r="P86" s="16">
        <f>'Processos Industriais'!O94</f>
        <v>0</v>
      </c>
      <c r="Q86" s="16" t="str">
        <f>IFERROR(IF(F86=$K$21,IF(L86&gt;0,L86*H86/1000,IF(M86&gt;0,M86/1000,(N86+O86*'Fatores de Emissão'!$E$248/1000+P86*'Fatores de Emissão'!$E$249/1000)/1000)),IF(L86&gt;0,H86*L86/1000,H86*K86/1000)),"")</f>
        <v/>
      </c>
    </row>
    <row r="87" spans="4:17" x14ac:dyDescent="0.35">
      <c r="D87" s="16">
        <f>'Processos Industriais'!B95</f>
        <v>0</v>
      </c>
      <c r="E87" s="16">
        <f>'Processos Industriais'!C95</f>
        <v>0</v>
      </c>
      <c r="F87" s="16">
        <f>'Processos Industriais'!D95</f>
        <v>0</v>
      </c>
      <c r="G87" s="16">
        <f>'Processos Industriais'!E95</f>
        <v>0</v>
      </c>
      <c r="H87" s="16">
        <f>'Processos Industriais'!F95</f>
        <v>0</v>
      </c>
      <c r="I87" s="16" t="str">
        <f>'Processos Industriais'!G95</f>
        <v/>
      </c>
      <c r="J87" s="16">
        <f>'Processos Industriais'!H95</f>
        <v>0</v>
      </c>
      <c r="K87" s="16" t="str">
        <f>'Processos Industriais'!I95</f>
        <v/>
      </c>
      <c r="L87" s="16">
        <f>'Processos Industriais'!J95</f>
        <v>0</v>
      </c>
      <c r="M87" s="16">
        <f>'Processos Industriais'!L95</f>
        <v>0</v>
      </c>
      <c r="N87" s="16">
        <f>'Processos Industriais'!M95</f>
        <v>0</v>
      </c>
      <c r="O87" s="16">
        <f>'Processos Industriais'!N95</f>
        <v>0</v>
      </c>
      <c r="P87" s="16">
        <f>'Processos Industriais'!O95</f>
        <v>0</v>
      </c>
      <c r="Q87" s="16" t="str">
        <f>IFERROR(IF(F87=$K$21,IF(L87&gt;0,L87*H87/1000,IF(M87&gt;0,M87/1000,(N87+O87*'Fatores de Emissão'!$E$248/1000+P87*'Fatores de Emissão'!$E$249/1000)/1000)),IF(L87&gt;0,H87*L87/1000,H87*K87/1000)),"")</f>
        <v/>
      </c>
    </row>
    <row r="88" spans="4:17" x14ac:dyDescent="0.35">
      <c r="D88" s="16">
        <f>'Processos Industriais'!B96</f>
        <v>0</v>
      </c>
      <c r="E88" s="16">
        <f>'Processos Industriais'!C96</f>
        <v>0</v>
      </c>
      <c r="F88" s="16">
        <f>'Processos Industriais'!D96</f>
        <v>0</v>
      </c>
      <c r="G88" s="16">
        <f>'Processos Industriais'!E96</f>
        <v>0</v>
      </c>
      <c r="H88" s="16">
        <f>'Processos Industriais'!F96</f>
        <v>0</v>
      </c>
      <c r="I88" s="16" t="str">
        <f>'Processos Industriais'!G96</f>
        <v/>
      </c>
      <c r="J88" s="16">
        <f>'Processos Industriais'!H96</f>
        <v>0</v>
      </c>
      <c r="K88" s="16" t="str">
        <f>'Processos Industriais'!I96</f>
        <v/>
      </c>
      <c r="L88" s="16">
        <f>'Processos Industriais'!J96</f>
        <v>0</v>
      </c>
      <c r="M88" s="16">
        <f>'Processos Industriais'!L96</f>
        <v>0</v>
      </c>
      <c r="N88" s="16">
        <f>'Processos Industriais'!M96</f>
        <v>0</v>
      </c>
      <c r="O88" s="16">
        <f>'Processos Industriais'!N96</f>
        <v>0</v>
      </c>
      <c r="P88" s="16">
        <f>'Processos Industriais'!O96</f>
        <v>0</v>
      </c>
      <c r="Q88" s="16" t="str">
        <f>IFERROR(IF(F88=$K$21,IF(L88&gt;0,L88*H88/1000,IF(M88&gt;0,M88/1000,(N88+O88*'Fatores de Emissão'!$E$248/1000+P88*'Fatores de Emissão'!$E$249/1000)/1000)),IF(L88&gt;0,H88*L88/1000,H88*K88/1000)),"")</f>
        <v/>
      </c>
    </row>
    <row r="89" spans="4:17" x14ac:dyDescent="0.35">
      <c r="D89" s="16">
        <f>'Processos Industriais'!B97</f>
        <v>0</v>
      </c>
      <c r="E89" s="16">
        <f>'Processos Industriais'!C97</f>
        <v>0</v>
      </c>
      <c r="F89" s="16">
        <f>'Processos Industriais'!D97</f>
        <v>0</v>
      </c>
      <c r="G89" s="16">
        <f>'Processos Industriais'!E97</f>
        <v>0</v>
      </c>
      <c r="H89" s="16">
        <f>'Processos Industriais'!F97</f>
        <v>0</v>
      </c>
      <c r="I89" s="16" t="str">
        <f>'Processos Industriais'!G97</f>
        <v/>
      </c>
      <c r="J89" s="16">
        <f>'Processos Industriais'!H97</f>
        <v>0</v>
      </c>
      <c r="K89" s="16" t="str">
        <f>'Processos Industriais'!I97</f>
        <v/>
      </c>
      <c r="L89" s="16">
        <f>'Processos Industriais'!J97</f>
        <v>0</v>
      </c>
      <c r="M89" s="16">
        <f>'Processos Industriais'!L97</f>
        <v>0</v>
      </c>
      <c r="N89" s="16">
        <f>'Processos Industriais'!M97</f>
        <v>0</v>
      </c>
      <c r="O89" s="16">
        <f>'Processos Industriais'!N97</f>
        <v>0</v>
      </c>
      <c r="P89" s="16">
        <f>'Processos Industriais'!O97</f>
        <v>0</v>
      </c>
      <c r="Q89" s="16" t="str">
        <f>IFERROR(IF(F89=$K$21,IF(L89&gt;0,L89*H89/1000,IF(M89&gt;0,M89/1000,(N89+O89*'Fatores de Emissão'!$E$248/1000+P89*'Fatores de Emissão'!$E$249/1000)/1000)),IF(L89&gt;0,H89*L89/1000,H89*K89/1000)),"")</f>
        <v/>
      </c>
    </row>
    <row r="90" spans="4:17" x14ac:dyDescent="0.35">
      <c r="D90" s="16">
        <f>'Processos Industriais'!B98</f>
        <v>0</v>
      </c>
      <c r="E90" s="16">
        <f>'Processos Industriais'!C98</f>
        <v>0</v>
      </c>
      <c r="F90" s="16">
        <f>'Processos Industriais'!D98</f>
        <v>0</v>
      </c>
      <c r="G90" s="16">
        <f>'Processos Industriais'!E98</f>
        <v>0</v>
      </c>
      <c r="H90" s="16">
        <f>'Processos Industriais'!F98</f>
        <v>0</v>
      </c>
      <c r="I90" s="16" t="str">
        <f>'Processos Industriais'!G98</f>
        <v/>
      </c>
      <c r="J90" s="16">
        <f>'Processos Industriais'!H98</f>
        <v>0</v>
      </c>
      <c r="K90" s="16" t="str">
        <f>'Processos Industriais'!I98</f>
        <v/>
      </c>
      <c r="L90" s="16">
        <f>'Processos Industriais'!J98</f>
        <v>0</v>
      </c>
      <c r="M90" s="16">
        <f>'Processos Industriais'!L98</f>
        <v>0</v>
      </c>
      <c r="N90" s="16">
        <f>'Processos Industriais'!M98</f>
        <v>0</v>
      </c>
      <c r="O90" s="16">
        <f>'Processos Industriais'!N98</f>
        <v>0</v>
      </c>
      <c r="P90" s="16">
        <f>'Processos Industriais'!O98</f>
        <v>0</v>
      </c>
      <c r="Q90" s="16" t="str">
        <f>IFERROR(IF(F90=$K$21,IF(L90&gt;0,L90*H90/1000,IF(M90&gt;0,M90/1000,(N90+O90*'Fatores de Emissão'!$E$248/1000+P90*'Fatores de Emissão'!$E$249/1000)/1000)),IF(L90&gt;0,H90*L90/1000,H90*K90/1000)),"")</f>
        <v/>
      </c>
    </row>
    <row r="91" spans="4:17" x14ac:dyDescent="0.35">
      <c r="D91" s="16">
        <f>'Processos Industriais'!B99</f>
        <v>0</v>
      </c>
      <c r="E91" s="16">
        <f>'Processos Industriais'!C99</f>
        <v>0</v>
      </c>
      <c r="F91" s="16">
        <f>'Processos Industriais'!D99</f>
        <v>0</v>
      </c>
      <c r="G91" s="16">
        <f>'Processos Industriais'!E99</f>
        <v>0</v>
      </c>
      <c r="H91" s="16">
        <f>'Processos Industriais'!F99</f>
        <v>0</v>
      </c>
      <c r="I91" s="16" t="str">
        <f>'Processos Industriais'!G99</f>
        <v/>
      </c>
      <c r="J91" s="16">
        <f>'Processos Industriais'!H99</f>
        <v>0</v>
      </c>
      <c r="K91" s="16" t="str">
        <f>'Processos Industriais'!I99</f>
        <v/>
      </c>
      <c r="L91" s="16">
        <f>'Processos Industriais'!J99</f>
        <v>0</v>
      </c>
      <c r="M91" s="16">
        <f>'Processos Industriais'!L99</f>
        <v>0</v>
      </c>
      <c r="N91" s="16">
        <f>'Processos Industriais'!M99</f>
        <v>0</v>
      </c>
      <c r="O91" s="16">
        <f>'Processos Industriais'!N99</f>
        <v>0</v>
      </c>
      <c r="P91" s="16">
        <f>'Processos Industriais'!O99</f>
        <v>0</v>
      </c>
      <c r="Q91" s="16" t="str">
        <f>IFERROR(IF(F91=$K$21,IF(L91&gt;0,L91*H91/1000,IF(M91&gt;0,M91/1000,(N91+O91*'Fatores de Emissão'!$E$248/1000+P91*'Fatores de Emissão'!$E$249/1000)/1000)),IF(L91&gt;0,H91*L91/1000,H91*K91/1000)),"")</f>
        <v/>
      </c>
    </row>
    <row r="92" spans="4:17" x14ac:dyDescent="0.35">
      <c r="D92" s="16">
        <f>'Processos Industriais'!B100</f>
        <v>0</v>
      </c>
      <c r="E92" s="16">
        <f>'Processos Industriais'!C100</f>
        <v>0</v>
      </c>
      <c r="F92" s="16">
        <f>'Processos Industriais'!D100</f>
        <v>0</v>
      </c>
      <c r="G92" s="16">
        <f>'Processos Industriais'!E100</f>
        <v>0</v>
      </c>
      <c r="H92" s="16">
        <f>'Processos Industriais'!F100</f>
        <v>0</v>
      </c>
      <c r="I92" s="16" t="str">
        <f>'Processos Industriais'!G100</f>
        <v/>
      </c>
      <c r="J92" s="16">
        <f>'Processos Industriais'!H100</f>
        <v>0</v>
      </c>
      <c r="K92" s="16" t="str">
        <f>'Processos Industriais'!I100</f>
        <v/>
      </c>
      <c r="L92" s="16">
        <f>'Processos Industriais'!J100</f>
        <v>0</v>
      </c>
      <c r="M92" s="16">
        <f>'Processos Industriais'!L100</f>
        <v>0</v>
      </c>
      <c r="N92" s="16">
        <f>'Processos Industriais'!M100</f>
        <v>0</v>
      </c>
      <c r="O92" s="16">
        <f>'Processos Industriais'!N100</f>
        <v>0</v>
      </c>
      <c r="P92" s="16">
        <f>'Processos Industriais'!O100</f>
        <v>0</v>
      </c>
      <c r="Q92" s="16" t="str">
        <f>IFERROR(IF(F92=$K$21,IF(L92&gt;0,L92*H92/1000,IF(M92&gt;0,M92/1000,(N92+O92*'Fatores de Emissão'!$E$248/1000+P92*'Fatores de Emissão'!$E$249/1000)/1000)),IF(L92&gt;0,H92*L92/1000,H92*K92/1000)),"")</f>
        <v/>
      </c>
    </row>
    <row r="93" spans="4:17" x14ac:dyDescent="0.35">
      <c r="D93" s="16">
        <f>'Processos Industriais'!B101</f>
        <v>0</v>
      </c>
      <c r="E93" s="16">
        <f>'Processos Industriais'!C101</f>
        <v>0</v>
      </c>
      <c r="F93" s="16">
        <f>'Processos Industriais'!D101</f>
        <v>0</v>
      </c>
      <c r="G93" s="16">
        <f>'Processos Industriais'!E101</f>
        <v>0</v>
      </c>
      <c r="H93" s="16">
        <f>'Processos Industriais'!F101</f>
        <v>0</v>
      </c>
      <c r="I93" s="16" t="str">
        <f>'Processos Industriais'!G101</f>
        <v/>
      </c>
      <c r="J93" s="16">
        <f>'Processos Industriais'!H101</f>
        <v>0</v>
      </c>
      <c r="K93" s="16" t="str">
        <f>'Processos Industriais'!I101</f>
        <v/>
      </c>
      <c r="L93" s="16">
        <f>'Processos Industriais'!J101</f>
        <v>0</v>
      </c>
      <c r="M93" s="16">
        <f>'Processos Industriais'!L101</f>
        <v>0</v>
      </c>
      <c r="N93" s="16">
        <f>'Processos Industriais'!M101</f>
        <v>0</v>
      </c>
      <c r="O93" s="16">
        <f>'Processos Industriais'!N101</f>
        <v>0</v>
      </c>
      <c r="P93" s="16">
        <f>'Processos Industriais'!O101</f>
        <v>0</v>
      </c>
      <c r="Q93" s="16" t="str">
        <f>IFERROR(IF(F93=$K$21,IF(L93&gt;0,L93*H93/1000,IF(M93&gt;0,M93/1000,(N93+O93*'Fatores de Emissão'!$E$248/1000+P93*'Fatores de Emissão'!$E$249/1000)/1000)),IF(L93&gt;0,H93*L93/1000,H93*K93/1000)),"")</f>
        <v/>
      </c>
    </row>
    <row r="94" spans="4:17" x14ac:dyDescent="0.35">
      <c r="D94" s="16">
        <f>'Processos Industriais'!B102</f>
        <v>0</v>
      </c>
      <c r="E94" s="16">
        <f>'Processos Industriais'!C102</f>
        <v>0</v>
      </c>
      <c r="F94" s="16">
        <f>'Processos Industriais'!D102</f>
        <v>0</v>
      </c>
      <c r="G94" s="16">
        <f>'Processos Industriais'!E102</f>
        <v>0</v>
      </c>
      <c r="H94" s="16">
        <f>'Processos Industriais'!F102</f>
        <v>0</v>
      </c>
      <c r="I94" s="16" t="str">
        <f>'Processos Industriais'!G102</f>
        <v/>
      </c>
      <c r="J94" s="16">
        <f>'Processos Industriais'!H102</f>
        <v>0</v>
      </c>
      <c r="K94" s="16" t="str">
        <f>'Processos Industriais'!I102</f>
        <v/>
      </c>
      <c r="L94" s="16">
        <f>'Processos Industriais'!J102</f>
        <v>0</v>
      </c>
      <c r="M94" s="16">
        <f>'Processos Industriais'!L102</f>
        <v>0</v>
      </c>
      <c r="N94" s="16">
        <f>'Processos Industriais'!M102</f>
        <v>0</v>
      </c>
      <c r="O94" s="16">
        <f>'Processos Industriais'!N102</f>
        <v>0</v>
      </c>
      <c r="P94" s="16">
        <f>'Processos Industriais'!O102</f>
        <v>0</v>
      </c>
      <c r="Q94" s="16" t="str">
        <f>IFERROR(IF(F94=$K$21,IF(L94&gt;0,L94*H94/1000,IF(M94&gt;0,M94/1000,(N94+O94*'Fatores de Emissão'!$E$248/1000+P94*'Fatores de Emissão'!$E$249/1000)/1000)),IF(L94&gt;0,H94*L94/1000,H94*K94/1000)),"")</f>
        <v/>
      </c>
    </row>
    <row r="95" spans="4:17" x14ac:dyDescent="0.35">
      <c r="D95" s="16">
        <f>'Processos Industriais'!B103</f>
        <v>0</v>
      </c>
      <c r="E95" s="16">
        <f>'Processos Industriais'!C103</f>
        <v>0</v>
      </c>
      <c r="F95" s="16">
        <f>'Processos Industriais'!D103</f>
        <v>0</v>
      </c>
      <c r="G95" s="16">
        <f>'Processos Industriais'!E103</f>
        <v>0</v>
      </c>
      <c r="H95" s="16">
        <f>'Processos Industriais'!F103</f>
        <v>0</v>
      </c>
      <c r="I95" s="16" t="str">
        <f>'Processos Industriais'!G103</f>
        <v/>
      </c>
      <c r="J95" s="16">
        <f>'Processos Industriais'!H103</f>
        <v>0</v>
      </c>
      <c r="K95" s="16" t="str">
        <f>'Processos Industriais'!I103</f>
        <v/>
      </c>
      <c r="L95" s="16">
        <f>'Processos Industriais'!J103</f>
        <v>0</v>
      </c>
      <c r="M95" s="16">
        <f>'Processos Industriais'!L103</f>
        <v>0</v>
      </c>
      <c r="N95" s="16">
        <f>'Processos Industriais'!M103</f>
        <v>0</v>
      </c>
      <c r="O95" s="16">
        <f>'Processos Industriais'!N103</f>
        <v>0</v>
      </c>
      <c r="P95" s="16">
        <f>'Processos Industriais'!O103</f>
        <v>0</v>
      </c>
      <c r="Q95" s="16" t="str">
        <f>IFERROR(IF(F95=$K$21,IF(L95&gt;0,L95*H95/1000,IF(M95&gt;0,M95/1000,(N95+O95*'Fatores de Emissão'!$E$248/1000+P95*'Fatores de Emissão'!$E$249/1000)/1000)),IF(L95&gt;0,H95*L95/1000,H95*K95/1000)),"")</f>
        <v/>
      </c>
    </row>
    <row r="96" spans="4:17" x14ac:dyDescent="0.35">
      <c r="D96" s="16">
        <f>'Processos Industriais'!B104</f>
        <v>0</v>
      </c>
      <c r="E96" s="16">
        <f>'Processos Industriais'!C104</f>
        <v>0</v>
      </c>
      <c r="F96" s="16">
        <f>'Processos Industriais'!D104</f>
        <v>0</v>
      </c>
      <c r="G96" s="16">
        <f>'Processos Industriais'!E104</f>
        <v>0</v>
      </c>
      <c r="H96" s="16">
        <f>'Processos Industriais'!F104</f>
        <v>0</v>
      </c>
      <c r="I96" s="16" t="str">
        <f>'Processos Industriais'!G104</f>
        <v/>
      </c>
      <c r="J96" s="16">
        <f>'Processos Industriais'!H104</f>
        <v>0</v>
      </c>
      <c r="K96" s="16" t="str">
        <f>'Processos Industriais'!I104</f>
        <v/>
      </c>
      <c r="L96" s="16">
        <f>'Processos Industriais'!J104</f>
        <v>0</v>
      </c>
      <c r="M96" s="16">
        <f>'Processos Industriais'!L104</f>
        <v>0</v>
      </c>
      <c r="N96" s="16">
        <f>'Processos Industriais'!M104</f>
        <v>0</v>
      </c>
      <c r="O96" s="16">
        <f>'Processos Industriais'!N104</f>
        <v>0</v>
      </c>
      <c r="P96" s="16">
        <f>'Processos Industriais'!O104</f>
        <v>0</v>
      </c>
      <c r="Q96" s="16" t="str">
        <f>IFERROR(IF(F96=$K$21,IF(L96&gt;0,L96*H96/1000,IF(M96&gt;0,M96/1000,(N96+O96*'Fatores de Emissão'!$E$248/1000+P96*'Fatores de Emissão'!$E$249/1000)/1000)),IF(L96&gt;0,H96*L96/1000,H96*K96/1000)),"")</f>
        <v/>
      </c>
    </row>
    <row r="97" spans="4:17" x14ac:dyDescent="0.35">
      <c r="D97" s="16">
        <f>'Processos Industriais'!B105</f>
        <v>0</v>
      </c>
      <c r="E97" s="16">
        <f>'Processos Industriais'!C105</f>
        <v>0</v>
      </c>
      <c r="F97" s="16">
        <f>'Processos Industriais'!D105</f>
        <v>0</v>
      </c>
      <c r="G97" s="16">
        <f>'Processos Industriais'!E105</f>
        <v>0</v>
      </c>
      <c r="H97" s="16">
        <f>'Processos Industriais'!F105</f>
        <v>0</v>
      </c>
      <c r="I97" s="16" t="str">
        <f>'Processos Industriais'!G105</f>
        <v/>
      </c>
      <c r="J97" s="16">
        <f>'Processos Industriais'!H105</f>
        <v>0</v>
      </c>
      <c r="K97" s="16" t="str">
        <f>'Processos Industriais'!I105</f>
        <v/>
      </c>
      <c r="L97" s="16">
        <f>'Processos Industriais'!J105</f>
        <v>0</v>
      </c>
      <c r="M97" s="16">
        <f>'Processos Industriais'!L105</f>
        <v>0</v>
      </c>
      <c r="N97" s="16">
        <f>'Processos Industriais'!M105</f>
        <v>0</v>
      </c>
      <c r="O97" s="16">
        <f>'Processos Industriais'!N105</f>
        <v>0</v>
      </c>
      <c r="P97" s="16">
        <f>'Processos Industriais'!O105</f>
        <v>0</v>
      </c>
      <c r="Q97" s="16" t="str">
        <f>IFERROR(IF(F97=$K$21,IF(L97&gt;0,L97*H97/1000,IF(M97&gt;0,M97/1000,(N97+O97*'Fatores de Emissão'!$E$248/1000+P97*'Fatores de Emissão'!$E$249/1000)/1000)),IF(L97&gt;0,H97*L97/1000,H97*K97/1000)),"")</f>
        <v/>
      </c>
    </row>
    <row r="98" spans="4:17" x14ac:dyDescent="0.35">
      <c r="D98" s="16">
        <f>'Processos Industriais'!B106</f>
        <v>0</v>
      </c>
      <c r="E98" s="16">
        <f>'Processos Industriais'!C106</f>
        <v>0</v>
      </c>
      <c r="F98" s="16">
        <f>'Processos Industriais'!D106</f>
        <v>0</v>
      </c>
      <c r="G98" s="16">
        <f>'Processos Industriais'!E106</f>
        <v>0</v>
      </c>
      <c r="H98" s="16">
        <f>'Processos Industriais'!F106</f>
        <v>0</v>
      </c>
      <c r="I98" s="16" t="str">
        <f>'Processos Industriais'!G106</f>
        <v/>
      </c>
      <c r="J98" s="16">
        <f>'Processos Industriais'!H106</f>
        <v>0</v>
      </c>
      <c r="K98" s="16" t="str">
        <f>'Processos Industriais'!I106</f>
        <v/>
      </c>
      <c r="L98" s="16">
        <f>'Processos Industriais'!J106</f>
        <v>0</v>
      </c>
      <c r="M98" s="16">
        <f>'Processos Industriais'!L106</f>
        <v>0</v>
      </c>
      <c r="N98" s="16">
        <f>'Processos Industriais'!M106</f>
        <v>0</v>
      </c>
      <c r="O98" s="16">
        <f>'Processos Industriais'!N106</f>
        <v>0</v>
      </c>
      <c r="P98" s="16">
        <f>'Processos Industriais'!O106</f>
        <v>0</v>
      </c>
      <c r="Q98" s="16" t="str">
        <f>IFERROR(IF(F98=$K$21,IF(L98&gt;0,L98*H98/1000,IF(M98&gt;0,M98/1000,(N98+O98*'Fatores de Emissão'!$E$248/1000+P98*'Fatores de Emissão'!$E$249/1000)/1000)),IF(L98&gt;0,H98*L98/1000,H98*K98/1000)),"")</f>
        <v/>
      </c>
    </row>
    <row r="99" spans="4:17" x14ac:dyDescent="0.35">
      <c r="D99" s="16">
        <f>'Processos Industriais'!B107</f>
        <v>0</v>
      </c>
      <c r="E99" s="16">
        <f>'Processos Industriais'!C107</f>
        <v>0</v>
      </c>
      <c r="F99" s="16">
        <f>'Processos Industriais'!D107</f>
        <v>0</v>
      </c>
      <c r="G99" s="16">
        <f>'Processos Industriais'!E107</f>
        <v>0</v>
      </c>
      <c r="H99" s="16">
        <f>'Processos Industriais'!F107</f>
        <v>0</v>
      </c>
      <c r="I99" s="16" t="str">
        <f>'Processos Industriais'!G107</f>
        <v/>
      </c>
      <c r="J99" s="16">
        <f>'Processos Industriais'!H107</f>
        <v>0</v>
      </c>
      <c r="K99" s="16" t="str">
        <f>'Processos Industriais'!I107</f>
        <v/>
      </c>
      <c r="L99" s="16">
        <f>'Processos Industriais'!J107</f>
        <v>0</v>
      </c>
      <c r="M99" s="16">
        <f>'Processos Industriais'!L107</f>
        <v>0</v>
      </c>
      <c r="N99" s="16">
        <f>'Processos Industriais'!M107</f>
        <v>0</v>
      </c>
      <c r="O99" s="16">
        <f>'Processos Industriais'!N107</f>
        <v>0</v>
      </c>
      <c r="P99" s="16">
        <f>'Processos Industriais'!O107</f>
        <v>0</v>
      </c>
      <c r="Q99" s="16" t="str">
        <f>IFERROR(IF(F99=$K$21,IF(L99&gt;0,L99*H99/1000,IF(M99&gt;0,M99/1000,(N99+O99*'Fatores de Emissão'!$E$248/1000+P99*'Fatores de Emissão'!$E$249/1000)/1000)),IF(L99&gt;0,H99*L99/1000,H99*K99/1000)),"")</f>
        <v/>
      </c>
    </row>
    <row r="100" spans="4:17" x14ac:dyDescent="0.35">
      <c r="D100" s="16">
        <f>'Processos Industriais'!B108</f>
        <v>0</v>
      </c>
      <c r="E100" s="16">
        <f>'Processos Industriais'!C108</f>
        <v>0</v>
      </c>
      <c r="F100" s="16">
        <f>'Processos Industriais'!D108</f>
        <v>0</v>
      </c>
      <c r="G100" s="16">
        <f>'Processos Industriais'!E108</f>
        <v>0</v>
      </c>
      <c r="H100" s="16">
        <f>'Processos Industriais'!F108</f>
        <v>0</v>
      </c>
      <c r="I100" s="16" t="str">
        <f>'Processos Industriais'!G108</f>
        <v/>
      </c>
      <c r="J100" s="16">
        <f>'Processos Industriais'!H108</f>
        <v>0</v>
      </c>
      <c r="K100" s="16" t="str">
        <f>'Processos Industriais'!I108</f>
        <v/>
      </c>
      <c r="L100" s="16">
        <f>'Processos Industriais'!J108</f>
        <v>0</v>
      </c>
      <c r="M100" s="16">
        <f>'Processos Industriais'!L108</f>
        <v>0</v>
      </c>
      <c r="N100" s="16">
        <f>'Processos Industriais'!M108</f>
        <v>0</v>
      </c>
      <c r="O100" s="16">
        <f>'Processos Industriais'!N108</f>
        <v>0</v>
      </c>
      <c r="P100" s="16">
        <f>'Processos Industriais'!O108</f>
        <v>0</v>
      </c>
      <c r="Q100" s="16" t="str">
        <f>IFERROR(IF(F100=$K$21,IF(L100&gt;0,L100*H100/1000,IF(M100&gt;0,M100/1000,(N100+O100*'Fatores de Emissão'!$E$248/1000+P100*'Fatores de Emissão'!$E$249/1000)/1000)),IF(L100&gt;0,H100*L100/1000,H100*K100/1000)),"")</f>
        <v/>
      </c>
    </row>
    <row r="101" spans="4:17" x14ac:dyDescent="0.35">
      <c r="D101" s="16">
        <f>'Processos Industriais'!B109</f>
        <v>0</v>
      </c>
      <c r="E101" s="16">
        <f>'Processos Industriais'!C109</f>
        <v>0</v>
      </c>
      <c r="F101" s="16">
        <f>'Processos Industriais'!D109</f>
        <v>0</v>
      </c>
      <c r="G101" s="16">
        <f>'Processos Industriais'!E109</f>
        <v>0</v>
      </c>
      <c r="H101" s="16">
        <f>'Processos Industriais'!F109</f>
        <v>0</v>
      </c>
      <c r="I101" s="16" t="str">
        <f>'Processos Industriais'!G109</f>
        <v/>
      </c>
      <c r="J101" s="16">
        <f>'Processos Industriais'!H109</f>
        <v>0</v>
      </c>
      <c r="K101" s="16" t="str">
        <f>'Processos Industriais'!I109</f>
        <v/>
      </c>
      <c r="L101" s="16">
        <f>'Processos Industriais'!J109</f>
        <v>0</v>
      </c>
      <c r="M101" s="16">
        <f>'Processos Industriais'!L109</f>
        <v>0</v>
      </c>
      <c r="N101" s="16">
        <f>'Processos Industriais'!M109</f>
        <v>0</v>
      </c>
      <c r="O101" s="16">
        <f>'Processos Industriais'!N109</f>
        <v>0</v>
      </c>
      <c r="P101" s="16">
        <f>'Processos Industriais'!O109</f>
        <v>0</v>
      </c>
      <c r="Q101" s="16" t="str">
        <f>IFERROR(IF(F101=$K$21,IF(L101&gt;0,L101*H101/1000,IF(M101&gt;0,M101/1000,(N101+O101*'Fatores de Emissão'!$E$248/1000+P101*'Fatores de Emissão'!$E$249/1000)/1000)),IF(L101&gt;0,H101*L101/1000,H101*K101/1000)),"")</f>
        <v/>
      </c>
    </row>
    <row r="102" spans="4:17" x14ac:dyDescent="0.35">
      <c r="D102" s="16">
        <f>'Processos Industriais'!B110</f>
        <v>0</v>
      </c>
      <c r="E102" s="16">
        <f>'Processos Industriais'!C110</f>
        <v>0</v>
      </c>
      <c r="F102" s="16">
        <f>'Processos Industriais'!D110</f>
        <v>0</v>
      </c>
      <c r="G102" s="16">
        <f>'Processos Industriais'!E110</f>
        <v>0</v>
      </c>
      <c r="H102" s="16">
        <f>'Processos Industriais'!F110</f>
        <v>0</v>
      </c>
      <c r="I102" s="16" t="str">
        <f>'Processos Industriais'!G110</f>
        <v/>
      </c>
      <c r="J102" s="16">
        <f>'Processos Industriais'!H110</f>
        <v>0</v>
      </c>
      <c r="K102" s="16" t="str">
        <f>'Processos Industriais'!I110</f>
        <v/>
      </c>
      <c r="L102" s="16">
        <f>'Processos Industriais'!J110</f>
        <v>0</v>
      </c>
      <c r="M102" s="16">
        <f>'Processos Industriais'!L110</f>
        <v>0</v>
      </c>
      <c r="N102" s="16">
        <f>'Processos Industriais'!M110</f>
        <v>0</v>
      </c>
      <c r="O102" s="16">
        <f>'Processos Industriais'!N110</f>
        <v>0</v>
      </c>
      <c r="P102" s="16">
        <f>'Processos Industriais'!O110</f>
        <v>0</v>
      </c>
      <c r="Q102" s="16" t="str">
        <f>IFERROR(IF(F102=$K$21,IF(L102&gt;0,L102*H102/1000,IF(M102&gt;0,M102/1000,(N102+O102*'Fatores de Emissão'!$E$248/1000+P102*'Fatores de Emissão'!$E$249/1000)/1000)),IF(L102&gt;0,H102*L102/1000,H102*K102/1000)),"")</f>
        <v/>
      </c>
    </row>
    <row r="103" spans="4:17" x14ac:dyDescent="0.35">
      <c r="D103" s="16">
        <f>'Processos Industriais'!B111</f>
        <v>0</v>
      </c>
      <c r="E103" s="16">
        <f>'Processos Industriais'!C111</f>
        <v>0</v>
      </c>
      <c r="F103" s="16">
        <f>'Processos Industriais'!D111</f>
        <v>0</v>
      </c>
      <c r="G103" s="16">
        <f>'Processos Industriais'!E111</f>
        <v>0</v>
      </c>
      <c r="H103" s="16">
        <f>'Processos Industriais'!F111</f>
        <v>0</v>
      </c>
      <c r="I103" s="16" t="str">
        <f>'Processos Industriais'!G111</f>
        <v/>
      </c>
      <c r="J103" s="16">
        <f>'Processos Industriais'!H111</f>
        <v>0</v>
      </c>
      <c r="K103" s="16" t="str">
        <f>'Processos Industriais'!I111</f>
        <v/>
      </c>
      <c r="L103" s="16">
        <f>'Processos Industriais'!J111</f>
        <v>0</v>
      </c>
      <c r="M103" s="16">
        <f>'Processos Industriais'!L111</f>
        <v>0</v>
      </c>
      <c r="N103" s="16">
        <f>'Processos Industriais'!M111</f>
        <v>0</v>
      </c>
      <c r="O103" s="16">
        <f>'Processos Industriais'!N111</f>
        <v>0</v>
      </c>
      <c r="P103" s="16">
        <f>'Processos Industriais'!O111</f>
        <v>0</v>
      </c>
      <c r="Q103" s="16" t="str">
        <f>IFERROR(IF(F103=$K$21,IF(L103&gt;0,L103*H103/1000,IF(M103&gt;0,M103/1000,(N103+O103*'Fatores de Emissão'!$E$248/1000+P103*'Fatores de Emissão'!$E$249/1000)/1000)),IF(L103&gt;0,H103*L103/1000,H103*K103/1000)),"")</f>
        <v/>
      </c>
    </row>
    <row r="104" spans="4:17" x14ac:dyDescent="0.35">
      <c r="D104" s="16">
        <f>'Processos Industriais'!B112</f>
        <v>0</v>
      </c>
      <c r="E104" s="16">
        <f>'Processos Industriais'!C112</f>
        <v>0</v>
      </c>
      <c r="F104" s="16">
        <f>'Processos Industriais'!D112</f>
        <v>0</v>
      </c>
      <c r="G104" s="16">
        <f>'Processos Industriais'!E112</f>
        <v>0</v>
      </c>
      <c r="H104" s="16">
        <f>'Processos Industriais'!F112</f>
        <v>0</v>
      </c>
      <c r="I104" s="16" t="str">
        <f>'Processos Industriais'!G112</f>
        <v/>
      </c>
      <c r="J104" s="16">
        <f>'Processos Industriais'!H112</f>
        <v>0</v>
      </c>
      <c r="K104" s="16" t="str">
        <f>'Processos Industriais'!I112</f>
        <v/>
      </c>
      <c r="L104" s="16">
        <f>'Processos Industriais'!J112</f>
        <v>0</v>
      </c>
      <c r="M104" s="16">
        <f>'Processos Industriais'!L112</f>
        <v>0</v>
      </c>
      <c r="N104" s="16">
        <f>'Processos Industriais'!M112</f>
        <v>0</v>
      </c>
      <c r="O104" s="16">
        <f>'Processos Industriais'!N112</f>
        <v>0</v>
      </c>
      <c r="P104" s="16">
        <f>'Processos Industriais'!O112</f>
        <v>0</v>
      </c>
      <c r="Q104" s="16" t="str">
        <f>IFERROR(IF(F104=$K$21,IF(L104&gt;0,L104*H104/1000,IF(M104&gt;0,M104/1000,(N104+O104*'Fatores de Emissão'!$E$248/1000+P104*'Fatores de Emissão'!$E$249/1000)/1000)),IF(L104&gt;0,H104*L104/1000,H104*K104/1000)),"")</f>
        <v/>
      </c>
    </row>
    <row r="105" spans="4:17" x14ac:dyDescent="0.35">
      <c r="D105" s="16">
        <f>'Processos Industriais'!B113</f>
        <v>0</v>
      </c>
      <c r="E105" s="16">
        <f>'Processos Industriais'!C113</f>
        <v>0</v>
      </c>
      <c r="F105" s="16">
        <f>'Processos Industriais'!D113</f>
        <v>0</v>
      </c>
      <c r="G105" s="16">
        <f>'Processos Industriais'!E113</f>
        <v>0</v>
      </c>
      <c r="H105" s="16">
        <f>'Processos Industriais'!F113</f>
        <v>0</v>
      </c>
      <c r="I105" s="16" t="str">
        <f>'Processos Industriais'!G113</f>
        <v/>
      </c>
      <c r="J105" s="16">
        <f>'Processos Industriais'!H113</f>
        <v>0</v>
      </c>
      <c r="K105" s="16" t="str">
        <f>'Processos Industriais'!I113</f>
        <v/>
      </c>
      <c r="L105" s="16">
        <f>'Processos Industriais'!J113</f>
        <v>0</v>
      </c>
      <c r="M105" s="16">
        <f>'Processos Industriais'!L113</f>
        <v>0</v>
      </c>
      <c r="N105" s="16">
        <f>'Processos Industriais'!M113</f>
        <v>0</v>
      </c>
      <c r="O105" s="16">
        <f>'Processos Industriais'!N113</f>
        <v>0</v>
      </c>
      <c r="P105" s="16">
        <f>'Processos Industriais'!O113</f>
        <v>0</v>
      </c>
      <c r="Q105" s="16" t="str">
        <f>IFERROR(IF(F105=$K$21,IF(L105&gt;0,L105*H105/1000,IF(M105&gt;0,M105/1000,(N105+O105*'Fatores de Emissão'!$E$248/1000+P105*'Fatores de Emissão'!$E$249/1000)/1000)),IF(L105&gt;0,H105*L105/1000,H105*K105/1000)),"")</f>
        <v/>
      </c>
    </row>
    <row r="106" spans="4:17" x14ac:dyDescent="0.35">
      <c r="D106" s="16">
        <f>'Processos Industriais'!B114</f>
        <v>0</v>
      </c>
      <c r="E106" s="16">
        <f>'Processos Industriais'!C114</f>
        <v>0</v>
      </c>
      <c r="F106" s="16">
        <f>'Processos Industriais'!D114</f>
        <v>0</v>
      </c>
      <c r="G106" s="16">
        <f>'Processos Industriais'!E114</f>
        <v>0</v>
      </c>
      <c r="H106" s="16">
        <f>'Processos Industriais'!F114</f>
        <v>0</v>
      </c>
      <c r="I106" s="16" t="str">
        <f>'Processos Industriais'!G114</f>
        <v/>
      </c>
      <c r="J106" s="16">
        <f>'Processos Industriais'!H114</f>
        <v>0</v>
      </c>
      <c r="K106" s="16" t="str">
        <f>'Processos Industriais'!I114</f>
        <v/>
      </c>
      <c r="L106" s="16">
        <f>'Processos Industriais'!J114</f>
        <v>0</v>
      </c>
      <c r="M106" s="16">
        <f>'Processos Industriais'!L114</f>
        <v>0</v>
      </c>
      <c r="N106" s="16">
        <f>'Processos Industriais'!M114</f>
        <v>0</v>
      </c>
      <c r="O106" s="16">
        <f>'Processos Industriais'!N114</f>
        <v>0</v>
      </c>
      <c r="P106" s="16">
        <f>'Processos Industriais'!O114</f>
        <v>0</v>
      </c>
      <c r="Q106" s="16" t="str">
        <f>IFERROR(IF(F106=$K$21,IF(L106&gt;0,L106*H106/1000,IF(M106&gt;0,M106/1000,(N106+O106*'Fatores de Emissão'!$E$248/1000+P106*'Fatores de Emissão'!$E$249/1000)/1000)),IF(L106&gt;0,H106*L106/1000,H106*K106/1000)),"")</f>
        <v/>
      </c>
    </row>
    <row r="107" spans="4:17" x14ac:dyDescent="0.35">
      <c r="D107" s="16">
        <f>'Processos Industriais'!B115</f>
        <v>0</v>
      </c>
      <c r="E107" s="16">
        <f>'Processos Industriais'!C115</f>
        <v>0</v>
      </c>
      <c r="F107" s="16">
        <f>'Processos Industriais'!D115</f>
        <v>0</v>
      </c>
      <c r="G107" s="16">
        <f>'Processos Industriais'!E115</f>
        <v>0</v>
      </c>
      <c r="H107" s="16">
        <f>'Processos Industriais'!F115</f>
        <v>0</v>
      </c>
      <c r="I107" s="16" t="str">
        <f>'Processos Industriais'!G115</f>
        <v/>
      </c>
      <c r="J107" s="16">
        <f>'Processos Industriais'!H115</f>
        <v>0</v>
      </c>
      <c r="K107" s="16" t="str">
        <f>'Processos Industriais'!I115</f>
        <v/>
      </c>
      <c r="L107" s="16">
        <f>'Processos Industriais'!J115</f>
        <v>0</v>
      </c>
      <c r="M107" s="16">
        <f>'Processos Industriais'!L115</f>
        <v>0</v>
      </c>
      <c r="N107" s="16">
        <f>'Processos Industriais'!M115</f>
        <v>0</v>
      </c>
      <c r="O107" s="16">
        <f>'Processos Industriais'!N115</f>
        <v>0</v>
      </c>
      <c r="P107" s="16">
        <f>'Processos Industriais'!O115</f>
        <v>0</v>
      </c>
      <c r="Q107" s="16" t="str">
        <f>IFERROR(IF(F107=$K$21,IF(L107&gt;0,L107*H107/1000,IF(M107&gt;0,M107/1000,(N107+O107*'Fatores de Emissão'!$E$248/1000+P107*'Fatores de Emissão'!$E$249/1000)/1000)),IF(L107&gt;0,H107*L107/1000,H107*K107/1000)),"")</f>
        <v/>
      </c>
    </row>
    <row r="108" spans="4:17" x14ac:dyDescent="0.35">
      <c r="D108" s="16">
        <f>'Processos Industriais'!B116</f>
        <v>0</v>
      </c>
      <c r="E108" s="16">
        <f>'Processos Industriais'!C116</f>
        <v>0</v>
      </c>
      <c r="F108" s="16">
        <f>'Processos Industriais'!D116</f>
        <v>0</v>
      </c>
      <c r="G108" s="16">
        <f>'Processos Industriais'!E116</f>
        <v>0</v>
      </c>
      <c r="H108" s="16">
        <f>'Processos Industriais'!F116</f>
        <v>0</v>
      </c>
      <c r="I108" s="16" t="str">
        <f>'Processos Industriais'!G116</f>
        <v/>
      </c>
      <c r="J108" s="16">
        <f>'Processos Industriais'!H116</f>
        <v>0</v>
      </c>
      <c r="K108" s="16" t="str">
        <f>'Processos Industriais'!I116</f>
        <v/>
      </c>
      <c r="L108" s="16">
        <f>'Processos Industriais'!J116</f>
        <v>0</v>
      </c>
      <c r="M108" s="16">
        <f>'Processos Industriais'!L116</f>
        <v>0</v>
      </c>
      <c r="N108" s="16">
        <f>'Processos Industriais'!M116</f>
        <v>0</v>
      </c>
      <c r="O108" s="16">
        <f>'Processos Industriais'!N116</f>
        <v>0</v>
      </c>
      <c r="P108" s="16">
        <f>'Processos Industriais'!O116</f>
        <v>0</v>
      </c>
      <c r="Q108" s="16" t="str">
        <f>IFERROR(IF(F108=$K$21,IF(L108&gt;0,L108*H108/1000,IF(M108&gt;0,M108/1000,(N108+O108*'Fatores de Emissão'!$E$248/1000+P108*'Fatores de Emissão'!$E$249/1000)/1000)),IF(L108&gt;0,H108*L108/1000,H108*K108/1000)),"")</f>
        <v/>
      </c>
    </row>
    <row r="109" spans="4:17" x14ac:dyDescent="0.35">
      <c r="D109" s="16">
        <f>'Processos Industriais'!B117</f>
        <v>0</v>
      </c>
      <c r="E109" s="16">
        <f>'Processos Industriais'!C117</f>
        <v>0</v>
      </c>
      <c r="F109" s="16">
        <f>'Processos Industriais'!D117</f>
        <v>0</v>
      </c>
      <c r="G109" s="16">
        <f>'Processos Industriais'!E117</f>
        <v>0</v>
      </c>
      <c r="H109" s="16">
        <f>'Processos Industriais'!F117</f>
        <v>0</v>
      </c>
      <c r="I109" s="16" t="str">
        <f>'Processos Industriais'!G117</f>
        <v/>
      </c>
      <c r="J109" s="16">
        <f>'Processos Industriais'!H117</f>
        <v>0</v>
      </c>
      <c r="K109" s="16" t="str">
        <f>'Processos Industriais'!I117</f>
        <v/>
      </c>
      <c r="L109" s="16">
        <f>'Processos Industriais'!J117</f>
        <v>0</v>
      </c>
      <c r="M109" s="16">
        <f>'Processos Industriais'!L117</f>
        <v>0</v>
      </c>
      <c r="N109" s="16">
        <f>'Processos Industriais'!M117</f>
        <v>0</v>
      </c>
      <c r="O109" s="16">
        <f>'Processos Industriais'!N117</f>
        <v>0</v>
      </c>
      <c r="P109" s="16">
        <f>'Processos Industriais'!O117</f>
        <v>0</v>
      </c>
      <c r="Q109" s="16" t="str">
        <f>IFERROR(IF(F109=$K$21,IF(L109&gt;0,L109*H109/1000,IF(M109&gt;0,M109/1000,(N109+O109*'Fatores de Emissão'!$E$248/1000+P109*'Fatores de Emissão'!$E$249/1000)/1000)),IF(L109&gt;0,H109*L109/1000,H109*K109/1000)),"")</f>
        <v/>
      </c>
    </row>
    <row r="110" spans="4:17" x14ac:dyDescent="0.35">
      <c r="D110" s="16">
        <f>'Processos Industriais'!B118</f>
        <v>0</v>
      </c>
      <c r="E110" s="16">
        <f>'Processos Industriais'!C118</f>
        <v>0</v>
      </c>
      <c r="F110" s="16">
        <f>'Processos Industriais'!D118</f>
        <v>0</v>
      </c>
      <c r="G110" s="16">
        <f>'Processos Industriais'!E118</f>
        <v>0</v>
      </c>
      <c r="H110" s="16">
        <f>'Processos Industriais'!F118</f>
        <v>0</v>
      </c>
      <c r="I110" s="16" t="str">
        <f>'Processos Industriais'!G118</f>
        <v/>
      </c>
      <c r="J110" s="16">
        <f>'Processos Industriais'!H118</f>
        <v>0</v>
      </c>
      <c r="K110" s="16" t="str">
        <f>'Processos Industriais'!I118</f>
        <v/>
      </c>
      <c r="L110" s="16">
        <f>'Processos Industriais'!J118</f>
        <v>0</v>
      </c>
      <c r="M110" s="16">
        <f>'Processos Industriais'!L118</f>
        <v>0</v>
      </c>
      <c r="N110" s="16">
        <f>'Processos Industriais'!M118</f>
        <v>0</v>
      </c>
      <c r="O110" s="16">
        <f>'Processos Industriais'!N118</f>
        <v>0</v>
      </c>
      <c r="P110" s="16">
        <f>'Processos Industriais'!O118</f>
        <v>0</v>
      </c>
      <c r="Q110" s="16" t="str">
        <f>IFERROR(IF(F110=$K$21,IF(L110&gt;0,L110*H110/1000,IF(M110&gt;0,M110/1000,(N110+O110*'Fatores de Emissão'!$E$248/1000+P110*'Fatores de Emissão'!$E$249/1000)/1000)),IF(L110&gt;0,H110*L110/1000,H110*K110/1000)),"")</f>
        <v/>
      </c>
    </row>
    <row r="111" spans="4:17" x14ac:dyDescent="0.35">
      <c r="D111" s="16">
        <f>'Processos Industriais'!B119</f>
        <v>0</v>
      </c>
      <c r="E111" s="16">
        <f>'Processos Industriais'!C119</f>
        <v>0</v>
      </c>
      <c r="F111" s="16">
        <f>'Processos Industriais'!D119</f>
        <v>0</v>
      </c>
      <c r="G111" s="16">
        <f>'Processos Industriais'!E119</f>
        <v>0</v>
      </c>
      <c r="H111" s="16">
        <f>'Processos Industriais'!F119</f>
        <v>0</v>
      </c>
      <c r="I111" s="16" t="str">
        <f>'Processos Industriais'!G119</f>
        <v/>
      </c>
      <c r="J111" s="16">
        <f>'Processos Industriais'!H119</f>
        <v>0</v>
      </c>
      <c r="K111" s="16" t="str">
        <f>'Processos Industriais'!I119</f>
        <v/>
      </c>
      <c r="L111" s="16">
        <f>'Processos Industriais'!J119</f>
        <v>0</v>
      </c>
      <c r="M111" s="16">
        <f>'Processos Industriais'!L119</f>
        <v>0</v>
      </c>
      <c r="N111" s="16">
        <f>'Processos Industriais'!M119</f>
        <v>0</v>
      </c>
      <c r="O111" s="16">
        <f>'Processos Industriais'!N119</f>
        <v>0</v>
      </c>
      <c r="P111" s="16">
        <f>'Processos Industriais'!O119</f>
        <v>0</v>
      </c>
      <c r="Q111" s="16" t="str">
        <f>IFERROR(IF(F111=$K$21,IF(L111&gt;0,L111*H111/1000,IF(M111&gt;0,M111/1000,(N111+O111*'Fatores de Emissão'!$E$248/1000+P111*'Fatores de Emissão'!$E$249/1000)/1000)),IF(L111&gt;0,H111*L111/1000,H111*K111/1000)),"")</f>
        <v/>
      </c>
    </row>
    <row r="112" spans="4:17" x14ac:dyDescent="0.35">
      <c r="D112" s="16">
        <f>'Processos Industriais'!B120</f>
        <v>0</v>
      </c>
      <c r="E112" s="16">
        <f>'Processos Industriais'!C120</f>
        <v>0</v>
      </c>
      <c r="F112" s="16">
        <f>'Processos Industriais'!D120</f>
        <v>0</v>
      </c>
      <c r="G112" s="16">
        <f>'Processos Industriais'!E120</f>
        <v>0</v>
      </c>
      <c r="H112" s="16">
        <f>'Processos Industriais'!F120</f>
        <v>0</v>
      </c>
      <c r="I112" s="16" t="str">
        <f>'Processos Industriais'!G120</f>
        <v/>
      </c>
      <c r="J112" s="16">
        <f>'Processos Industriais'!H120</f>
        <v>0</v>
      </c>
      <c r="K112" s="16" t="str">
        <f>'Processos Industriais'!I120</f>
        <v/>
      </c>
      <c r="L112" s="16">
        <f>'Processos Industriais'!J120</f>
        <v>0</v>
      </c>
      <c r="M112" s="16">
        <f>'Processos Industriais'!L120</f>
        <v>0</v>
      </c>
      <c r="N112" s="16">
        <f>'Processos Industriais'!M120</f>
        <v>0</v>
      </c>
      <c r="O112" s="16">
        <f>'Processos Industriais'!N120</f>
        <v>0</v>
      </c>
      <c r="P112" s="16">
        <f>'Processos Industriais'!O120</f>
        <v>0</v>
      </c>
      <c r="Q112" s="16" t="str">
        <f>IFERROR(IF(F112=$K$21,IF(L112&gt;0,L112*H112/1000,IF(M112&gt;0,M112/1000,(N112+O112*'Fatores de Emissão'!$E$248/1000+P112*'Fatores de Emissão'!$E$249/1000)/1000)),IF(L112&gt;0,H112*L112/1000,H112*K112/1000)),"")</f>
        <v/>
      </c>
    </row>
    <row r="113" spans="4:17" x14ac:dyDescent="0.35">
      <c r="D113" s="16">
        <f>'Processos Industriais'!B121</f>
        <v>0</v>
      </c>
      <c r="E113" s="16">
        <f>'Processos Industriais'!C121</f>
        <v>0</v>
      </c>
      <c r="F113" s="16">
        <f>'Processos Industriais'!D121</f>
        <v>0</v>
      </c>
      <c r="G113" s="16">
        <f>'Processos Industriais'!E121</f>
        <v>0</v>
      </c>
      <c r="H113" s="16">
        <f>'Processos Industriais'!F121</f>
        <v>0</v>
      </c>
      <c r="I113" s="16" t="str">
        <f>'Processos Industriais'!G121</f>
        <v/>
      </c>
      <c r="J113" s="16">
        <f>'Processos Industriais'!H121</f>
        <v>0</v>
      </c>
      <c r="K113" s="16" t="str">
        <f>'Processos Industriais'!I121</f>
        <v/>
      </c>
      <c r="L113" s="16">
        <f>'Processos Industriais'!J121</f>
        <v>0</v>
      </c>
      <c r="M113" s="16">
        <f>'Processos Industriais'!L121</f>
        <v>0</v>
      </c>
      <c r="N113" s="16">
        <f>'Processos Industriais'!M121</f>
        <v>0</v>
      </c>
      <c r="O113" s="16">
        <f>'Processos Industriais'!N121</f>
        <v>0</v>
      </c>
      <c r="P113" s="16">
        <f>'Processos Industriais'!O121</f>
        <v>0</v>
      </c>
      <c r="Q113" s="16" t="str">
        <f>IFERROR(IF(F113=$K$21,IF(L113&gt;0,L113*H113/1000,IF(M113&gt;0,M113/1000,(N113+O113*'Fatores de Emissão'!$E$248/1000+P113*'Fatores de Emissão'!$E$249/1000)/1000)),IF(L113&gt;0,H113*L113/1000,H113*K113/1000)),"")</f>
        <v/>
      </c>
    </row>
    <row r="114" spans="4:17" x14ac:dyDescent="0.35">
      <c r="D114" s="16">
        <f>'Processos Industriais'!B122</f>
        <v>0</v>
      </c>
      <c r="E114" s="16">
        <f>'Processos Industriais'!C122</f>
        <v>0</v>
      </c>
      <c r="F114" s="16">
        <f>'Processos Industriais'!D122</f>
        <v>0</v>
      </c>
      <c r="G114" s="16">
        <f>'Processos Industriais'!E122</f>
        <v>0</v>
      </c>
      <c r="H114" s="16">
        <f>'Processos Industriais'!F122</f>
        <v>0</v>
      </c>
      <c r="I114" s="16" t="str">
        <f>'Processos Industriais'!G122</f>
        <v/>
      </c>
      <c r="J114" s="16">
        <f>'Processos Industriais'!H122</f>
        <v>0</v>
      </c>
      <c r="K114" s="16" t="str">
        <f>'Processos Industriais'!I122</f>
        <v/>
      </c>
      <c r="L114" s="16">
        <f>'Processos Industriais'!J122</f>
        <v>0</v>
      </c>
      <c r="M114" s="16">
        <f>'Processos Industriais'!L122</f>
        <v>0</v>
      </c>
      <c r="N114" s="16">
        <f>'Processos Industriais'!M122</f>
        <v>0</v>
      </c>
      <c r="O114" s="16">
        <f>'Processos Industriais'!N122</f>
        <v>0</v>
      </c>
      <c r="P114" s="16">
        <f>'Processos Industriais'!O122</f>
        <v>0</v>
      </c>
      <c r="Q114" s="16" t="str">
        <f>IFERROR(IF(F114=$K$21,IF(L114&gt;0,L114*H114/1000,IF(M114&gt;0,M114/1000,(N114+O114*'Fatores de Emissão'!$E$248/1000+P114*'Fatores de Emissão'!$E$249/1000)/1000)),IF(L114&gt;0,H114*L114/1000,H114*K114/1000)),"")</f>
        <v/>
      </c>
    </row>
    <row r="115" spans="4:17" x14ac:dyDescent="0.35">
      <c r="D115" s="16">
        <f>'Processos Industriais'!B123</f>
        <v>0</v>
      </c>
      <c r="E115" s="16">
        <f>'Processos Industriais'!C123</f>
        <v>0</v>
      </c>
      <c r="F115" s="16">
        <f>'Processos Industriais'!D123</f>
        <v>0</v>
      </c>
      <c r="G115" s="16">
        <f>'Processos Industriais'!E123</f>
        <v>0</v>
      </c>
      <c r="H115" s="16">
        <f>'Processos Industriais'!F123</f>
        <v>0</v>
      </c>
      <c r="I115" s="16" t="str">
        <f>'Processos Industriais'!G123</f>
        <v/>
      </c>
      <c r="J115" s="16">
        <f>'Processos Industriais'!H123</f>
        <v>0</v>
      </c>
      <c r="K115" s="16" t="str">
        <f>'Processos Industriais'!I123</f>
        <v/>
      </c>
      <c r="L115" s="16">
        <f>'Processos Industriais'!J123</f>
        <v>0</v>
      </c>
      <c r="M115" s="16">
        <f>'Processos Industriais'!L123</f>
        <v>0</v>
      </c>
      <c r="N115" s="16">
        <f>'Processos Industriais'!M123</f>
        <v>0</v>
      </c>
      <c r="O115" s="16">
        <f>'Processos Industriais'!N123</f>
        <v>0</v>
      </c>
      <c r="P115" s="16">
        <f>'Processos Industriais'!O123</f>
        <v>0</v>
      </c>
      <c r="Q115" s="16" t="str">
        <f>IFERROR(IF(F115=$K$21,IF(L115&gt;0,L115*H115/1000,IF(M115&gt;0,M115/1000,(N115+O115*'Fatores de Emissão'!$E$248/1000+P115*'Fatores de Emissão'!$E$249/1000)/1000)),IF(L115&gt;0,H115*L115/1000,H115*K115/1000)),"")</f>
        <v/>
      </c>
    </row>
    <row r="116" spans="4:17" x14ac:dyDescent="0.35">
      <c r="D116" s="16">
        <f>'Processos Industriais'!B124</f>
        <v>0</v>
      </c>
      <c r="E116" s="16">
        <f>'Processos Industriais'!C124</f>
        <v>0</v>
      </c>
      <c r="F116" s="16">
        <f>'Processos Industriais'!D124</f>
        <v>0</v>
      </c>
      <c r="G116" s="16">
        <f>'Processos Industriais'!E124</f>
        <v>0</v>
      </c>
      <c r="H116" s="16">
        <f>'Processos Industriais'!F124</f>
        <v>0</v>
      </c>
      <c r="I116" s="16" t="str">
        <f>'Processos Industriais'!G124</f>
        <v/>
      </c>
      <c r="J116" s="16">
        <f>'Processos Industriais'!H124</f>
        <v>0</v>
      </c>
      <c r="K116" s="16" t="str">
        <f>'Processos Industriais'!I124</f>
        <v/>
      </c>
      <c r="L116" s="16">
        <f>'Processos Industriais'!J124</f>
        <v>0</v>
      </c>
      <c r="M116" s="16">
        <f>'Processos Industriais'!L124</f>
        <v>0</v>
      </c>
      <c r="N116" s="16">
        <f>'Processos Industriais'!M124</f>
        <v>0</v>
      </c>
      <c r="O116" s="16">
        <f>'Processos Industriais'!N124</f>
        <v>0</v>
      </c>
      <c r="P116" s="16">
        <f>'Processos Industriais'!O124</f>
        <v>0</v>
      </c>
      <c r="Q116" s="16" t="str">
        <f>IFERROR(IF(F116=$K$21,IF(L116&gt;0,L116*H116/1000,IF(M116&gt;0,M116/1000,(N116+O116*'Fatores de Emissão'!$E$248/1000+P116*'Fatores de Emissão'!$E$249/1000)/1000)),IF(L116&gt;0,H116*L116/1000,H116*K116/1000)),"")</f>
        <v/>
      </c>
    </row>
    <row r="117" spans="4:17" x14ac:dyDescent="0.35">
      <c r="D117" s="16">
        <f>'Processos Industriais'!B125</f>
        <v>0</v>
      </c>
      <c r="E117" s="16">
        <f>'Processos Industriais'!C125</f>
        <v>0</v>
      </c>
      <c r="F117" s="16">
        <f>'Processos Industriais'!D125</f>
        <v>0</v>
      </c>
      <c r="G117" s="16">
        <f>'Processos Industriais'!E125</f>
        <v>0</v>
      </c>
      <c r="H117" s="16">
        <f>'Processos Industriais'!F125</f>
        <v>0</v>
      </c>
      <c r="I117" s="16" t="str">
        <f>'Processos Industriais'!G125</f>
        <v/>
      </c>
      <c r="J117" s="16">
        <f>'Processos Industriais'!H125</f>
        <v>0</v>
      </c>
      <c r="K117" s="16" t="str">
        <f>'Processos Industriais'!I125</f>
        <v/>
      </c>
      <c r="L117" s="16">
        <f>'Processos Industriais'!J125</f>
        <v>0</v>
      </c>
      <c r="M117" s="16">
        <f>'Processos Industriais'!L125</f>
        <v>0</v>
      </c>
      <c r="N117" s="16">
        <f>'Processos Industriais'!M125</f>
        <v>0</v>
      </c>
      <c r="O117" s="16">
        <f>'Processos Industriais'!N125</f>
        <v>0</v>
      </c>
      <c r="P117" s="16">
        <f>'Processos Industriais'!O125</f>
        <v>0</v>
      </c>
      <c r="Q117" s="16" t="str">
        <f>IFERROR(IF(F117=$K$21,IF(L117&gt;0,L117*H117/1000,IF(M117&gt;0,M117/1000,(N117+O117*'Fatores de Emissão'!$E$248/1000+P117*'Fatores de Emissão'!$E$249/1000)/1000)),IF(L117&gt;0,H117*L117/1000,H117*K117/1000)),"")</f>
        <v/>
      </c>
    </row>
    <row r="118" spans="4:17" x14ac:dyDescent="0.35">
      <c r="D118" s="16">
        <f>'Processos Industriais'!B126</f>
        <v>0</v>
      </c>
      <c r="E118" s="16">
        <f>'Processos Industriais'!C126</f>
        <v>0</v>
      </c>
      <c r="F118" s="16">
        <f>'Processos Industriais'!D126</f>
        <v>0</v>
      </c>
      <c r="G118" s="16">
        <f>'Processos Industriais'!E126</f>
        <v>0</v>
      </c>
      <c r="H118" s="16">
        <f>'Processos Industriais'!F126</f>
        <v>0</v>
      </c>
      <c r="I118" s="16" t="str">
        <f>'Processos Industriais'!G126</f>
        <v/>
      </c>
      <c r="J118" s="16">
        <f>'Processos Industriais'!H126</f>
        <v>0</v>
      </c>
      <c r="K118" s="16" t="str">
        <f>'Processos Industriais'!I126</f>
        <v/>
      </c>
      <c r="L118" s="16">
        <f>'Processos Industriais'!J126</f>
        <v>0</v>
      </c>
      <c r="M118" s="16">
        <f>'Processos Industriais'!L126</f>
        <v>0</v>
      </c>
      <c r="N118" s="16">
        <f>'Processos Industriais'!M126</f>
        <v>0</v>
      </c>
      <c r="O118" s="16">
        <f>'Processos Industriais'!N126</f>
        <v>0</v>
      </c>
      <c r="P118" s="16">
        <f>'Processos Industriais'!O126</f>
        <v>0</v>
      </c>
      <c r="Q118" s="16" t="str">
        <f>IFERROR(IF(F118=$K$21,IF(L118&gt;0,L118*H118/1000,IF(M118&gt;0,M118/1000,(N118+O118*'Fatores de Emissão'!$E$248/1000+P118*'Fatores de Emissão'!$E$249/1000)/1000)),IF(L118&gt;0,H118*L118/1000,H118*K118/1000)),"")</f>
        <v/>
      </c>
    </row>
    <row r="119" spans="4:17" x14ac:dyDescent="0.35">
      <c r="D119" s="16">
        <f>'Processos Industriais'!B127</f>
        <v>0</v>
      </c>
      <c r="E119" s="16">
        <f>'Processos Industriais'!C127</f>
        <v>0</v>
      </c>
      <c r="F119" s="16">
        <f>'Processos Industriais'!D127</f>
        <v>0</v>
      </c>
      <c r="G119" s="16">
        <f>'Processos Industriais'!E127</f>
        <v>0</v>
      </c>
      <c r="H119" s="16">
        <f>'Processos Industriais'!F127</f>
        <v>0</v>
      </c>
      <c r="I119" s="16" t="str">
        <f>'Processos Industriais'!G127</f>
        <v/>
      </c>
      <c r="J119" s="16">
        <f>'Processos Industriais'!H127</f>
        <v>0</v>
      </c>
      <c r="K119" s="16" t="str">
        <f>'Processos Industriais'!I127</f>
        <v/>
      </c>
      <c r="L119" s="16">
        <f>'Processos Industriais'!J127</f>
        <v>0</v>
      </c>
      <c r="M119" s="16">
        <f>'Processos Industriais'!L127</f>
        <v>0</v>
      </c>
      <c r="N119" s="16">
        <f>'Processos Industriais'!M127</f>
        <v>0</v>
      </c>
      <c r="O119" s="16">
        <f>'Processos Industriais'!N127</f>
        <v>0</v>
      </c>
      <c r="P119" s="16">
        <f>'Processos Industriais'!O127</f>
        <v>0</v>
      </c>
      <c r="Q119" s="16" t="str">
        <f>IFERROR(IF(F119=$K$21,IF(L119&gt;0,L119*H119/1000,IF(M119&gt;0,M119/1000,(N119+O119*'Fatores de Emissão'!$E$248/1000+P119*'Fatores de Emissão'!$E$249/1000)/1000)),IF(L119&gt;0,H119*L119/1000,H119*K119/1000)),"")</f>
        <v/>
      </c>
    </row>
    <row r="120" spans="4:17" x14ac:dyDescent="0.35">
      <c r="D120" s="16">
        <f>'Processos Industriais'!B128</f>
        <v>0</v>
      </c>
      <c r="E120" s="16">
        <f>'Processos Industriais'!C128</f>
        <v>0</v>
      </c>
      <c r="F120" s="16">
        <f>'Processos Industriais'!D128</f>
        <v>0</v>
      </c>
      <c r="G120" s="16">
        <f>'Processos Industriais'!E128</f>
        <v>0</v>
      </c>
      <c r="H120" s="16">
        <f>'Processos Industriais'!F128</f>
        <v>0</v>
      </c>
      <c r="I120" s="16" t="str">
        <f>'Processos Industriais'!G128</f>
        <v/>
      </c>
      <c r="J120" s="16">
        <f>'Processos Industriais'!H128</f>
        <v>0</v>
      </c>
      <c r="K120" s="16" t="str">
        <f>'Processos Industriais'!I128</f>
        <v/>
      </c>
      <c r="L120" s="16">
        <f>'Processos Industriais'!J128</f>
        <v>0</v>
      </c>
      <c r="M120" s="16">
        <f>'Processos Industriais'!L128</f>
        <v>0</v>
      </c>
      <c r="N120" s="16">
        <f>'Processos Industriais'!M128</f>
        <v>0</v>
      </c>
      <c r="O120" s="16">
        <f>'Processos Industriais'!N128</f>
        <v>0</v>
      </c>
      <c r="P120" s="16">
        <f>'Processos Industriais'!O128</f>
        <v>0</v>
      </c>
      <c r="Q120" s="16" t="str">
        <f>IFERROR(IF(F120=$K$21,IF(L120&gt;0,L120*H120/1000,IF(M120&gt;0,M120/1000,(N120+O120*'Fatores de Emissão'!$E$248/1000+P120*'Fatores de Emissão'!$E$249/1000)/1000)),IF(L120&gt;0,H120*L120/1000,H120*K120/1000)),"")</f>
        <v/>
      </c>
    </row>
    <row r="121" spans="4:17" x14ac:dyDescent="0.35">
      <c r="D121" s="16">
        <f>'Processos Industriais'!B129</f>
        <v>0</v>
      </c>
      <c r="E121" s="16">
        <f>'Processos Industriais'!C129</f>
        <v>0</v>
      </c>
      <c r="F121" s="16">
        <f>'Processos Industriais'!D129</f>
        <v>0</v>
      </c>
      <c r="G121" s="16">
        <f>'Processos Industriais'!E129</f>
        <v>0</v>
      </c>
      <c r="H121" s="16">
        <f>'Processos Industriais'!F129</f>
        <v>0</v>
      </c>
      <c r="I121" s="16" t="str">
        <f>'Processos Industriais'!G129</f>
        <v/>
      </c>
      <c r="J121" s="16">
        <f>'Processos Industriais'!H129</f>
        <v>0</v>
      </c>
      <c r="K121" s="16" t="str">
        <f>'Processos Industriais'!I129</f>
        <v/>
      </c>
      <c r="L121" s="16">
        <f>'Processos Industriais'!J129</f>
        <v>0</v>
      </c>
      <c r="M121" s="16">
        <f>'Processos Industriais'!L129</f>
        <v>0</v>
      </c>
      <c r="N121" s="16">
        <f>'Processos Industriais'!M129</f>
        <v>0</v>
      </c>
      <c r="O121" s="16">
        <f>'Processos Industriais'!N129</f>
        <v>0</v>
      </c>
      <c r="P121" s="16">
        <f>'Processos Industriais'!O129</f>
        <v>0</v>
      </c>
      <c r="Q121" s="16" t="str">
        <f>IFERROR(IF(F121=$K$21,IF(L121&gt;0,L121*H121/1000,IF(M121&gt;0,M121/1000,(N121+O121*'Fatores de Emissão'!$E$248/1000+P121*'Fatores de Emissão'!$E$249/1000)/1000)),IF(L121&gt;0,H121*L121/1000,H121*K121/1000)),"")</f>
        <v/>
      </c>
    </row>
    <row r="122" spans="4:17" x14ac:dyDescent="0.35">
      <c r="D122" s="16">
        <f>'Processos Industriais'!B130</f>
        <v>0</v>
      </c>
      <c r="E122" s="16">
        <f>'Processos Industriais'!C130</f>
        <v>0</v>
      </c>
      <c r="F122" s="16">
        <f>'Processos Industriais'!D130</f>
        <v>0</v>
      </c>
      <c r="G122" s="16">
        <f>'Processos Industriais'!E130</f>
        <v>0</v>
      </c>
      <c r="H122" s="16">
        <f>'Processos Industriais'!F130</f>
        <v>0</v>
      </c>
      <c r="I122" s="16" t="str">
        <f>'Processos Industriais'!G130</f>
        <v/>
      </c>
      <c r="J122" s="16">
        <f>'Processos Industriais'!H130</f>
        <v>0</v>
      </c>
      <c r="K122" s="16" t="str">
        <f>'Processos Industriais'!I130</f>
        <v/>
      </c>
      <c r="L122" s="16">
        <f>'Processos Industriais'!J130</f>
        <v>0</v>
      </c>
      <c r="M122" s="16">
        <f>'Processos Industriais'!L130</f>
        <v>0</v>
      </c>
      <c r="N122" s="16">
        <f>'Processos Industriais'!M130</f>
        <v>0</v>
      </c>
      <c r="O122" s="16">
        <f>'Processos Industriais'!N130</f>
        <v>0</v>
      </c>
      <c r="P122" s="16">
        <f>'Processos Industriais'!O130</f>
        <v>0</v>
      </c>
      <c r="Q122" s="16" t="str">
        <f>IFERROR(IF(F122=$K$21,IF(L122&gt;0,L122*H122/1000,IF(M122&gt;0,M122/1000,(N122+O122*'Fatores de Emissão'!$E$248/1000+P122*'Fatores de Emissão'!$E$249/1000)/1000)),IF(L122&gt;0,H122*L122/1000,H122*K122/1000)),"")</f>
        <v/>
      </c>
    </row>
    <row r="123" spans="4:17" x14ac:dyDescent="0.35">
      <c r="D123" s="16">
        <f>'Processos Industriais'!B131</f>
        <v>0</v>
      </c>
      <c r="E123" s="16">
        <f>'Processos Industriais'!C131</f>
        <v>0</v>
      </c>
      <c r="F123" s="16">
        <f>'Processos Industriais'!D131</f>
        <v>0</v>
      </c>
      <c r="G123" s="16">
        <f>'Processos Industriais'!E131</f>
        <v>0</v>
      </c>
      <c r="H123" s="16">
        <f>'Processos Industriais'!F131</f>
        <v>0</v>
      </c>
      <c r="I123" s="16" t="str">
        <f>'Processos Industriais'!G131</f>
        <v/>
      </c>
      <c r="J123" s="16">
        <f>'Processos Industriais'!H131</f>
        <v>0</v>
      </c>
      <c r="K123" s="16" t="str">
        <f>'Processos Industriais'!I131</f>
        <v/>
      </c>
      <c r="L123" s="16">
        <f>'Processos Industriais'!J131</f>
        <v>0</v>
      </c>
      <c r="M123" s="16">
        <f>'Processos Industriais'!L131</f>
        <v>0</v>
      </c>
      <c r="N123" s="16">
        <f>'Processos Industriais'!M131</f>
        <v>0</v>
      </c>
      <c r="O123" s="16">
        <f>'Processos Industriais'!N131</f>
        <v>0</v>
      </c>
      <c r="P123" s="16">
        <f>'Processos Industriais'!O131</f>
        <v>0</v>
      </c>
      <c r="Q123" s="16" t="str">
        <f>IFERROR(IF(F123=$K$21,IF(L123&gt;0,L123*H123/1000,IF(M123&gt;0,M123/1000,(N123+O123*'Fatores de Emissão'!$E$248/1000+P123*'Fatores de Emissão'!$E$249/1000)/1000)),IF(L123&gt;0,H123*L123/1000,H123*K123/1000)),"")</f>
        <v/>
      </c>
    </row>
    <row r="124" spans="4:17" x14ac:dyDescent="0.35">
      <c r="D124" s="16">
        <f>'Processos Industriais'!B132</f>
        <v>0</v>
      </c>
      <c r="E124" s="16">
        <f>'Processos Industriais'!C132</f>
        <v>0</v>
      </c>
      <c r="F124" s="16">
        <f>'Processos Industriais'!D132</f>
        <v>0</v>
      </c>
      <c r="G124" s="16">
        <f>'Processos Industriais'!E132</f>
        <v>0</v>
      </c>
      <c r="H124" s="16">
        <f>'Processos Industriais'!F132</f>
        <v>0</v>
      </c>
      <c r="I124" s="16" t="str">
        <f>'Processos Industriais'!G132</f>
        <v/>
      </c>
      <c r="J124" s="16">
        <f>'Processos Industriais'!H132</f>
        <v>0</v>
      </c>
      <c r="K124" s="16" t="str">
        <f>'Processos Industriais'!I132</f>
        <v/>
      </c>
      <c r="L124" s="16">
        <f>'Processos Industriais'!J132</f>
        <v>0</v>
      </c>
      <c r="M124" s="16">
        <f>'Processos Industriais'!L132</f>
        <v>0</v>
      </c>
      <c r="N124" s="16">
        <f>'Processos Industriais'!M132</f>
        <v>0</v>
      </c>
      <c r="O124" s="16">
        <f>'Processos Industriais'!N132</f>
        <v>0</v>
      </c>
      <c r="P124" s="16">
        <f>'Processos Industriais'!O132</f>
        <v>0</v>
      </c>
      <c r="Q124" s="16" t="str">
        <f>IFERROR(IF(F124=$K$21,IF(L124&gt;0,L124*H124/1000,IF(M124&gt;0,M124/1000,(N124+O124*'Fatores de Emissão'!$E$248/1000+P124*'Fatores de Emissão'!$E$249/1000)/1000)),IF(L124&gt;0,H124*L124/1000,H124*K124/1000)),"")</f>
        <v/>
      </c>
    </row>
    <row r="125" spans="4:17" x14ac:dyDescent="0.35">
      <c r="D125" s="16">
        <f>'Processos Industriais'!B133</f>
        <v>0</v>
      </c>
      <c r="E125" s="16">
        <f>'Processos Industriais'!C133</f>
        <v>0</v>
      </c>
      <c r="F125" s="16">
        <f>'Processos Industriais'!D133</f>
        <v>0</v>
      </c>
      <c r="G125" s="16">
        <f>'Processos Industriais'!E133</f>
        <v>0</v>
      </c>
      <c r="H125" s="16">
        <f>'Processos Industriais'!F133</f>
        <v>0</v>
      </c>
      <c r="I125" s="16" t="str">
        <f>'Processos Industriais'!G133</f>
        <v/>
      </c>
      <c r="J125" s="16">
        <f>'Processos Industriais'!H133</f>
        <v>0</v>
      </c>
      <c r="K125" s="16" t="str">
        <f>'Processos Industriais'!I133</f>
        <v/>
      </c>
      <c r="L125" s="16">
        <f>'Processos Industriais'!J133</f>
        <v>0</v>
      </c>
      <c r="M125" s="16">
        <f>'Processos Industriais'!L133</f>
        <v>0</v>
      </c>
      <c r="N125" s="16">
        <f>'Processos Industriais'!M133</f>
        <v>0</v>
      </c>
      <c r="O125" s="16">
        <f>'Processos Industriais'!N133</f>
        <v>0</v>
      </c>
      <c r="P125" s="16">
        <f>'Processos Industriais'!O133</f>
        <v>0</v>
      </c>
      <c r="Q125" s="16" t="str">
        <f>IFERROR(IF(F125=$K$21,IF(L125&gt;0,L125*H125/1000,IF(M125&gt;0,M125/1000,(N125+O125*'Fatores de Emissão'!$E$248/1000+P125*'Fatores de Emissão'!$E$249/1000)/1000)),IF(L125&gt;0,H125*L125/1000,H125*K125/1000)),"")</f>
        <v/>
      </c>
    </row>
  </sheetData>
  <mergeCells count="9">
    <mergeCell ref="Q24:Q25"/>
    <mergeCell ref="E11:G11"/>
    <mergeCell ref="D24:D25"/>
    <mergeCell ref="E24:E25"/>
    <mergeCell ref="F24:F25"/>
    <mergeCell ref="G24:G25"/>
    <mergeCell ref="H24:J24"/>
    <mergeCell ref="K24:L24"/>
    <mergeCell ref="M24:P2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C3B98-D291-4357-AF14-F9500748C90F}">
  <sheetPr codeName="Folha15">
    <tabColor rgb="FF02A39C"/>
  </sheetPr>
  <dimension ref="A1:AK515"/>
  <sheetViews>
    <sheetView showGridLines="0" topLeftCell="K158" zoomScale="55" zoomScaleNormal="55" workbookViewId="0">
      <selection activeCell="M176" sqref="M176"/>
    </sheetView>
  </sheetViews>
  <sheetFormatPr defaultColWidth="0" defaultRowHeight="14.5" customHeight="1" zeroHeight="1" outlineLevelRow="2" x14ac:dyDescent="0.35"/>
  <cols>
    <col min="1" max="1" width="9.26953125" style="169" customWidth="1"/>
    <col min="2" max="2" width="16.81640625" style="169" customWidth="1"/>
    <col min="3" max="3" width="40.7265625" style="169" customWidth="1"/>
    <col min="4" max="4" width="39.7265625" style="169" customWidth="1"/>
    <col min="5" max="5" width="35.26953125" style="169" customWidth="1"/>
    <col min="6" max="6" width="31.26953125" style="169" customWidth="1"/>
    <col min="7" max="7" width="25" style="169" customWidth="1"/>
    <col min="8" max="8" width="18.81640625" style="169" customWidth="1"/>
    <col min="9" max="9" width="31.1796875" style="169" customWidth="1"/>
    <col min="10" max="10" width="23.7265625" style="169" customWidth="1"/>
    <col min="11" max="11" width="33.7265625" style="169" customWidth="1"/>
    <col min="12" max="12" width="38.1796875" style="169" customWidth="1"/>
    <col min="13" max="13" width="34.7265625" style="169" customWidth="1"/>
    <col min="14" max="14" width="30" style="169" customWidth="1"/>
    <col min="15" max="17" width="21.7265625" style="169" customWidth="1"/>
    <col min="18" max="18" width="31.7265625" style="169" customWidth="1"/>
    <col min="19" max="19" width="27" style="169" customWidth="1"/>
    <col min="20" max="20" width="28.1796875" style="169" customWidth="1"/>
    <col min="21" max="21" width="29.81640625" style="169" customWidth="1"/>
    <col min="22" max="22" width="26.1796875" style="169" customWidth="1"/>
    <col min="23" max="24" width="21.7265625" style="169" customWidth="1"/>
    <col min="25" max="16381" width="5.7265625" style="169" customWidth="1"/>
    <col min="16382" max="16382" width="6.7265625" style="169" customWidth="1"/>
    <col min="16383" max="16383" width="10.7265625" style="169" customWidth="1"/>
    <col min="16384" max="16384" width="9.7265625" style="169" customWidth="1"/>
  </cols>
  <sheetData>
    <row r="1" spans="2:11" ht="15.5" x14ac:dyDescent="0.35"/>
    <row r="2" spans="2:11" ht="15.5" x14ac:dyDescent="0.35"/>
    <row r="3" spans="2:11" ht="15.5" x14ac:dyDescent="0.35"/>
    <row r="4" spans="2:11" ht="15.5" x14ac:dyDescent="0.35"/>
    <row r="5" spans="2:11" ht="15.5" x14ac:dyDescent="0.35"/>
    <row r="6" spans="2:11" ht="15.5" x14ac:dyDescent="0.35"/>
    <row r="7" spans="2:11" ht="15.5" x14ac:dyDescent="0.35"/>
    <row r="8" spans="2:11" ht="15.5" x14ac:dyDescent="0.35">
      <c r="D8" s="1104" t="str">
        <f>IF(Triagem!C33="", "Não indicou na TRIAGEM se esta folha se adequa ao projeto", IF(Triagem!C33="Não", "Não necessita de preencher esta folha", "Folha a ser preenchida"))</f>
        <v>Não indicou na TRIAGEM se esta folha se adequa ao projeto</v>
      </c>
      <c r="E8" s="1104"/>
      <c r="F8" s="1104"/>
      <c r="G8" s="1104"/>
      <c r="H8" s="1104"/>
    </row>
    <row r="9" spans="2:11" ht="15.5" x14ac:dyDescent="0.35"/>
    <row r="10" spans="2:11" ht="15.5" outlineLevel="1" x14ac:dyDescent="0.35"/>
    <row r="11" spans="2:11" ht="42" customHeight="1" outlineLevel="1" x14ac:dyDescent="0.35">
      <c r="B11" s="1196" t="s">
        <v>1089</v>
      </c>
      <c r="C11" s="1196"/>
      <c r="D11" s="1196"/>
      <c r="E11" s="1196"/>
      <c r="F11" s="1196"/>
      <c r="G11" s="1196"/>
      <c r="H11" s="1196"/>
      <c r="I11" s="1196"/>
      <c r="J11" s="1196"/>
      <c r="K11" s="343"/>
    </row>
    <row r="12" spans="2:11" ht="20.5" customHeight="1" outlineLevel="1" x14ac:dyDescent="0.35">
      <c r="B12" s="1196" t="s">
        <v>1102</v>
      </c>
      <c r="C12" s="1196"/>
      <c r="D12" s="1196"/>
      <c r="E12" s="1196"/>
      <c r="F12" s="1196"/>
      <c r="G12" s="1196"/>
      <c r="H12" s="1196"/>
      <c r="I12" s="1196"/>
      <c r="J12" s="1196"/>
      <c r="K12" s="1196"/>
    </row>
    <row r="13" spans="2:11" ht="15.5" outlineLevel="1" x14ac:dyDescent="0.35">
      <c r="B13" s="1224" t="s">
        <v>1103</v>
      </c>
      <c r="C13" s="1224"/>
      <c r="D13" s="1224"/>
      <c r="E13" s="1224"/>
      <c r="F13" s="1224"/>
      <c r="G13" s="1224"/>
      <c r="H13" s="1224"/>
      <c r="I13" s="1224"/>
      <c r="J13" s="1224"/>
      <c r="K13" s="1224"/>
    </row>
    <row r="14" spans="2:11" ht="30.75" customHeight="1" outlineLevel="1" x14ac:dyDescent="0.35">
      <c r="B14" s="1226" t="s">
        <v>1539</v>
      </c>
      <c r="C14" s="1226"/>
      <c r="D14" s="1226"/>
      <c r="E14" s="1226"/>
      <c r="F14" s="1226"/>
      <c r="G14" s="1226"/>
      <c r="H14" s="1226"/>
      <c r="I14" s="1226"/>
      <c r="J14" s="1226"/>
      <c r="K14" s="343"/>
    </row>
    <row r="15" spans="2:11" ht="21.65" customHeight="1" outlineLevel="1" x14ac:dyDescent="0.35">
      <c r="B15" s="1224" t="s">
        <v>1540</v>
      </c>
      <c r="C15" s="1224"/>
      <c r="D15" s="1224"/>
      <c r="E15" s="1224"/>
      <c r="F15" s="1224"/>
      <c r="G15" s="1224"/>
      <c r="H15" s="1224"/>
      <c r="I15" s="1224"/>
      <c r="J15" s="1224"/>
      <c r="K15" s="1224"/>
    </row>
    <row r="16" spans="2:11" ht="42" customHeight="1" outlineLevel="1" x14ac:dyDescent="0.35">
      <c r="B16" s="1226" t="s">
        <v>1541</v>
      </c>
      <c r="C16" s="1226"/>
      <c r="D16" s="1226"/>
      <c r="E16" s="1226"/>
      <c r="F16" s="1226"/>
      <c r="G16" s="1226"/>
      <c r="H16" s="1226"/>
      <c r="I16" s="1226"/>
      <c r="J16" s="1226"/>
      <c r="K16" s="343"/>
    </row>
    <row r="17" spans="2:27" ht="15.5" outlineLevel="1" x14ac:dyDescent="0.35">
      <c r="B17" s="1224" t="s">
        <v>1098</v>
      </c>
      <c r="C17" s="1224"/>
      <c r="D17" s="1224"/>
      <c r="E17" s="1224"/>
      <c r="F17" s="1224"/>
      <c r="G17" s="1224"/>
      <c r="H17" s="1224"/>
      <c r="I17" s="1224"/>
      <c r="J17" s="1224"/>
      <c r="K17" s="1224"/>
    </row>
    <row r="18" spans="2:27" ht="15.5" outlineLevel="1" x14ac:dyDescent="0.35">
      <c r="B18" s="1225" t="s">
        <v>1153</v>
      </c>
      <c r="C18" s="1225"/>
      <c r="D18" s="1225"/>
      <c r="E18" s="1225"/>
      <c r="F18" s="1225"/>
      <c r="G18" s="1225"/>
      <c r="H18" s="1225"/>
      <c r="I18" s="1225"/>
      <c r="J18" s="1225"/>
      <c r="K18" s="1225"/>
    </row>
    <row r="19" spans="2:27" ht="22.15" customHeight="1" outlineLevel="1" x14ac:dyDescent="0.35">
      <c r="B19" s="1225" t="s">
        <v>1154</v>
      </c>
      <c r="C19" s="1225"/>
      <c r="D19" s="1225"/>
      <c r="E19" s="1225"/>
      <c r="F19" s="1225"/>
      <c r="G19" s="1225"/>
      <c r="H19" s="1225"/>
      <c r="I19" s="1225"/>
      <c r="J19" s="1225"/>
      <c r="K19" s="1225"/>
    </row>
    <row r="20" spans="2:27" ht="15.5" outlineLevel="1" x14ac:dyDescent="0.35">
      <c r="B20" s="1225" t="s">
        <v>1364</v>
      </c>
      <c r="C20" s="1225"/>
      <c r="D20" s="1225"/>
      <c r="E20" s="1225"/>
      <c r="F20" s="1225"/>
      <c r="G20" s="1225"/>
      <c r="H20" s="1225"/>
      <c r="I20" s="1225"/>
      <c r="J20" s="1225"/>
      <c r="K20" s="1225"/>
    </row>
    <row r="21" spans="2:27" ht="15.5" outlineLevel="1" x14ac:dyDescent="0.35"/>
    <row r="22" spans="2:27" ht="15.5" outlineLevel="1" x14ac:dyDescent="0.35"/>
    <row r="23" spans="2:27" s="296" customFormat="1" ht="30" customHeight="1" x14ac:dyDescent="0.35">
      <c r="B23" s="296" t="s">
        <v>1286</v>
      </c>
    </row>
    <row r="24" spans="2:27" ht="15.5" outlineLevel="1" x14ac:dyDescent="0.35"/>
    <row r="25" spans="2:27" ht="15.5" outlineLevel="1" x14ac:dyDescent="0.35"/>
    <row r="26" spans="2:27" ht="15.5" outlineLevel="1" x14ac:dyDescent="0.35">
      <c r="B26" s="167" t="s">
        <v>0</v>
      </c>
      <c r="C26" s="172"/>
      <c r="D26" s="172"/>
      <c r="E26" s="172"/>
      <c r="F26" s="172"/>
      <c r="G26" s="172"/>
      <c r="H26" s="172"/>
      <c r="I26" s="172"/>
      <c r="J26" s="172"/>
      <c r="K26" s="172"/>
      <c r="L26" s="172"/>
      <c r="M26" s="172"/>
      <c r="N26" s="172"/>
      <c r="O26" s="172"/>
      <c r="P26" s="172"/>
      <c r="Q26" s="172"/>
      <c r="R26" s="172"/>
      <c r="S26" s="172"/>
    </row>
    <row r="27" spans="2:27" ht="15.5" outlineLevel="1" x14ac:dyDescent="0.35">
      <c r="B27" s="345" t="s">
        <v>1104</v>
      </c>
      <c r="C27" s="172"/>
      <c r="D27" s="172"/>
      <c r="E27" s="172"/>
      <c r="F27" s="172"/>
      <c r="G27" s="172"/>
      <c r="H27" s="172"/>
      <c r="I27" s="172"/>
      <c r="J27" s="172"/>
      <c r="K27" s="172"/>
      <c r="L27" s="172"/>
      <c r="M27" s="172"/>
      <c r="N27" s="172"/>
      <c r="O27" s="172"/>
      <c r="P27" s="172"/>
      <c r="Q27" s="172"/>
      <c r="R27" s="172"/>
      <c r="S27" s="172"/>
    </row>
    <row r="28" spans="2:27" ht="19.899999999999999" customHeight="1" outlineLevel="1" x14ac:dyDescent="0.35">
      <c r="B28" s="172" t="s">
        <v>1105</v>
      </c>
      <c r="C28" s="229"/>
      <c r="D28" s="229"/>
      <c r="E28" s="229"/>
      <c r="F28" s="229"/>
      <c r="G28" s="229"/>
      <c r="H28" s="229"/>
      <c r="I28" s="229"/>
      <c r="J28" s="229"/>
      <c r="K28" s="229"/>
      <c r="L28" s="229"/>
      <c r="M28" s="229"/>
      <c r="N28" s="229"/>
      <c r="O28" s="229"/>
      <c r="P28" s="230"/>
      <c r="Q28" s="230"/>
      <c r="R28" s="231"/>
      <c r="S28" s="231"/>
      <c r="T28" s="232"/>
      <c r="U28" s="232"/>
      <c r="V28" s="232"/>
      <c r="W28" s="232"/>
      <c r="X28" s="232"/>
      <c r="Y28" s="232"/>
      <c r="Z28" s="232"/>
      <c r="AA28" s="233"/>
    </row>
    <row r="29" spans="2:27" ht="19.899999999999999" customHeight="1" outlineLevel="1" x14ac:dyDescent="0.35">
      <c r="B29" s="172" t="s">
        <v>907</v>
      </c>
      <c r="C29" s="229"/>
      <c r="D29" s="229"/>
      <c r="E29" s="229"/>
      <c r="F29" s="229"/>
      <c r="G29" s="229"/>
      <c r="H29" s="229"/>
      <c r="I29" s="229"/>
      <c r="J29" s="229"/>
      <c r="K29" s="229"/>
      <c r="L29" s="229"/>
      <c r="M29" s="229"/>
      <c r="N29" s="229"/>
      <c r="O29" s="229"/>
      <c r="P29" s="230"/>
      <c r="Q29" s="230"/>
      <c r="R29" s="231"/>
      <c r="S29" s="231"/>
      <c r="T29" s="232"/>
      <c r="U29" s="232"/>
      <c r="V29" s="232"/>
      <c r="W29" s="232"/>
      <c r="X29" s="232"/>
      <c r="Y29" s="232"/>
      <c r="Z29" s="232"/>
      <c r="AA29" s="233"/>
    </row>
    <row r="30" spans="2:27" ht="19.899999999999999" customHeight="1" outlineLevel="1" x14ac:dyDescent="0.35">
      <c r="B30" s="172" t="s">
        <v>1487</v>
      </c>
      <c r="C30" s="229"/>
      <c r="D30" s="229"/>
      <c r="E30" s="229"/>
      <c r="F30" s="229"/>
      <c r="G30" s="229"/>
      <c r="H30" s="229"/>
      <c r="I30" s="229"/>
      <c r="J30" s="229"/>
      <c r="K30" s="229"/>
      <c r="L30" s="229"/>
      <c r="M30" s="229"/>
      <c r="N30" s="229"/>
      <c r="O30" s="229"/>
      <c r="P30" s="229"/>
      <c r="Q30" s="230"/>
      <c r="R30" s="231"/>
      <c r="S30" s="231"/>
      <c r="T30" s="232"/>
      <c r="U30" s="232"/>
      <c r="V30" s="232"/>
      <c r="W30" s="232"/>
      <c r="X30" s="232"/>
      <c r="Y30" s="232"/>
      <c r="Z30" s="232"/>
      <c r="AA30" s="233"/>
    </row>
    <row r="31" spans="2:27" ht="30.65" customHeight="1" outlineLevel="1" x14ac:dyDescent="0.35">
      <c r="B31" s="1067" t="s">
        <v>1106</v>
      </c>
      <c r="C31" s="1067"/>
      <c r="D31" s="1067"/>
      <c r="E31" s="1067"/>
      <c r="F31" s="1067"/>
      <c r="G31" s="1067"/>
      <c r="H31" s="1067"/>
      <c r="I31" s="1067"/>
      <c r="J31" s="1067"/>
      <c r="K31" s="1067"/>
      <c r="L31" s="229"/>
      <c r="M31" s="229"/>
      <c r="N31" s="229"/>
      <c r="O31" s="229"/>
      <c r="P31" s="229"/>
      <c r="Q31" s="230"/>
      <c r="R31" s="230"/>
      <c r="S31" s="230"/>
      <c r="T31" s="234"/>
      <c r="U31" s="234"/>
      <c r="V31" s="234"/>
      <c r="W31" s="234"/>
      <c r="X31" s="234"/>
      <c r="Y31" s="234"/>
      <c r="Z31" s="234"/>
      <c r="AA31" s="234"/>
    </row>
    <row r="32" spans="2:27" ht="19.899999999999999" customHeight="1" outlineLevel="1" x14ac:dyDescent="0.35">
      <c r="B32" s="1162" t="s">
        <v>942</v>
      </c>
      <c r="C32" s="1162"/>
      <c r="D32" s="1162"/>
      <c r="E32" s="1162"/>
      <c r="F32" s="1162"/>
      <c r="G32" s="1162"/>
      <c r="H32" s="1162"/>
      <c r="I32" s="1162"/>
      <c r="J32" s="1162"/>
      <c r="K32" s="1162"/>
      <c r="L32" s="1162"/>
      <c r="M32" s="1162"/>
      <c r="N32" s="1162"/>
      <c r="O32" s="1162"/>
      <c r="P32" s="1162"/>
      <c r="Q32" s="230"/>
      <c r="R32" s="230"/>
      <c r="S32" s="230"/>
      <c r="T32" s="234"/>
      <c r="U32" s="234"/>
      <c r="V32" s="234"/>
      <c r="W32" s="234"/>
      <c r="X32" s="234"/>
      <c r="Y32" s="234"/>
      <c r="Z32" s="234"/>
      <c r="AA32" s="234"/>
    </row>
    <row r="33" spans="1:27" ht="19.899999999999999" customHeight="1" outlineLevel="1" x14ac:dyDescent="0.35">
      <c r="B33" s="1222" t="s">
        <v>1134</v>
      </c>
      <c r="C33" s="1222"/>
      <c r="D33" s="1222"/>
      <c r="E33" s="1222"/>
      <c r="F33" s="1222"/>
      <c r="G33" s="1222"/>
      <c r="H33" s="1222"/>
      <c r="I33" s="1222"/>
      <c r="J33" s="1222"/>
      <c r="K33" s="1222"/>
      <c r="L33" s="1222"/>
      <c r="M33" s="1222"/>
      <c r="N33" s="1222"/>
      <c r="O33" s="1222"/>
      <c r="P33" s="1222"/>
      <c r="Q33" s="230"/>
      <c r="R33" s="230"/>
      <c r="S33" s="230"/>
      <c r="T33" s="234"/>
      <c r="U33" s="234"/>
      <c r="V33" s="234"/>
      <c r="W33" s="234"/>
      <c r="X33" s="234"/>
      <c r="Y33" s="234"/>
      <c r="Z33" s="234"/>
      <c r="AA33" s="234"/>
    </row>
    <row r="34" spans="1:27" ht="17.5" outlineLevel="1" x14ac:dyDescent="0.35">
      <c r="B34" s="345" t="s">
        <v>1488</v>
      </c>
      <c r="C34" s="235"/>
      <c r="D34" s="235"/>
      <c r="E34" s="235"/>
      <c r="F34" s="235"/>
      <c r="G34" s="235"/>
      <c r="H34" s="235"/>
      <c r="I34" s="235"/>
      <c r="J34" s="235"/>
      <c r="K34" s="235"/>
      <c r="L34" s="235"/>
      <c r="M34" s="235"/>
      <c r="N34" s="235"/>
      <c r="O34" s="235"/>
      <c r="P34" s="235"/>
      <c r="Q34" s="235"/>
      <c r="R34" s="235"/>
      <c r="S34" s="235"/>
      <c r="T34" s="233"/>
      <c r="U34" s="233"/>
      <c r="V34" s="233"/>
      <c r="W34" s="233"/>
      <c r="X34" s="233"/>
      <c r="Y34" s="233"/>
      <c r="Z34" s="233"/>
      <c r="AA34" s="233"/>
    </row>
    <row r="35" spans="1:27" ht="15.5" outlineLevel="1" x14ac:dyDescent="0.35"/>
    <row r="36" spans="1:27" ht="15.5" outlineLevel="1" x14ac:dyDescent="0.35">
      <c r="I36" s="183"/>
    </row>
    <row r="37" spans="1:27" ht="15.5" outlineLevel="1" x14ac:dyDescent="0.35">
      <c r="B37" s="236" t="s">
        <v>1017</v>
      </c>
    </row>
    <row r="38" spans="1:27" ht="38.5" customHeight="1" outlineLevel="1" x14ac:dyDescent="0.35">
      <c r="B38" s="1089" t="s">
        <v>868</v>
      </c>
      <c r="C38" s="1089" t="s">
        <v>869</v>
      </c>
      <c r="D38" s="1089" t="s">
        <v>919</v>
      </c>
      <c r="E38" s="1089" t="s">
        <v>1141</v>
      </c>
      <c r="F38" s="1206" t="s">
        <v>920</v>
      </c>
      <c r="G38" s="1207"/>
      <c r="H38" s="1207"/>
      <c r="I38" s="1207"/>
      <c r="J38" s="1207"/>
      <c r="K38" s="1207"/>
      <c r="L38" s="1207"/>
      <c r="M38" s="1207"/>
      <c r="N38" s="1207"/>
      <c r="O38" s="1207"/>
      <c r="P38" s="1207"/>
      <c r="Q38" s="1207"/>
      <c r="R38" s="1208"/>
      <c r="S38" s="1089" t="s">
        <v>1107</v>
      </c>
    </row>
    <row r="39" spans="1:27" ht="30" customHeight="1" outlineLevel="1" x14ac:dyDescent="0.35">
      <c r="B39" s="1090"/>
      <c r="C39" s="1090"/>
      <c r="D39" s="1090"/>
      <c r="E39" s="1090"/>
      <c r="F39" s="1212" t="s">
        <v>1142</v>
      </c>
      <c r="G39" s="1213"/>
      <c r="H39" s="1213"/>
      <c r="I39" s="1213"/>
      <c r="J39" s="1213"/>
      <c r="K39" s="1213"/>
      <c r="L39" s="1214"/>
      <c r="M39" s="1220" t="s">
        <v>1143</v>
      </c>
      <c r="N39" s="1221"/>
      <c r="O39" s="1209" t="s">
        <v>1144</v>
      </c>
      <c r="P39" s="1210"/>
      <c r="Q39" s="1210"/>
      <c r="R39" s="1210"/>
      <c r="S39" s="1090"/>
    </row>
    <row r="40" spans="1:27" ht="62" outlineLevel="1" x14ac:dyDescent="0.35">
      <c r="B40" s="1100"/>
      <c r="C40" s="1100"/>
      <c r="D40" s="1100"/>
      <c r="E40" s="1100"/>
      <c r="F40" s="238" t="s">
        <v>1138</v>
      </c>
      <c r="G40" s="237" t="s">
        <v>29</v>
      </c>
      <c r="H40" s="237" t="s">
        <v>928</v>
      </c>
      <c r="I40" s="237" t="s">
        <v>921</v>
      </c>
      <c r="J40" s="238" t="s">
        <v>552</v>
      </c>
      <c r="K40" s="238" t="s">
        <v>32</v>
      </c>
      <c r="L40" s="238" t="s">
        <v>930</v>
      </c>
      <c r="M40" s="240" t="s">
        <v>1139</v>
      </c>
      <c r="N40" s="238" t="s">
        <v>909</v>
      </c>
      <c r="O40" s="237" t="s">
        <v>1109</v>
      </c>
      <c r="P40" s="237" t="s">
        <v>1110</v>
      </c>
      <c r="Q40" s="237" t="s">
        <v>1111</v>
      </c>
      <c r="R40" s="238" t="s">
        <v>909</v>
      </c>
      <c r="S40" s="1100"/>
    </row>
    <row r="41" spans="1:27" s="248" customFormat="1" ht="62" outlineLevel="1" x14ac:dyDescent="0.35">
      <c r="A41" s="241" t="s">
        <v>39</v>
      </c>
      <c r="B41" s="242" t="s">
        <v>36</v>
      </c>
      <c r="C41" s="242" t="s">
        <v>943</v>
      </c>
      <c r="D41" s="242" t="s">
        <v>912</v>
      </c>
      <c r="E41" s="242" t="s">
        <v>943</v>
      </c>
      <c r="F41" s="822">
        <v>10000</v>
      </c>
      <c r="G41" s="574" t="s">
        <v>922</v>
      </c>
      <c r="H41" s="243"/>
      <c r="I41" s="244" t="s">
        <v>944</v>
      </c>
      <c r="J41" s="1008">
        <v>10</v>
      </c>
      <c r="K41" s="245" t="s">
        <v>1486</v>
      </c>
      <c r="L41" s="247" t="s">
        <v>945</v>
      </c>
      <c r="M41" s="986"/>
      <c r="N41" s="246"/>
      <c r="O41" s="338"/>
      <c r="P41" s="338"/>
      <c r="Q41" s="338"/>
      <c r="R41" s="246"/>
      <c r="S41" s="976">
        <v>100</v>
      </c>
    </row>
    <row r="42" spans="1:27" ht="15.5" outlineLevel="1" x14ac:dyDescent="0.35">
      <c r="B42" s="269"/>
      <c r="C42" s="269"/>
      <c r="D42" s="250"/>
      <c r="E42" s="269"/>
      <c r="F42" s="947"/>
      <c r="G42" s="567" t="str">
        <f>IFERROR(VLOOKUP(D42,FAOEP!$D$16:$E$27,2,FALSE),"")</f>
        <v/>
      </c>
      <c r="H42" s="941"/>
      <c r="I42" s="942"/>
      <c r="J42" s="985"/>
      <c r="K42" s="948" t="str">
        <f>IFERROR(IF(VLOOKUP(D42,FAOEP!$D$16:$F$27,3,FALSE)=FAOEP!$F$26,"kgCO2e/"&amp;'Outras emissões de processo'!H42,VLOOKUP(D42,FAOEP!$D$16:$F$27,3,FALSE)),"")</f>
        <v/>
      </c>
      <c r="L42" s="252"/>
      <c r="M42" s="987"/>
      <c r="N42" s="569"/>
      <c r="O42" s="337"/>
      <c r="P42" s="337"/>
      <c r="Q42" s="337"/>
      <c r="R42" s="569"/>
      <c r="S42" s="980" t="str">
        <f>IF((F42*J42+M42+O42+(P42+Q42)/1000)/1000=0,"",(F42*J42+M42+O42+(P42*'Fatores de Emissão'!$E$248+Q42*'Fatores de Emissão'!$E$249)/1000)/1000)</f>
        <v/>
      </c>
      <c r="T42" s="213" t="str">
        <f>IF(COUNT(F42,M42, IF(COUNT(O42:Q42)&gt;0,1,""))&gt;1,"ERRO: introduziu valores em mais que uma opção. Reveja e garanta que preenche apenas uma das 3 opções","")</f>
        <v/>
      </c>
    </row>
    <row r="43" spans="1:27" ht="15.5" outlineLevel="1" x14ac:dyDescent="0.35">
      <c r="B43" s="269"/>
      <c r="C43" s="269"/>
      <c r="D43" s="250"/>
      <c r="E43" s="269"/>
      <c r="F43" s="947"/>
      <c r="G43" s="567" t="str">
        <f>IFERROR(VLOOKUP(D43,FAOEP!$D$16:$E$27,2,FALSE),"")</f>
        <v/>
      </c>
      <c r="H43" s="941"/>
      <c r="I43" s="942"/>
      <c r="J43" s="985"/>
      <c r="K43" s="948" t="str">
        <f>IFERROR(IF(VLOOKUP(D43,FAOEP!$D$16:$F$27,3,FALSE)=FAOEP!$F$26,"kgCO2e/"&amp;'Outras emissões de processo'!H43,VLOOKUP(D43,FAOEP!$D$16:$F$27,3,FALSE)),"")</f>
        <v/>
      </c>
      <c r="L43" s="252"/>
      <c r="M43" s="987"/>
      <c r="N43" s="569"/>
      <c r="O43" s="337"/>
      <c r="P43" s="337"/>
      <c r="Q43" s="337"/>
      <c r="R43" s="569"/>
      <c r="S43" s="980" t="str">
        <f>IF((F43*J43+M43+O43+(P43+Q43)/1000)/1000=0,"",(F43*J43+M43+O43+(P43*'Fatores de Emissão'!$E$248+Q43*'Fatores de Emissão'!$E$249)/1000)/1000)</f>
        <v/>
      </c>
      <c r="T43" s="213" t="str">
        <f>IF(COUNT(J43,M43, IF(COUNT(O43:Q43)&gt;0,1,""))&gt;1,"ERRO: introduziu valores em mais que uma opção. Reveja e garanta que preenche apenas uma das 3 opções","")</f>
        <v/>
      </c>
    </row>
    <row r="44" spans="1:27" ht="15.5" outlineLevel="1" x14ac:dyDescent="0.35">
      <c r="B44" s="269"/>
      <c r="C44" s="269"/>
      <c r="D44" s="250"/>
      <c r="E44" s="269"/>
      <c r="F44" s="947"/>
      <c r="G44" s="567" t="str">
        <f>IFERROR(VLOOKUP(D44,FAOEP!$D$16:$E$27,2,FALSE),"")</f>
        <v/>
      </c>
      <c r="H44" s="941"/>
      <c r="I44" s="942"/>
      <c r="J44" s="985"/>
      <c r="K44" s="948" t="str">
        <f>IFERROR(IF(VLOOKUP(D44,FAOEP!$D$16:$F$27,3,FALSE)=FAOEP!$F$26,"kgCO2e/"&amp;'Outras emissões de processo'!H44,VLOOKUP(D44,FAOEP!$D$16:$F$27,3,FALSE)),"")</f>
        <v/>
      </c>
      <c r="L44" s="252"/>
      <c r="M44" s="987"/>
      <c r="N44" s="569"/>
      <c r="O44" s="337"/>
      <c r="P44" s="337"/>
      <c r="Q44" s="337"/>
      <c r="R44" s="569"/>
      <c r="S44" s="980" t="str">
        <f>IF((F44*J44+M44+O44+(P44+Q44)/1000)/1000=0,"",(F44*J44+M44+O44+(P44*'Fatores de Emissão'!$E$248+Q44*'Fatores de Emissão'!$E$249)/1000)/1000)</f>
        <v/>
      </c>
      <c r="T44" s="213" t="str">
        <f t="shared" ref="T44:T107" si="0">IF(COUNT(J44,M44, IF(COUNT(O44:Q44)&gt;0,1,""))&gt;1,"ERRO: introduziu valores em mais que uma opção. Reveja e garanta que preenche apenas uma das 3 opções","")</f>
        <v/>
      </c>
    </row>
    <row r="45" spans="1:27" ht="15.5" outlineLevel="1" x14ac:dyDescent="0.35">
      <c r="B45" s="269"/>
      <c r="C45" s="269"/>
      <c r="D45" s="250"/>
      <c r="E45" s="269"/>
      <c r="F45" s="947"/>
      <c r="G45" s="567" t="str">
        <f>IFERROR(VLOOKUP(D45,FAOEP!$D$16:$E$27,2,FALSE),"")</f>
        <v/>
      </c>
      <c r="H45" s="941"/>
      <c r="I45" s="942"/>
      <c r="J45" s="985"/>
      <c r="K45" s="948" t="str">
        <f>IFERROR(IF(VLOOKUP(D45,FAOEP!$D$16:$F$27,3,FALSE)=FAOEP!$F$26,"kgCO2e/"&amp;'Outras emissões de processo'!H45,VLOOKUP(D45,FAOEP!$D$16:$F$27,3,FALSE)),"")</f>
        <v/>
      </c>
      <c r="L45" s="252"/>
      <c r="M45" s="987"/>
      <c r="N45" s="569"/>
      <c r="O45" s="337"/>
      <c r="P45" s="337"/>
      <c r="Q45" s="337"/>
      <c r="R45" s="569"/>
      <c r="S45" s="980" t="str">
        <f>IF((F45*J45+M45+O45+(P45+Q45)/1000)/1000=0,"",(F45*J45+M45+O45+(P45*'Fatores de Emissão'!$E$248+Q45*'Fatores de Emissão'!$E$249)/1000)/1000)</f>
        <v/>
      </c>
      <c r="T45" s="213" t="str">
        <f t="shared" si="0"/>
        <v/>
      </c>
    </row>
    <row r="46" spans="1:27" ht="15.5" outlineLevel="1" x14ac:dyDescent="0.35">
      <c r="B46" s="269"/>
      <c r="C46" s="269"/>
      <c r="D46" s="250"/>
      <c r="E46" s="269"/>
      <c r="F46" s="947"/>
      <c r="G46" s="567" t="str">
        <f>IFERROR(VLOOKUP(D46,FAOEP!$D$16:$E$27,2,FALSE),"")</f>
        <v/>
      </c>
      <c r="H46" s="941"/>
      <c r="I46" s="942"/>
      <c r="J46" s="985"/>
      <c r="K46" s="948" t="str">
        <f>IFERROR(IF(VLOOKUP(D46,FAOEP!$D$16:$F$27,3,FALSE)=FAOEP!$F$26,"kgCO2e/"&amp;'Outras emissões de processo'!H46,VLOOKUP(D46,FAOEP!$D$16:$F$27,3,FALSE)),"")</f>
        <v/>
      </c>
      <c r="L46" s="252"/>
      <c r="M46" s="987"/>
      <c r="N46" s="569"/>
      <c r="O46" s="337"/>
      <c r="P46" s="337"/>
      <c r="Q46" s="337"/>
      <c r="R46" s="569"/>
      <c r="S46" s="980" t="str">
        <f>IF((F46*J46+M46+O46+(P46+Q46)/1000)/1000=0,"",(F46*J46+M46+O46+(P46*'Fatores de Emissão'!$E$248+Q46*'Fatores de Emissão'!$E$249)/1000)/1000)</f>
        <v/>
      </c>
      <c r="T46" s="213" t="str">
        <f t="shared" si="0"/>
        <v/>
      </c>
    </row>
    <row r="47" spans="1:27" ht="15.5" outlineLevel="1" x14ac:dyDescent="0.35">
      <c r="B47" s="269"/>
      <c r="C47" s="269"/>
      <c r="D47" s="250"/>
      <c r="E47" s="269"/>
      <c r="F47" s="947"/>
      <c r="G47" s="567" t="str">
        <f>IFERROR(VLOOKUP(D47,FAOEP!$D$16:$E$27,2,FALSE),"")</f>
        <v/>
      </c>
      <c r="H47" s="941"/>
      <c r="I47" s="942"/>
      <c r="J47" s="985"/>
      <c r="K47" s="948" t="str">
        <f>IFERROR(IF(VLOOKUP(D47,FAOEP!$D$16:$F$27,3,FALSE)=FAOEP!$F$26,"kgCO2e/"&amp;'Outras emissões de processo'!H47,VLOOKUP(D47,FAOEP!$D$16:$F$27,3,FALSE)),"")</f>
        <v/>
      </c>
      <c r="L47" s="252"/>
      <c r="M47" s="987"/>
      <c r="N47" s="569"/>
      <c r="O47" s="337"/>
      <c r="P47" s="337"/>
      <c r="Q47" s="337"/>
      <c r="R47" s="569"/>
      <c r="S47" s="980" t="str">
        <f>IF((F47*J47+M47+O47+(P47+Q47)/1000)/1000=0,"",(F47*J47+M47+O47+(P47*'Fatores de Emissão'!$E$248+Q47*'Fatores de Emissão'!$E$249)/1000)/1000)</f>
        <v/>
      </c>
      <c r="T47" s="213" t="str">
        <f t="shared" si="0"/>
        <v/>
      </c>
    </row>
    <row r="48" spans="1:27" ht="15.5" outlineLevel="1" x14ac:dyDescent="0.35">
      <c r="B48" s="269"/>
      <c r="C48" s="269"/>
      <c r="D48" s="250"/>
      <c r="E48" s="269"/>
      <c r="F48" s="947"/>
      <c r="G48" s="567" t="str">
        <f>IFERROR(VLOOKUP(D48,FAOEP!$D$16:$E$27,2,FALSE),"")</f>
        <v/>
      </c>
      <c r="H48" s="941"/>
      <c r="I48" s="942"/>
      <c r="J48" s="985"/>
      <c r="K48" s="948" t="str">
        <f>IFERROR(IF(VLOOKUP(D48,FAOEP!$D$16:$F$27,3,FALSE)=FAOEP!$F$26,"kgCO2e/"&amp;'Outras emissões de processo'!H48,VLOOKUP(D48,FAOEP!$D$16:$F$27,3,FALSE)),"")</f>
        <v/>
      </c>
      <c r="L48" s="252"/>
      <c r="M48" s="987"/>
      <c r="N48" s="569"/>
      <c r="O48" s="337"/>
      <c r="P48" s="337"/>
      <c r="Q48" s="337"/>
      <c r="R48" s="569"/>
      <c r="S48" s="980" t="str">
        <f>IF((F48*J48+M48+O48+(P48+Q48)/1000)/1000=0,"",(F48*J48+M48+O48+(P48*'Fatores de Emissão'!$E$248+Q48*'Fatores de Emissão'!$E$249)/1000)/1000)</f>
        <v/>
      </c>
      <c r="T48" s="213" t="str">
        <f t="shared" si="0"/>
        <v/>
      </c>
    </row>
    <row r="49" spans="2:20" ht="15.5" outlineLevel="1" x14ac:dyDescent="0.35">
      <c r="B49" s="269"/>
      <c r="C49" s="269"/>
      <c r="D49" s="250"/>
      <c r="E49" s="269"/>
      <c r="F49" s="947"/>
      <c r="G49" s="567" t="str">
        <f>IFERROR(VLOOKUP(D49,FAOEP!$D$16:$E$27,2,FALSE),"")</f>
        <v/>
      </c>
      <c r="H49" s="941"/>
      <c r="I49" s="942"/>
      <c r="J49" s="985"/>
      <c r="K49" s="948" t="str">
        <f>IFERROR(IF(VLOOKUP(D49,FAOEP!$D$16:$F$27,3,FALSE)=FAOEP!$F$26,"kgCO2e/"&amp;'Outras emissões de processo'!H49,VLOOKUP(D49,FAOEP!$D$16:$F$27,3,FALSE)),"")</f>
        <v/>
      </c>
      <c r="L49" s="252"/>
      <c r="M49" s="987"/>
      <c r="N49" s="569"/>
      <c r="O49" s="337"/>
      <c r="P49" s="337"/>
      <c r="Q49" s="337"/>
      <c r="R49" s="569"/>
      <c r="S49" s="980" t="str">
        <f>IF((F49*J49+M49+O49+(P49+Q49)/1000)/1000=0,"",(F49*J49+M49+O49+(P49*'Fatores de Emissão'!$E$248+Q49*'Fatores de Emissão'!$E$249)/1000)/1000)</f>
        <v/>
      </c>
      <c r="T49" s="213" t="str">
        <f t="shared" si="0"/>
        <v/>
      </c>
    </row>
    <row r="50" spans="2:20" ht="15.5" outlineLevel="1" x14ac:dyDescent="0.35">
      <c r="B50" s="269"/>
      <c r="C50" s="269"/>
      <c r="D50" s="250"/>
      <c r="E50" s="269"/>
      <c r="F50" s="947"/>
      <c r="G50" s="567" t="str">
        <f>IFERROR(VLOOKUP(D50,FAOEP!$D$16:$E$27,2,FALSE),"")</f>
        <v/>
      </c>
      <c r="H50" s="941"/>
      <c r="I50" s="942"/>
      <c r="J50" s="985"/>
      <c r="K50" s="948" t="str">
        <f>IFERROR(IF(VLOOKUP(D50,FAOEP!$D$16:$F$27,3,FALSE)=FAOEP!$F$26,"kgCO2e/"&amp;'Outras emissões de processo'!H50,VLOOKUP(D50,FAOEP!$D$16:$F$27,3,FALSE)),"")</f>
        <v/>
      </c>
      <c r="L50" s="252"/>
      <c r="M50" s="987"/>
      <c r="N50" s="569"/>
      <c r="O50" s="337"/>
      <c r="P50" s="337"/>
      <c r="Q50" s="337"/>
      <c r="R50" s="569"/>
      <c r="S50" s="980" t="str">
        <f>IF((F50*J50+M50+O50+(P50+Q50)/1000)/1000=0,"",(F50*J50+M50+O50+(P50*'Fatores de Emissão'!$E$248+Q50*'Fatores de Emissão'!$E$249)/1000)/1000)</f>
        <v/>
      </c>
      <c r="T50" s="213" t="str">
        <f t="shared" si="0"/>
        <v/>
      </c>
    </row>
    <row r="51" spans="2:20" ht="15.5" outlineLevel="1" x14ac:dyDescent="0.35">
      <c r="B51" s="269"/>
      <c r="C51" s="269"/>
      <c r="D51" s="250"/>
      <c r="E51" s="269"/>
      <c r="F51" s="947"/>
      <c r="G51" s="567" t="str">
        <f>IFERROR(VLOOKUP(D51,FAOEP!$D$16:$E$27,2,FALSE),"")</f>
        <v/>
      </c>
      <c r="H51" s="941"/>
      <c r="I51" s="942"/>
      <c r="J51" s="985"/>
      <c r="K51" s="948" t="str">
        <f>IFERROR(IF(VLOOKUP(D51,FAOEP!$D$16:$F$27,3,FALSE)=FAOEP!$F$26,"kgCO2e/"&amp;'Outras emissões de processo'!H51,VLOOKUP(D51,FAOEP!$D$16:$F$27,3,FALSE)),"")</f>
        <v/>
      </c>
      <c r="L51" s="252"/>
      <c r="M51" s="987"/>
      <c r="N51" s="569"/>
      <c r="O51" s="337"/>
      <c r="P51" s="337"/>
      <c r="Q51" s="337"/>
      <c r="R51" s="569"/>
      <c r="S51" s="980" t="str">
        <f>IF((F51*J51+M51+O51+(P51+Q51)/1000)/1000=0,"",(F51*J51+M51+O51+(P51*'Fatores de Emissão'!$E$248+Q51*'Fatores de Emissão'!$E$249)/1000)/1000)</f>
        <v/>
      </c>
      <c r="T51" s="213" t="str">
        <f t="shared" si="0"/>
        <v/>
      </c>
    </row>
    <row r="52" spans="2:20" ht="15.5" outlineLevel="1" x14ac:dyDescent="0.35">
      <c r="B52" s="269"/>
      <c r="C52" s="269"/>
      <c r="D52" s="250"/>
      <c r="E52" s="269"/>
      <c r="F52" s="947"/>
      <c r="G52" s="567" t="str">
        <f>IFERROR(VLOOKUP(D52,FAOEP!$D$16:$E$27,2,FALSE),"")</f>
        <v/>
      </c>
      <c r="H52" s="941"/>
      <c r="I52" s="942"/>
      <c r="J52" s="985"/>
      <c r="K52" s="948" t="str">
        <f>IFERROR(IF(VLOOKUP(D52,FAOEP!$D$16:$F$27,3,FALSE)=FAOEP!$F$26,"kgCO2e/"&amp;'Outras emissões de processo'!H52,VLOOKUP(D52,FAOEP!$D$16:$F$27,3,FALSE)),"")</f>
        <v/>
      </c>
      <c r="L52" s="252"/>
      <c r="M52" s="987"/>
      <c r="N52" s="569"/>
      <c r="O52" s="337"/>
      <c r="P52" s="337"/>
      <c r="Q52" s="337"/>
      <c r="R52" s="569"/>
      <c r="S52" s="980" t="str">
        <f>IF((F52*J52+M52+O52+(P52+Q52)/1000)/1000=0,"",(F52*J52+M52+O52+(P52*'Fatores de Emissão'!$E$248+Q52*'Fatores de Emissão'!$E$249)/1000)/1000)</f>
        <v/>
      </c>
      <c r="T52" s="213" t="str">
        <f t="shared" si="0"/>
        <v/>
      </c>
    </row>
    <row r="53" spans="2:20" ht="15.5" hidden="1" outlineLevel="2" x14ac:dyDescent="0.35">
      <c r="B53" s="269"/>
      <c r="C53" s="269"/>
      <c r="D53" s="250"/>
      <c r="E53" s="269"/>
      <c r="F53" s="947"/>
      <c r="G53" s="567" t="str">
        <f>IFERROR(VLOOKUP(D53,FAOEP!$D$16:$E$27,2,FALSE),"")</f>
        <v/>
      </c>
      <c r="H53" s="941"/>
      <c r="I53" s="942"/>
      <c r="J53" s="568"/>
      <c r="K53" s="948" t="str">
        <f>IFERROR(IF(VLOOKUP(D53,FAOEP!$D$16:$F$27,3,FALSE)=FAOEP!$F$26,"kgCO2e/"&amp;'Outras emissões de processo'!H53,VLOOKUP(D53,FAOEP!$D$16:$F$27,3,FALSE)),"")</f>
        <v/>
      </c>
      <c r="L53" s="252"/>
      <c r="M53" s="987"/>
      <c r="N53" s="569"/>
      <c r="O53" s="337"/>
      <c r="P53" s="337"/>
      <c r="Q53" s="337"/>
      <c r="R53" s="569"/>
      <c r="S53" s="980" t="str">
        <f>IF((F53*J53+M53+O53+(P53+Q53)/1000)/1000=0,"",(F53*J53+M53+O53+(P53*'Fatores de Emissão'!$E$248+Q53*'Fatores de Emissão'!$E$249)/1000)/1000)</f>
        <v/>
      </c>
      <c r="T53" s="213" t="str">
        <f t="shared" si="0"/>
        <v/>
      </c>
    </row>
    <row r="54" spans="2:20" ht="15.5" hidden="1" outlineLevel="2" x14ac:dyDescent="0.35">
      <c r="B54" s="269"/>
      <c r="C54" s="269"/>
      <c r="D54" s="250"/>
      <c r="E54" s="269"/>
      <c r="F54" s="947"/>
      <c r="G54" s="567" t="str">
        <f>IFERROR(VLOOKUP(D54,FAOEP!$D$16:$E$27,2,FALSE),"")</f>
        <v/>
      </c>
      <c r="H54" s="941"/>
      <c r="I54" s="942"/>
      <c r="J54" s="568"/>
      <c r="K54" s="948" t="str">
        <f>IFERROR(IF(VLOOKUP(D54,FAOEP!$D$16:$F$27,3,FALSE)=FAOEP!$F$26,"kgCO2e/"&amp;'Outras emissões de processo'!H54,VLOOKUP(D54,FAOEP!$D$16:$F$27,3,FALSE)),"")</f>
        <v/>
      </c>
      <c r="L54" s="252"/>
      <c r="M54" s="987"/>
      <c r="N54" s="569"/>
      <c r="O54" s="337"/>
      <c r="P54" s="337"/>
      <c r="Q54" s="337"/>
      <c r="R54" s="569"/>
      <c r="S54" s="980" t="str">
        <f>IF((F54*J54+M54+O54+(P54+Q54)/1000)/1000=0,"",(F54*J54+M54+O54+(P54*'Fatores de Emissão'!$E$248+Q54*'Fatores de Emissão'!$E$249)/1000)/1000)</f>
        <v/>
      </c>
      <c r="T54" s="213" t="str">
        <f t="shared" si="0"/>
        <v/>
      </c>
    </row>
    <row r="55" spans="2:20" ht="15.5" hidden="1" outlineLevel="2" x14ac:dyDescent="0.35">
      <c r="B55" s="269"/>
      <c r="C55" s="269"/>
      <c r="D55" s="250"/>
      <c r="E55" s="269"/>
      <c r="F55" s="947"/>
      <c r="G55" s="567" t="str">
        <f>IFERROR(VLOOKUP(D55,FAOEP!$D$16:$E$27,2,FALSE),"")</f>
        <v/>
      </c>
      <c r="H55" s="941"/>
      <c r="I55" s="942"/>
      <c r="J55" s="568"/>
      <c r="K55" s="948" t="str">
        <f>IFERROR(IF(VLOOKUP(D55,FAOEP!$D$16:$F$27,3,FALSE)=FAOEP!$F$26,"kgCO2e/"&amp;'Outras emissões de processo'!H55,VLOOKUP(D55,FAOEP!$D$16:$F$27,3,FALSE)),"")</f>
        <v/>
      </c>
      <c r="L55" s="252"/>
      <c r="M55" s="987"/>
      <c r="N55" s="569"/>
      <c r="O55" s="337"/>
      <c r="P55" s="337"/>
      <c r="Q55" s="337"/>
      <c r="R55" s="569"/>
      <c r="S55" s="980" t="str">
        <f>IF((F55*J55+M55+O55+(P55+Q55)/1000)/1000=0,"",(F55*J55+M55+O55+(P55*'Fatores de Emissão'!$E$248+Q55*'Fatores de Emissão'!$E$249)/1000)/1000)</f>
        <v/>
      </c>
      <c r="T55" s="213" t="str">
        <f t="shared" si="0"/>
        <v/>
      </c>
    </row>
    <row r="56" spans="2:20" ht="15.5" hidden="1" outlineLevel="2" x14ac:dyDescent="0.35">
      <c r="B56" s="269"/>
      <c r="C56" s="269"/>
      <c r="D56" s="250"/>
      <c r="E56" s="269"/>
      <c r="F56" s="947"/>
      <c r="G56" s="567" t="str">
        <f>IFERROR(VLOOKUP(D56,FAOEP!$D$16:$E$27,2,FALSE),"")</f>
        <v/>
      </c>
      <c r="H56" s="941"/>
      <c r="I56" s="942"/>
      <c r="J56" s="568"/>
      <c r="K56" s="948" t="str">
        <f>IFERROR(IF(VLOOKUP(D56,FAOEP!$D$16:$F$27,3,FALSE)=FAOEP!$F$26,"kgCO2e/"&amp;'Outras emissões de processo'!H56,VLOOKUP(D56,FAOEP!$D$16:$F$27,3,FALSE)),"")</f>
        <v/>
      </c>
      <c r="L56" s="252"/>
      <c r="M56" s="987"/>
      <c r="N56" s="569"/>
      <c r="O56" s="337"/>
      <c r="P56" s="337"/>
      <c r="Q56" s="337"/>
      <c r="R56" s="569"/>
      <c r="S56" s="980" t="str">
        <f>IF((F56*J56+M56+O56+(P56+Q56)/1000)/1000=0,"",(F56*J56+M56+O56+(P56*'Fatores de Emissão'!$E$248+Q56*'Fatores de Emissão'!$E$249)/1000)/1000)</f>
        <v/>
      </c>
      <c r="T56" s="213" t="str">
        <f t="shared" si="0"/>
        <v/>
      </c>
    </row>
    <row r="57" spans="2:20" ht="15.5" hidden="1" outlineLevel="2" x14ac:dyDescent="0.35">
      <c r="B57" s="269"/>
      <c r="C57" s="269"/>
      <c r="D57" s="250"/>
      <c r="E57" s="269"/>
      <c r="F57" s="947"/>
      <c r="G57" s="567" t="str">
        <f>IFERROR(VLOOKUP(D57,FAOEP!$D$16:$E$27,2,FALSE),"")</f>
        <v/>
      </c>
      <c r="H57" s="941"/>
      <c r="I57" s="942"/>
      <c r="J57" s="568"/>
      <c r="K57" s="948" t="str">
        <f>IFERROR(IF(VLOOKUP(D57,FAOEP!$D$16:$F$27,3,FALSE)=FAOEP!$F$26,"kgCO2e/"&amp;'Outras emissões de processo'!H57,VLOOKUP(D57,FAOEP!$D$16:$F$27,3,FALSE)),"")</f>
        <v/>
      </c>
      <c r="L57" s="252"/>
      <c r="M57" s="987"/>
      <c r="N57" s="569"/>
      <c r="O57" s="337"/>
      <c r="P57" s="337"/>
      <c r="Q57" s="337"/>
      <c r="R57" s="569"/>
      <c r="S57" s="980" t="str">
        <f>IF((F57*J57+M57+O57+(P57+Q57)/1000)/1000=0,"",(F57*J57+M57+O57+(P57*'Fatores de Emissão'!$E$248+Q57*'Fatores de Emissão'!$E$249)/1000)/1000)</f>
        <v/>
      </c>
      <c r="T57" s="213" t="str">
        <f t="shared" si="0"/>
        <v/>
      </c>
    </row>
    <row r="58" spans="2:20" ht="15.5" hidden="1" outlineLevel="2" x14ac:dyDescent="0.35">
      <c r="B58" s="269"/>
      <c r="C58" s="269"/>
      <c r="D58" s="250"/>
      <c r="E58" s="269"/>
      <c r="F58" s="947"/>
      <c r="G58" s="567" t="str">
        <f>IFERROR(VLOOKUP(D58,FAOEP!$D$16:$E$27,2,FALSE),"")</f>
        <v/>
      </c>
      <c r="H58" s="941"/>
      <c r="I58" s="942"/>
      <c r="J58" s="568"/>
      <c r="K58" s="948" t="str">
        <f>IFERROR(IF(VLOOKUP(D58,FAOEP!$D$16:$F$27,3,FALSE)=FAOEP!$F$26,"kgCO2e/"&amp;'Outras emissões de processo'!H58,VLOOKUP(D58,FAOEP!$D$16:$F$27,3,FALSE)),"")</f>
        <v/>
      </c>
      <c r="L58" s="252"/>
      <c r="M58" s="987"/>
      <c r="N58" s="569"/>
      <c r="O58" s="337"/>
      <c r="P58" s="337"/>
      <c r="Q58" s="337"/>
      <c r="R58" s="569"/>
      <c r="S58" s="980" t="str">
        <f>IF((F58*J58+M58+O58+(P58+Q58)/1000)/1000=0,"",(F58*J58+M58+O58+(P58*'Fatores de Emissão'!$E$248+Q58*'Fatores de Emissão'!$E$249)/1000)/1000)</f>
        <v/>
      </c>
      <c r="T58" s="213" t="str">
        <f t="shared" si="0"/>
        <v/>
      </c>
    </row>
    <row r="59" spans="2:20" ht="15.5" hidden="1" outlineLevel="2" x14ac:dyDescent="0.35">
      <c r="B59" s="269"/>
      <c r="C59" s="269"/>
      <c r="D59" s="250"/>
      <c r="E59" s="269"/>
      <c r="F59" s="947"/>
      <c r="G59" s="567" t="str">
        <f>IFERROR(VLOOKUP(D59,FAOEP!$D$16:$E$27,2,FALSE),"")</f>
        <v/>
      </c>
      <c r="H59" s="941"/>
      <c r="I59" s="942"/>
      <c r="J59" s="568"/>
      <c r="K59" s="948" t="str">
        <f>IFERROR(IF(VLOOKUP(D59,FAOEP!$D$16:$F$27,3,FALSE)=FAOEP!$F$26,"kgCO2e/"&amp;'Outras emissões de processo'!H59,VLOOKUP(D59,FAOEP!$D$16:$F$27,3,FALSE)),"")</f>
        <v/>
      </c>
      <c r="L59" s="252"/>
      <c r="M59" s="987"/>
      <c r="N59" s="569"/>
      <c r="O59" s="337"/>
      <c r="P59" s="337"/>
      <c r="Q59" s="337"/>
      <c r="R59" s="569"/>
      <c r="S59" s="980" t="str">
        <f>IF((F59*J59+M59+O59+(P59+Q59)/1000)/1000=0,"",(F59*J59+M59+O59+(P59*'Fatores de Emissão'!$E$248+Q59*'Fatores de Emissão'!$E$249)/1000)/1000)</f>
        <v/>
      </c>
      <c r="T59" s="213" t="str">
        <f t="shared" si="0"/>
        <v/>
      </c>
    </row>
    <row r="60" spans="2:20" ht="15.5" hidden="1" outlineLevel="2" x14ac:dyDescent="0.35">
      <c r="B60" s="269"/>
      <c r="C60" s="269"/>
      <c r="D60" s="250"/>
      <c r="E60" s="269"/>
      <c r="F60" s="947"/>
      <c r="G60" s="567" t="str">
        <f>IFERROR(VLOOKUP(D60,FAOEP!$D$16:$E$27,2,FALSE),"")</f>
        <v/>
      </c>
      <c r="H60" s="941"/>
      <c r="I60" s="942"/>
      <c r="J60" s="568"/>
      <c r="K60" s="948" t="str">
        <f>IFERROR(IF(VLOOKUP(D60,FAOEP!$D$16:$F$27,3,FALSE)=FAOEP!$F$26,"kgCO2e/"&amp;'Outras emissões de processo'!H60,VLOOKUP(D60,FAOEP!$D$16:$F$27,3,FALSE)),"")</f>
        <v/>
      </c>
      <c r="L60" s="252"/>
      <c r="M60" s="987"/>
      <c r="N60" s="569"/>
      <c r="O60" s="337"/>
      <c r="P60" s="337"/>
      <c r="Q60" s="337"/>
      <c r="R60" s="569"/>
      <c r="S60" s="980" t="str">
        <f>IF((F60*J60+M60+O60+(P60+Q60)/1000)/1000=0,"",(F60*J60+M60+O60+(P60*'Fatores de Emissão'!$E$248+Q60*'Fatores de Emissão'!$E$249)/1000)/1000)</f>
        <v/>
      </c>
      <c r="T60" s="213" t="str">
        <f t="shared" si="0"/>
        <v/>
      </c>
    </row>
    <row r="61" spans="2:20" ht="15.5" hidden="1" outlineLevel="2" x14ac:dyDescent="0.35">
      <c r="B61" s="269"/>
      <c r="C61" s="269"/>
      <c r="D61" s="250"/>
      <c r="E61" s="269"/>
      <c r="F61" s="947"/>
      <c r="G61" s="567" t="str">
        <f>IFERROR(VLOOKUP(D61,FAOEP!$D$16:$E$27,2,FALSE),"")</f>
        <v/>
      </c>
      <c r="H61" s="941"/>
      <c r="I61" s="942"/>
      <c r="J61" s="568"/>
      <c r="K61" s="948" t="str">
        <f>IFERROR(IF(VLOOKUP(D61,FAOEP!$D$16:$F$27,3,FALSE)=FAOEP!$F$26,"kgCO2e/"&amp;'Outras emissões de processo'!H61,VLOOKUP(D61,FAOEP!$D$16:$F$27,3,FALSE)),"")</f>
        <v/>
      </c>
      <c r="L61" s="252"/>
      <c r="M61" s="987"/>
      <c r="N61" s="569"/>
      <c r="O61" s="337"/>
      <c r="P61" s="337"/>
      <c r="Q61" s="337"/>
      <c r="R61" s="569"/>
      <c r="S61" s="980" t="str">
        <f>IF((F61*J61+M61+O61+(P61+Q61)/1000)/1000=0,"",(F61*J61+M61+O61+(P61*'Fatores de Emissão'!$E$248+Q61*'Fatores de Emissão'!$E$249)/1000)/1000)</f>
        <v/>
      </c>
      <c r="T61" s="213" t="str">
        <f t="shared" si="0"/>
        <v/>
      </c>
    </row>
    <row r="62" spans="2:20" ht="15.5" hidden="1" outlineLevel="2" x14ac:dyDescent="0.35">
      <c r="B62" s="269"/>
      <c r="C62" s="269"/>
      <c r="D62" s="250"/>
      <c r="E62" s="269"/>
      <c r="F62" s="947"/>
      <c r="G62" s="567" t="str">
        <f>IFERROR(VLOOKUP(D62,FAOEP!$D$16:$E$27,2,FALSE),"")</f>
        <v/>
      </c>
      <c r="H62" s="941"/>
      <c r="I62" s="942"/>
      <c r="J62" s="568"/>
      <c r="K62" s="948" t="str">
        <f>IFERROR(IF(VLOOKUP(D62,FAOEP!$D$16:$F$27,3,FALSE)=FAOEP!$F$26,"kgCO2e/"&amp;'Outras emissões de processo'!H62,VLOOKUP(D62,FAOEP!$D$16:$F$27,3,FALSE)),"")</f>
        <v/>
      </c>
      <c r="L62" s="252"/>
      <c r="M62" s="987"/>
      <c r="N62" s="569"/>
      <c r="O62" s="337"/>
      <c r="P62" s="337"/>
      <c r="Q62" s="337"/>
      <c r="R62" s="569"/>
      <c r="S62" s="980" t="str">
        <f>IF((F62*J62+M62+O62+(P62+Q62)/1000)/1000=0,"",(F62*J62+M62+O62+(P62*'Fatores de Emissão'!$E$248+Q62*'Fatores de Emissão'!$E$249)/1000)/1000)</f>
        <v/>
      </c>
      <c r="T62" s="213" t="str">
        <f t="shared" si="0"/>
        <v/>
      </c>
    </row>
    <row r="63" spans="2:20" ht="15.5" hidden="1" outlineLevel="2" x14ac:dyDescent="0.35">
      <c r="B63" s="269"/>
      <c r="C63" s="269"/>
      <c r="D63" s="250"/>
      <c r="E63" s="269"/>
      <c r="F63" s="947"/>
      <c r="G63" s="567" t="str">
        <f>IFERROR(VLOOKUP(D63,FAOEP!$D$16:$E$27,2,FALSE),"")</f>
        <v/>
      </c>
      <c r="H63" s="941"/>
      <c r="I63" s="942"/>
      <c r="J63" s="568"/>
      <c r="K63" s="948" t="str">
        <f>IFERROR(IF(VLOOKUP(D63,FAOEP!$D$16:$F$27,3,FALSE)=FAOEP!$F$26,"kgCO2e/"&amp;'Outras emissões de processo'!H63,VLOOKUP(D63,FAOEP!$D$16:$F$27,3,FALSE)),"")</f>
        <v/>
      </c>
      <c r="L63" s="252"/>
      <c r="M63" s="987"/>
      <c r="N63" s="569"/>
      <c r="O63" s="337"/>
      <c r="P63" s="337"/>
      <c r="Q63" s="337"/>
      <c r="R63" s="569"/>
      <c r="S63" s="980" t="str">
        <f>IF((F63*J63+M63+O63+(P63+Q63)/1000)/1000=0,"",(F63*J63+M63+O63+(P63*'Fatores de Emissão'!$E$248+Q63*'Fatores de Emissão'!$E$249)/1000)/1000)</f>
        <v/>
      </c>
      <c r="T63" s="213" t="str">
        <f t="shared" si="0"/>
        <v/>
      </c>
    </row>
    <row r="64" spans="2:20" ht="15.5" hidden="1" outlineLevel="2" x14ac:dyDescent="0.35">
      <c r="B64" s="269"/>
      <c r="C64" s="269"/>
      <c r="D64" s="250"/>
      <c r="E64" s="269"/>
      <c r="F64" s="947"/>
      <c r="G64" s="567" t="str">
        <f>IFERROR(VLOOKUP(D64,FAOEP!$D$16:$E$27,2,FALSE),"")</f>
        <v/>
      </c>
      <c r="H64" s="941"/>
      <c r="I64" s="942"/>
      <c r="J64" s="568"/>
      <c r="K64" s="948" t="str">
        <f>IFERROR(IF(VLOOKUP(D64,FAOEP!$D$16:$F$27,3,FALSE)=FAOEP!$F$26,"kgCO2e/"&amp;'Outras emissões de processo'!H64,VLOOKUP(D64,FAOEP!$D$16:$F$27,3,FALSE)),"")</f>
        <v/>
      </c>
      <c r="L64" s="252"/>
      <c r="M64" s="987"/>
      <c r="N64" s="569"/>
      <c r="O64" s="337"/>
      <c r="P64" s="337"/>
      <c r="Q64" s="337"/>
      <c r="R64" s="569"/>
      <c r="S64" s="980" t="str">
        <f>IF((F64*J64+M64+O64+(P64+Q64)/1000)/1000=0,"",(F64*J64+M64+O64+(P64*'Fatores de Emissão'!$E$248+Q64*'Fatores de Emissão'!$E$249)/1000)/1000)</f>
        <v/>
      </c>
      <c r="T64" s="213" t="str">
        <f t="shared" si="0"/>
        <v/>
      </c>
    </row>
    <row r="65" spans="2:20" ht="15.5" hidden="1" outlineLevel="2" x14ac:dyDescent="0.35">
      <c r="B65" s="269"/>
      <c r="C65" s="269"/>
      <c r="D65" s="250"/>
      <c r="E65" s="269"/>
      <c r="F65" s="947"/>
      <c r="G65" s="567" t="str">
        <f>IFERROR(VLOOKUP(D65,FAOEP!$D$16:$E$27,2,FALSE),"")</f>
        <v/>
      </c>
      <c r="H65" s="941"/>
      <c r="I65" s="942"/>
      <c r="J65" s="568"/>
      <c r="K65" s="948" t="str">
        <f>IFERROR(IF(VLOOKUP(D65,FAOEP!$D$16:$F$27,3,FALSE)=FAOEP!$F$26,"kgCO2e/"&amp;'Outras emissões de processo'!H65,VLOOKUP(D65,FAOEP!$D$16:$F$27,3,FALSE)),"")</f>
        <v/>
      </c>
      <c r="L65" s="252"/>
      <c r="M65" s="987"/>
      <c r="N65" s="569"/>
      <c r="O65" s="337"/>
      <c r="P65" s="337"/>
      <c r="Q65" s="337"/>
      <c r="R65" s="569"/>
      <c r="S65" s="980" t="str">
        <f>IF((F65*J65+M65+O65+(P65+Q65)/1000)/1000=0,"",(F65*J65+M65+O65+(P65*'Fatores de Emissão'!$E$248+Q65*'Fatores de Emissão'!$E$249)/1000)/1000)</f>
        <v/>
      </c>
      <c r="T65" s="213" t="str">
        <f t="shared" si="0"/>
        <v/>
      </c>
    </row>
    <row r="66" spans="2:20" ht="15.5" hidden="1" outlineLevel="2" x14ac:dyDescent="0.35">
      <c r="B66" s="269"/>
      <c r="C66" s="269"/>
      <c r="D66" s="250"/>
      <c r="E66" s="269"/>
      <c r="F66" s="947"/>
      <c r="G66" s="567" t="str">
        <f>IFERROR(VLOOKUP(D66,FAOEP!$D$16:$E$27,2,FALSE),"")</f>
        <v/>
      </c>
      <c r="H66" s="941"/>
      <c r="I66" s="942"/>
      <c r="J66" s="568"/>
      <c r="K66" s="948" t="str">
        <f>IFERROR(IF(VLOOKUP(D66,FAOEP!$D$16:$F$27,3,FALSE)=FAOEP!$F$26,"kgCO2e/"&amp;'Outras emissões de processo'!H66,VLOOKUP(D66,FAOEP!$D$16:$F$27,3,FALSE)),"")</f>
        <v/>
      </c>
      <c r="L66" s="252"/>
      <c r="M66" s="987"/>
      <c r="N66" s="569"/>
      <c r="O66" s="337"/>
      <c r="P66" s="337"/>
      <c r="Q66" s="337"/>
      <c r="R66" s="569"/>
      <c r="S66" s="980" t="str">
        <f>IF((F66*J66+M66+O66+(P66+Q66)/1000)/1000=0,"",(F66*J66+M66+O66+(P66*'Fatores de Emissão'!$E$248+Q66*'Fatores de Emissão'!$E$249)/1000)/1000)</f>
        <v/>
      </c>
      <c r="T66" s="213" t="str">
        <f t="shared" si="0"/>
        <v/>
      </c>
    </row>
    <row r="67" spans="2:20" ht="15.5" hidden="1" outlineLevel="2" x14ac:dyDescent="0.35">
      <c r="B67" s="269"/>
      <c r="C67" s="269"/>
      <c r="D67" s="250"/>
      <c r="E67" s="269"/>
      <c r="F67" s="947"/>
      <c r="G67" s="567" t="str">
        <f>IFERROR(VLOOKUP(D67,FAOEP!$D$16:$E$27,2,FALSE),"")</f>
        <v/>
      </c>
      <c r="H67" s="941"/>
      <c r="I67" s="942"/>
      <c r="J67" s="568"/>
      <c r="K67" s="948" t="str">
        <f>IFERROR(IF(VLOOKUP(D67,FAOEP!$D$16:$F$27,3,FALSE)=FAOEP!$F$26,"kgCO2e/"&amp;'Outras emissões de processo'!H67,VLOOKUP(D67,FAOEP!$D$16:$F$27,3,FALSE)),"")</f>
        <v/>
      </c>
      <c r="L67" s="252"/>
      <c r="M67" s="987"/>
      <c r="N67" s="569"/>
      <c r="O67" s="337"/>
      <c r="P67" s="337"/>
      <c r="Q67" s="337"/>
      <c r="R67" s="569"/>
      <c r="S67" s="980" t="str">
        <f>IF((F67*J67+M67+O67+(P67+Q67)/1000)/1000=0,"",(F67*J67+M67+O67+(P67*'Fatores de Emissão'!$E$248+Q67*'Fatores de Emissão'!$E$249)/1000)/1000)</f>
        <v/>
      </c>
      <c r="T67" s="213" t="str">
        <f t="shared" si="0"/>
        <v/>
      </c>
    </row>
    <row r="68" spans="2:20" ht="15.5" hidden="1" outlineLevel="2" x14ac:dyDescent="0.35">
      <c r="B68" s="269"/>
      <c r="C68" s="269"/>
      <c r="D68" s="250"/>
      <c r="E68" s="269"/>
      <c r="F68" s="947"/>
      <c r="G68" s="567" t="str">
        <f>IFERROR(VLOOKUP(D68,FAOEP!$D$16:$E$27,2,FALSE),"")</f>
        <v/>
      </c>
      <c r="H68" s="941"/>
      <c r="I68" s="942"/>
      <c r="J68" s="568"/>
      <c r="K68" s="948" t="str">
        <f>IFERROR(IF(VLOOKUP(D68,FAOEP!$D$16:$F$27,3,FALSE)=FAOEP!$F$26,"kgCO2e/"&amp;'Outras emissões de processo'!H68,VLOOKUP(D68,FAOEP!$D$16:$F$27,3,FALSE)),"")</f>
        <v/>
      </c>
      <c r="L68" s="252"/>
      <c r="M68" s="987"/>
      <c r="N68" s="569"/>
      <c r="O68" s="337"/>
      <c r="P68" s="337"/>
      <c r="Q68" s="337"/>
      <c r="R68" s="569"/>
      <c r="S68" s="980" t="str">
        <f>IF((F68*J68+M68+O68+(P68+Q68)/1000)/1000=0,"",(F68*J68+M68+O68+(P68*'Fatores de Emissão'!$E$248+Q68*'Fatores de Emissão'!$E$249)/1000)/1000)</f>
        <v/>
      </c>
      <c r="T68" s="213" t="str">
        <f t="shared" si="0"/>
        <v/>
      </c>
    </row>
    <row r="69" spans="2:20" ht="15.5" hidden="1" outlineLevel="2" x14ac:dyDescent="0.35">
      <c r="B69" s="269"/>
      <c r="C69" s="269"/>
      <c r="D69" s="250"/>
      <c r="E69" s="269"/>
      <c r="F69" s="947"/>
      <c r="G69" s="567" t="str">
        <f>IFERROR(VLOOKUP(D69,FAOEP!$D$16:$E$27,2,FALSE),"")</f>
        <v/>
      </c>
      <c r="H69" s="941"/>
      <c r="I69" s="942"/>
      <c r="J69" s="568"/>
      <c r="K69" s="948" t="str">
        <f>IFERROR(IF(VLOOKUP(D69,FAOEP!$D$16:$F$27,3,FALSE)=FAOEP!$F$26,"kgCO2e/"&amp;'Outras emissões de processo'!H69,VLOOKUP(D69,FAOEP!$D$16:$F$27,3,FALSE)),"")</f>
        <v/>
      </c>
      <c r="L69" s="252"/>
      <c r="M69" s="987"/>
      <c r="N69" s="569"/>
      <c r="O69" s="337"/>
      <c r="P69" s="337"/>
      <c r="Q69" s="337"/>
      <c r="R69" s="569"/>
      <c r="S69" s="980" t="str">
        <f>IF((F69*J69+M69+O69+(P69+Q69)/1000)/1000=0,"",(F69*J69+M69+O69+(P69*'Fatores de Emissão'!$E$248+Q69*'Fatores de Emissão'!$E$249)/1000)/1000)</f>
        <v/>
      </c>
      <c r="T69" s="213" t="str">
        <f t="shared" si="0"/>
        <v/>
      </c>
    </row>
    <row r="70" spans="2:20" ht="15.5" hidden="1" outlineLevel="2" x14ac:dyDescent="0.35">
      <c r="B70" s="269"/>
      <c r="C70" s="269"/>
      <c r="D70" s="250"/>
      <c r="E70" s="269"/>
      <c r="F70" s="947"/>
      <c r="G70" s="567" t="str">
        <f>IFERROR(VLOOKUP(D70,FAOEP!$D$16:$E$27,2,FALSE),"")</f>
        <v/>
      </c>
      <c r="H70" s="941"/>
      <c r="I70" s="942"/>
      <c r="J70" s="568"/>
      <c r="K70" s="948" t="str">
        <f>IFERROR(IF(VLOOKUP(D70,FAOEP!$D$16:$F$27,3,FALSE)=FAOEP!$F$26,"kgCO2e/"&amp;'Outras emissões de processo'!H70,VLOOKUP(D70,FAOEP!$D$16:$F$27,3,FALSE)),"")</f>
        <v/>
      </c>
      <c r="L70" s="252"/>
      <c r="M70" s="987"/>
      <c r="N70" s="569"/>
      <c r="O70" s="337"/>
      <c r="P70" s="337"/>
      <c r="Q70" s="337"/>
      <c r="R70" s="569"/>
      <c r="S70" s="980" t="str">
        <f>IF((F70*J70+M70+O70+(P70+Q70)/1000)/1000=0,"",(F70*J70+M70+O70+(P70*'Fatores de Emissão'!$E$248+Q70*'Fatores de Emissão'!$E$249)/1000)/1000)</f>
        <v/>
      </c>
      <c r="T70" s="213" t="str">
        <f t="shared" si="0"/>
        <v/>
      </c>
    </row>
    <row r="71" spans="2:20" ht="15.5" hidden="1" outlineLevel="2" x14ac:dyDescent="0.35">
      <c r="B71" s="269"/>
      <c r="C71" s="269"/>
      <c r="D71" s="250"/>
      <c r="E71" s="269"/>
      <c r="F71" s="947"/>
      <c r="G71" s="567" t="str">
        <f>IFERROR(VLOOKUP(D71,FAOEP!$D$16:$E$27,2,FALSE),"")</f>
        <v/>
      </c>
      <c r="H71" s="941"/>
      <c r="I71" s="942"/>
      <c r="J71" s="568"/>
      <c r="K71" s="948" t="str">
        <f>IFERROR(IF(VLOOKUP(D71,FAOEP!$D$16:$F$27,3,FALSE)=FAOEP!$F$26,"kgCO2e/"&amp;'Outras emissões de processo'!H71,VLOOKUP(D71,FAOEP!$D$16:$F$27,3,FALSE)),"")</f>
        <v/>
      </c>
      <c r="L71" s="252"/>
      <c r="M71" s="987"/>
      <c r="N71" s="569"/>
      <c r="O71" s="337"/>
      <c r="P71" s="337"/>
      <c r="Q71" s="337"/>
      <c r="R71" s="569"/>
      <c r="S71" s="980" t="str">
        <f>IF((F71*J71+M71+O71+(P71+Q71)/1000)/1000=0,"",(F71*J71+M71+O71+(P71*'Fatores de Emissão'!$E$248+Q71*'Fatores de Emissão'!$E$249)/1000)/1000)</f>
        <v/>
      </c>
      <c r="T71" s="213" t="str">
        <f t="shared" si="0"/>
        <v/>
      </c>
    </row>
    <row r="72" spans="2:20" ht="15.5" hidden="1" outlineLevel="2" x14ac:dyDescent="0.35">
      <c r="B72" s="269"/>
      <c r="C72" s="269"/>
      <c r="D72" s="250"/>
      <c r="E72" s="269"/>
      <c r="F72" s="947"/>
      <c r="G72" s="567" t="str">
        <f>IFERROR(VLOOKUP(D72,FAOEP!$D$16:$E$27,2,FALSE),"")</f>
        <v/>
      </c>
      <c r="H72" s="941"/>
      <c r="I72" s="942"/>
      <c r="J72" s="568"/>
      <c r="K72" s="948" t="str">
        <f>IFERROR(IF(VLOOKUP(D72,FAOEP!$D$16:$F$27,3,FALSE)=FAOEP!$F$26,"kgCO2e/"&amp;'Outras emissões de processo'!H72,VLOOKUP(D72,FAOEP!$D$16:$F$27,3,FALSE)),"")</f>
        <v/>
      </c>
      <c r="L72" s="252"/>
      <c r="M72" s="987"/>
      <c r="N72" s="569"/>
      <c r="O72" s="337"/>
      <c r="P72" s="337"/>
      <c r="Q72" s="337"/>
      <c r="R72" s="569"/>
      <c r="S72" s="980" t="str">
        <f>IF((F72*J72+M72+O72+(P72+Q72)/1000)/1000=0,"",(F72*J72+M72+O72+(P72*'Fatores de Emissão'!$E$248+Q72*'Fatores de Emissão'!$E$249)/1000)/1000)</f>
        <v/>
      </c>
      <c r="T72" s="213" t="str">
        <f t="shared" si="0"/>
        <v/>
      </c>
    </row>
    <row r="73" spans="2:20" ht="15.5" hidden="1" outlineLevel="2" x14ac:dyDescent="0.35">
      <c r="B73" s="269"/>
      <c r="C73" s="269"/>
      <c r="D73" s="250"/>
      <c r="E73" s="269"/>
      <c r="F73" s="947"/>
      <c r="G73" s="567" t="str">
        <f>IFERROR(VLOOKUP(D73,FAOEP!$D$16:$E$27,2,FALSE),"")</f>
        <v/>
      </c>
      <c r="H73" s="941"/>
      <c r="I73" s="942"/>
      <c r="J73" s="568"/>
      <c r="K73" s="948" t="str">
        <f>IFERROR(IF(VLOOKUP(D73,FAOEP!$D$16:$F$27,3,FALSE)=FAOEP!$F$26,"kgCO2e/"&amp;'Outras emissões de processo'!H73,VLOOKUP(D73,FAOEP!$D$16:$F$27,3,FALSE)),"")</f>
        <v/>
      </c>
      <c r="L73" s="252"/>
      <c r="M73" s="987"/>
      <c r="N73" s="569"/>
      <c r="O73" s="337"/>
      <c r="P73" s="337"/>
      <c r="Q73" s="337"/>
      <c r="R73" s="569"/>
      <c r="S73" s="980" t="str">
        <f>IF((F73*J73+M73+O73+(P73+Q73)/1000)/1000=0,"",(F73*J73+M73+O73+(P73*'Fatores de Emissão'!$E$248+Q73*'Fatores de Emissão'!$E$249)/1000)/1000)</f>
        <v/>
      </c>
      <c r="T73" s="213" t="str">
        <f t="shared" si="0"/>
        <v/>
      </c>
    </row>
    <row r="74" spans="2:20" ht="15.5" hidden="1" outlineLevel="2" x14ac:dyDescent="0.35">
      <c r="B74" s="269"/>
      <c r="C74" s="269"/>
      <c r="D74" s="250"/>
      <c r="E74" s="269"/>
      <c r="F74" s="947"/>
      <c r="G74" s="567" t="str">
        <f>IFERROR(VLOOKUP(D74,FAOEP!$D$16:$E$27,2,FALSE),"")</f>
        <v/>
      </c>
      <c r="H74" s="941"/>
      <c r="I74" s="942"/>
      <c r="J74" s="568"/>
      <c r="K74" s="948" t="str">
        <f>IFERROR(IF(VLOOKUP(D74,FAOEP!$D$16:$F$27,3,FALSE)=FAOEP!$F$26,"kgCO2e/"&amp;'Outras emissões de processo'!H74,VLOOKUP(D74,FAOEP!$D$16:$F$27,3,FALSE)),"")</f>
        <v/>
      </c>
      <c r="L74" s="252"/>
      <c r="M74" s="987"/>
      <c r="N74" s="569"/>
      <c r="O74" s="337"/>
      <c r="P74" s="337"/>
      <c r="Q74" s="337"/>
      <c r="R74" s="569"/>
      <c r="S74" s="980" t="str">
        <f>IF((F74*J74+M74+O74+(P74+Q74)/1000)/1000=0,"",(F74*J74+M74+O74+(P74*'Fatores de Emissão'!$E$248+Q74*'Fatores de Emissão'!$E$249)/1000)/1000)</f>
        <v/>
      </c>
      <c r="T74" s="213" t="str">
        <f t="shared" si="0"/>
        <v/>
      </c>
    </row>
    <row r="75" spans="2:20" ht="15.5" hidden="1" outlineLevel="2" x14ac:dyDescent="0.35">
      <c r="B75" s="269"/>
      <c r="C75" s="269"/>
      <c r="D75" s="250"/>
      <c r="E75" s="269"/>
      <c r="F75" s="947"/>
      <c r="G75" s="567" t="str">
        <f>IFERROR(VLOOKUP(D75,FAOEP!$D$16:$E$27,2,FALSE),"")</f>
        <v/>
      </c>
      <c r="H75" s="941"/>
      <c r="I75" s="942"/>
      <c r="J75" s="568"/>
      <c r="K75" s="948" t="str">
        <f>IFERROR(IF(VLOOKUP(D75,FAOEP!$D$16:$F$27,3,FALSE)=FAOEP!$F$26,"kgCO2e/"&amp;'Outras emissões de processo'!H75,VLOOKUP(D75,FAOEP!$D$16:$F$27,3,FALSE)),"")</f>
        <v/>
      </c>
      <c r="L75" s="252"/>
      <c r="M75" s="987"/>
      <c r="N75" s="569"/>
      <c r="O75" s="337"/>
      <c r="P75" s="337"/>
      <c r="Q75" s="337"/>
      <c r="R75" s="569"/>
      <c r="S75" s="980" t="str">
        <f>IF((F75*J75+M75+O75+(P75+Q75)/1000)/1000=0,"",(F75*J75+M75+O75+(P75*'Fatores de Emissão'!$E$248+Q75*'Fatores de Emissão'!$E$249)/1000)/1000)</f>
        <v/>
      </c>
      <c r="T75" s="213" t="str">
        <f t="shared" si="0"/>
        <v/>
      </c>
    </row>
    <row r="76" spans="2:20" ht="15.5" hidden="1" outlineLevel="2" x14ac:dyDescent="0.35">
      <c r="B76" s="269"/>
      <c r="C76" s="269"/>
      <c r="D76" s="250"/>
      <c r="E76" s="269"/>
      <c r="F76" s="947"/>
      <c r="G76" s="567" t="str">
        <f>IFERROR(VLOOKUP(D76,FAOEP!$D$16:$E$27,2,FALSE),"")</f>
        <v/>
      </c>
      <c r="H76" s="941"/>
      <c r="I76" s="942"/>
      <c r="J76" s="568"/>
      <c r="K76" s="948" t="str">
        <f>IFERROR(IF(VLOOKUP(D76,FAOEP!$D$16:$F$27,3,FALSE)=FAOEP!$F$26,"kgCO2e/"&amp;'Outras emissões de processo'!H76,VLOOKUP(D76,FAOEP!$D$16:$F$27,3,FALSE)),"")</f>
        <v/>
      </c>
      <c r="L76" s="252"/>
      <c r="M76" s="987"/>
      <c r="N76" s="569"/>
      <c r="O76" s="337"/>
      <c r="P76" s="337"/>
      <c r="Q76" s="337"/>
      <c r="R76" s="569"/>
      <c r="S76" s="980" t="str">
        <f>IF((F76*J76+M76+O76+(P76+Q76)/1000)/1000=0,"",(F76*J76+M76+O76+(P76*'Fatores de Emissão'!$E$248+Q76*'Fatores de Emissão'!$E$249)/1000)/1000)</f>
        <v/>
      </c>
      <c r="T76" s="213" t="str">
        <f t="shared" si="0"/>
        <v/>
      </c>
    </row>
    <row r="77" spans="2:20" ht="15.5" hidden="1" outlineLevel="2" x14ac:dyDescent="0.35">
      <c r="B77" s="269"/>
      <c r="C77" s="269"/>
      <c r="D77" s="250"/>
      <c r="E77" s="269"/>
      <c r="F77" s="947"/>
      <c r="G77" s="567" t="str">
        <f>IFERROR(VLOOKUP(D77,FAOEP!$D$16:$E$27,2,FALSE),"")</f>
        <v/>
      </c>
      <c r="H77" s="941"/>
      <c r="I77" s="942"/>
      <c r="J77" s="568"/>
      <c r="K77" s="948" t="str">
        <f>IFERROR(IF(VLOOKUP(D77,FAOEP!$D$16:$F$27,3,FALSE)=FAOEP!$F$26,"kgCO2e/"&amp;'Outras emissões de processo'!H77,VLOOKUP(D77,FAOEP!$D$16:$F$27,3,FALSE)),"")</f>
        <v/>
      </c>
      <c r="L77" s="252"/>
      <c r="M77" s="987"/>
      <c r="N77" s="569"/>
      <c r="O77" s="337"/>
      <c r="P77" s="337"/>
      <c r="Q77" s="337"/>
      <c r="R77" s="569"/>
      <c r="S77" s="980" t="str">
        <f>IF((F77*J77+M77+O77+(P77+Q77)/1000)/1000=0,"",(F77*J77+M77+O77+(P77*'Fatores de Emissão'!$E$248+Q77*'Fatores de Emissão'!$E$249)/1000)/1000)</f>
        <v/>
      </c>
      <c r="T77" s="213" t="str">
        <f t="shared" si="0"/>
        <v/>
      </c>
    </row>
    <row r="78" spans="2:20" ht="15.5" hidden="1" outlineLevel="2" x14ac:dyDescent="0.35">
      <c r="B78" s="269"/>
      <c r="C78" s="269"/>
      <c r="D78" s="250"/>
      <c r="E78" s="269"/>
      <c r="F78" s="947"/>
      <c r="G78" s="567" t="str">
        <f>IFERROR(VLOOKUP(D78,FAOEP!$D$16:$E$27,2,FALSE),"")</f>
        <v/>
      </c>
      <c r="H78" s="941"/>
      <c r="I78" s="942"/>
      <c r="J78" s="568"/>
      <c r="K78" s="948" t="str">
        <f>IFERROR(IF(VLOOKUP(D78,FAOEP!$D$16:$F$27,3,FALSE)=FAOEP!$F$26,"kgCO2e/"&amp;'Outras emissões de processo'!H78,VLOOKUP(D78,FAOEP!$D$16:$F$27,3,FALSE)),"")</f>
        <v/>
      </c>
      <c r="L78" s="252"/>
      <c r="M78" s="987"/>
      <c r="N78" s="569"/>
      <c r="O78" s="337"/>
      <c r="P78" s="337"/>
      <c r="Q78" s="337"/>
      <c r="R78" s="569"/>
      <c r="S78" s="980" t="str">
        <f>IF((F78*J78+M78+O78+(P78+Q78)/1000)/1000=0,"",(F78*J78+M78+O78+(P78*'Fatores de Emissão'!$E$248+Q78*'Fatores de Emissão'!$E$249)/1000)/1000)</f>
        <v/>
      </c>
      <c r="T78" s="213" t="str">
        <f t="shared" si="0"/>
        <v/>
      </c>
    </row>
    <row r="79" spans="2:20" ht="15.5" hidden="1" outlineLevel="2" x14ac:dyDescent="0.35">
      <c r="B79" s="269"/>
      <c r="C79" s="269"/>
      <c r="D79" s="250"/>
      <c r="E79" s="269"/>
      <c r="F79" s="947"/>
      <c r="G79" s="567" t="str">
        <f>IFERROR(VLOOKUP(D79,FAOEP!$D$16:$E$27,2,FALSE),"")</f>
        <v/>
      </c>
      <c r="H79" s="941"/>
      <c r="I79" s="942"/>
      <c r="J79" s="568"/>
      <c r="K79" s="948" t="str">
        <f>IFERROR(IF(VLOOKUP(D79,FAOEP!$D$16:$F$27,3,FALSE)=FAOEP!$F$26,"kgCO2e/"&amp;'Outras emissões de processo'!H79,VLOOKUP(D79,FAOEP!$D$16:$F$27,3,FALSE)),"")</f>
        <v/>
      </c>
      <c r="L79" s="252"/>
      <c r="M79" s="987"/>
      <c r="N79" s="569"/>
      <c r="O79" s="337"/>
      <c r="P79" s="337"/>
      <c r="Q79" s="337"/>
      <c r="R79" s="569"/>
      <c r="S79" s="980" t="str">
        <f>IF((F79*J79+M79+O79+(P79+Q79)/1000)/1000=0,"",(F79*J79+M79+O79+(P79*'Fatores de Emissão'!$E$248+Q79*'Fatores de Emissão'!$E$249)/1000)/1000)</f>
        <v/>
      </c>
      <c r="T79" s="213" t="str">
        <f t="shared" si="0"/>
        <v/>
      </c>
    </row>
    <row r="80" spans="2:20" ht="15.5" hidden="1" outlineLevel="2" x14ac:dyDescent="0.35">
      <c r="B80" s="269"/>
      <c r="C80" s="269"/>
      <c r="D80" s="250"/>
      <c r="E80" s="269"/>
      <c r="F80" s="947"/>
      <c r="G80" s="567" t="str">
        <f>IFERROR(VLOOKUP(D80,FAOEP!$D$16:$E$27,2,FALSE),"")</f>
        <v/>
      </c>
      <c r="H80" s="941"/>
      <c r="I80" s="942"/>
      <c r="J80" s="568"/>
      <c r="K80" s="948" t="str">
        <f>IFERROR(IF(VLOOKUP(D80,FAOEP!$D$16:$F$27,3,FALSE)=FAOEP!$F$26,"kgCO2e/"&amp;'Outras emissões de processo'!H80,VLOOKUP(D80,FAOEP!$D$16:$F$27,3,FALSE)),"")</f>
        <v/>
      </c>
      <c r="L80" s="252"/>
      <c r="M80" s="987"/>
      <c r="N80" s="569"/>
      <c r="O80" s="337"/>
      <c r="P80" s="337"/>
      <c r="Q80" s="337"/>
      <c r="R80" s="569"/>
      <c r="S80" s="980" t="str">
        <f>IF((F80*J80+M80+O80+(P80+Q80)/1000)/1000=0,"",(F80*J80+M80+O80+(P80*'Fatores de Emissão'!$E$248+Q80*'Fatores de Emissão'!$E$249)/1000)/1000)</f>
        <v/>
      </c>
      <c r="T80" s="213" t="str">
        <f t="shared" si="0"/>
        <v/>
      </c>
    </row>
    <row r="81" spans="2:20" ht="15.5" hidden="1" outlineLevel="2" x14ac:dyDescent="0.35">
      <c r="B81" s="269"/>
      <c r="C81" s="269"/>
      <c r="D81" s="250"/>
      <c r="E81" s="269"/>
      <c r="F81" s="947"/>
      <c r="G81" s="567" t="str">
        <f>IFERROR(VLOOKUP(D81,FAOEP!$D$16:$E$27,2,FALSE),"")</f>
        <v/>
      </c>
      <c r="H81" s="941"/>
      <c r="I81" s="942"/>
      <c r="J81" s="568"/>
      <c r="K81" s="948" t="str">
        <f>IFERROR(IF(VLOOKUP(D81,FAOEP!$D$16:$F$27,3,FALSE)=FAOEP!$F$26,"kgCO2e/"&amp;'Outras emissões de processo'!H81,VLOOKUP(D81,FAOEP!$D$16:$F$27,3,FALSE)),"")</f>
        <v/>
      </c>
      <c r="L81" s="252"/>
      <c r="M81" s="987"/>
      <c r="N81" s="569"/>
      <c r="O81" s="337"/>
      <c r="P81" s="337"/>
      <c r="Q81" s="337"/>
      <c r="R81" s="569"/>
      <c r="S81" s="980" t="str">
        <f>IF((F81*J81+M81+O81+(P81+Q81)/1000)/1000=0,"",(F81*J81+M81+O81+(P81*'Fatores de Emissão'!$E$248+Q81*'Fatores de Emissão'!$E$249)/1000)/1000)</f>
        <v/>
      </c>
      <c r="T81" s="213" t="str">
        <f t="shared" si="0"/>
        <v/>
      </c>
    </row>
    <row r="82" spans="2:20" ht="15.5" hidden="1" outlineLevel="2" x14ac:dyDescent="0.35">
      <c r="B82" s="269"/>
      <c r="C82" s="269"/>
      <c r="D82" s="250"/>
      <c r="E82" s="269"/>
      <c r="F82" s="947"/>
      <c r="G82" s="567" t="str">
        <f>IFERROR(VLOOKUP(D82,FAOEP!$D$16:$E$27,2,FALSE),"")</f>
        <v/>
      </c>
      <c r="H82" s="941"/>
      <c r="I82" s="942"/>
      <c r="J82" s="568"/>
      <c r="K82" s="948" t="str">
        <f>IFERROR(IF(VLOOKUP(D82,FAOEP!$D$16:$F$27,3,FALSE)=FAOEP!$F$26,"kgCO2e/"&amp;'Outras emissões de processo'!H82,VLOOKUP(D82,FAOEP!$D$16:$F$27,3,FALSE)),"")</f>
        <v/>
      </c>
      <c r="L82" s="252"/>
      <c r="M82" s="987"/>
      <c r="N82" s="569"/>
      <c r="O82" s="337"/>
      <c r="P82" s="337"/>
      <c r="Q82" s="337"/>
      <c r="R82" s="569"/>
      <c r="S82" s="980" t="str">
        <f>IF((F82*J82+M82+O82+(P82+Q82)/1000)/1000=0,"",(F82*J82+M82+O82+(P82*'Fatores de Emissão'!$E$248+Q82*'Fatores de Emissão'!$E$249)/1000)/1000)</f>
        <v/>
      </c>
      <c r="T82" s="213" t="str">
        <f t="shared" si="0"/>
        <v/>
      </c>
    </row>
    <row r="83" spans="2:20" ht="15.5" hidden="1" outlineLevel="2" x14ac:dyDescent="0.35">
      <c r="B83" s="269"/>
      <c r="C83" s="269"/>
      <c r="D83" s="250"/>
      <c r="E83" s="269"/>
      <c r="F83" s="947"/>
      <c r="G83" s="567" t="str">
        <f>IFERROR(VLOOKUP(D83,FAOEP!$D$16:$E$27,2,FALSE),"")</f>
        <v/>
      </c>
      <c r="H83" s="941"/>
      <c r="I83" s="942"/>
      <c r="J83" s="568"/>
      <c r="K83" s="948" t="str">
        <f>IFERROR(IF(VLOOKUP(D83,FAOEP!$D$16:$F$27,3,FALSE)=FAOEP!$F$26,"kgCO2e/"&amp;'Outras emissões de processo'!H83,VLOOKUP(D83,FAOEP!$D$16:$F$27,3,FALSE)),"")</f>
        <v/>
      </c>
      <c r="L83" s="252"/>
      <c r="M83" s="987"/>
      <c r="N83" s="569"/>
      <c r="O83" s="337"/>
      <c r="P83" s="337"/>
      <c r="Q83" s="337"/>
      <c r="R83" s="569"/>
      <c r="S83" s="980" t="str">
        <f>IF((F83*J83+M83+O83+(P83+Q83)/1000)/1000=0,"",(F83*J83+M83+O83+(P83*'Fatores de Emissão'!$E$248+Q83*'Fatores de Emissão'!$E$249)/1000)/1000)</f>
        <v/>
      </c>
      <c r="T83" s="213" t="str">
        <f t="shared" si="0"/>
        <v/>
      </c>
    </row>
    <row r="84" spans="2:20" ht="15.5" hidden="1" outlineLevel="2" x14ac:dyDescent="0.35">
      <c r="B84" s="269"/>
      <c r="C84" s="269"/>
      <c r="D84" s="250"/>
      <c r="E84" s="269"/>
      <c r="F84" s="947"/>
      <c r="G84" s="567" t="str">
        <f>IFERROR(VLOOKUP(D84,FAOEP!$D$16:$E$27,2,FALSE),"")</f>
        <v/>
      </c>
      <c r="H84" s="941"/>
      <c r="I84" s="942"/>
      <c r="J84" s="568"/>
      <c r="K84" s="948" t="str">
        <f>IFERROR(IF(VLOOKUP(D84,FAOEP!$D$16:$F$27,3,FALSE)=FAOEP!$F$26,"kgCO2e/"&amp;'Outras emissões de processo'!H84,VLOOKUP(D84,FAOEP!$D$16:$F$27,3,FALSE)),"")</f>
        <v/>
      </c>
      <c r="L84" s="252"/>
      <c r="M84" s="987"/>
      <c r="N84" s="569"/>
      <c r="O84" s="337"/>
      <c r="P84" s="337"/>
      <c r="Q84" s="337"/>
      <c r="R84" s="569"/>
      <c r="S84" s="980" t="str">
        <f>IF((F84*J84+M84+O84+(P84+Q84)/1000)/1000=0,"",(F84*J84+M84+O84+(P84*'Fatores de Emissão'!$E$248+Q84*'Fatores de Emissão'!$E$249)/1000)/1000)</f>
        <v/>
      </c>
      <c r="T84" s="213" t="str">
        <f t="shared" si="0"/>
        <v/>
      </c>
    </row>
    <row r="85" spans="2:20" ht="15.5" hidden="1" outlineLevel="2" x14ac:dyDescent="0.35">
      <c r="B85" s="269"/>
      <c r="C85" s="269"/>
      <c r="D85" s="250"/>
      <c r="E85" s="269"/>
      <c r="F85" s="947"/>
      <c r="G85" s="567" t="str">
        <f>IFERROR(VLOOKUP(D85,FAOEP!$D$16:$E$27,2,FALSE),"")</f>
        <v/>
      </c>
      <c r="H85" s="941"/>
      <c r="I85" s="942"/>
      <c r="J85" s="568"/>
      <c r="K85" s="948" t="str">
        <f>IFERROR(IF(VLOOKUP(D85,FAOEP!$D$16:$F$27,3,FALSE)=FAOEP!$F$26,"kgCO2e/"&amp;'Outras emissões de processo'!H85,VLOOKUP(D85,FAOEP!$D$16:$F$27,3,FALSE)),"")</f>
        <v/>
      </c>
      <c r="L85" s="252"/>
      <c r="M85" s="987"/>
      <c r="N85" s="569"/>
      <c r="O85" s="337"/>
      <c r="P85" s="337"/>
      <c r="Q85" s="337"/>
      <c r="R85" s="569"/>
      <c r="S85" s="980" t="str">
        <f>IF((F85*J85+M85+O85+(P85+Q85)/1000)/1000=0,"",(F85*J85+M85+O85+(P85*'Fatores de Emissão'!$E$248+Q85*'Fatores de Emissão'!$E$249)/1000)/1000)</f>
        <v/>
      </c>
      <c r="T85" s="213" t="str">
        <f t="shared" si="0"/>
        <v/>
      </c>
    </row>
    <row r="86" spans="2:20" ht="15.5" hidden="1" outlineLevel="2" x14ac:dyDescent="0.35">
      <c r="B86" s="269"/>
      <c r="C86" s="269"/>
      <c r="D86" s="250"/>
      <c r="E86" s="269"/>
      <c r="F86" s="947"/>
      <c r="G86" s="567" t="str">
        <f>IFERROR(VLOOKUP(D86,FAOEP!$D$16:$E$27,2,FALSE),"")</f>
        <v/>
      </c>
      <c r="H86" s="941"/>
      <c r="I86" s="942"/>
      <c r="J86" s="568"/>
      <c r="K86" s="948" t="str">
        <f>IFERROR(IF(VLOOKUP(D86,FAOEP!$D$16:$F$27,3,FALSE)=FAOEP!$F$26,"kgCO2e/"&amp;'Outras emissões de processo'!H86,VLOOKUP(D86,FAOEP!$D$16:$F$27,3,FALSE)),"")</f>
        <v/>
      </c>
      <c r="L86" s="252"/>
      <c r="M86" s="987"/>
      <c r="N86" s="569"/>
      <c r="O86" s="337"/>
      <c r="P86" s="337"/>
      <c r="Q86" s="337"/>
      <c r="R86" s="569"/>
      <c r="S86" s="980" t="str">
        <f>IF((F86*J86+M86+O86+(P86+Q86)/1000)/1000=0,"",(F86*J86+M86+O86+(P86*'Fatores de Emissão'!$E$248+Q86*'Fatores de Emissão'!$E$249)/1000)/1000)</f>
        <v/>
      </c>
      <c r="T86" s="213" t="str">
        <f t="shared" si="0"/>
        <v/>
      </c>
    </row>
    <row r="87" spans="2:20" ht="15.5" hidden="1" outlineLevel="2" x14ac:dyDescent="0.35">
      <c r="B87" s="269"/>
      <c r="C87" s="269"/>
      <c r="D87" s="250"/>
      <c r="E87" s="269"/>
      <c r="F87" s="947"/>
      <c r="G87" s="567" t="str">
        <f>IFERROR(VLOOKUP(D87,FAOEP!$D$16:$E$27,2,FALSE),"")</f>
        <v/>
      </c>
      <c r="H87" s="941"/>
      <c r="I87" s="942"/>
      <c r="J87" s="568"/>
      <c r="K87" s="948" t="str">
        <f>IFERROR(IF(VLOOKUP(D87,FAOEP!$D$16:$F$27,3,FALSE)=FAOEP!$F$26,"kgCO2e/"&amp;'Outras emissões de processo'!H87,VLOOKUP(D87,FAOEP!$D$16:$F$27,3,FALSE)),"")</f>
        <v/>
      </c>
      <c r="L87" s="252"/>
      <c r="M87" s="987"/>
      <c r="N87" s="569"/>
      <c r="O87" s="337"/>
      <c r="P87" s="337"/>
      <c r="Q87" s="337"/>
      <c r="R87" s="569"/>
      <c r="S87" s="980" t="str">
        <f>IF((F87*J87+M87+O87+(P87+Q87)/1000)/1000=0,"",(F87*J87+M87+O87+(P87*'Fatores de Emissão'!$E$248+Q87*'Fatores de Emissão'!$E$249)/1000)/1000)</f>
        <v/>
      </c>
      <c r="T87" s="213" t="str">
        <f t="shared" si="0"/>
        <v/>
      </c>
    </row>
    <row r="88" spans="2:20" ht="15.5" hidden="1" outlineLevel="2" x14ac:dyDescent="0.35">
      <c r="B88" s="269"/>
      <c r="C88" s="269"/>
      <c r="D88" s="250"/>
      <c r="E88" s="269"/>
      <c r="F88" s="947"/>
      <c r="G88" s="567" t="str">
        <f>IFERROR(VLOOKUP(D88,FAOEP!$D$16:$E$27,2,FALSE),"")</f>
        <v/>
      </c>
      <c r="H88" s="941"/>
      <c r="I88" s="942"/>
      <c r="J88" s="568"/>
      <c r="K88" s="948" t="str">
        <f>IFERROR(IF(VLOOKUP(D88,FAOEP!$D$16:$F$27,3,FALSE)=FAOEP!$F$26,"kgCO2e/"&amp;'Outras emissões de processo'!H88,VLOOKUP(D88,FAOEP!$D$16:$F$27,3,FALSE)),"")</f>
        <v/>
      </c>
      <c r="L88" s="252"/>
      <c r="M88" s="987"/>
      <c r="N88" s="569"/>
      <c r="O88" s="337"/>
      <c r="P88" s="337"/>
      <c r="Q88" s="337"/>
      <c r="R88" s="569"/>
      <c r="S88" s="980" t="str">
        <f>IF((F88*J88+M88+O88+(P88+Q88)/1000)/1000=0,"",(F88*J88+M88+O88+(P88*'Fatores de Emissão'!$E$248+Q88*'Fatores de Emissão'!$E$249)/1000)/1000)</f>
        <v/>
      </c>
      <c r="T88" s="213" t="str">
        <f t="shared" si="0"/>
        <v/>
      </c>
    </row>
    <row r="89" spans="2:20" ht="15.5" hidden="1" outlineLevel="2" x14ac:dyDescent="0.35">
      <c r="B89" s="269"/>
      <c r="C89" s="269"/>
      <c r="D89" s="250"/>
      <c r="E89" s="269"/>
      <c r="F89" s="947"/>
      <c r="G89" s="567" t="str">
        <f>IFERROR(VLOOKUP(D89,FAOEP!$D$16:$E$27,2,FALSE),"")</f>
        <v/>
      </c>
      <c r="H89" s="941"/>
      <c r="I89" s="942"/>
      <c r="J89" s="568"/>
      <c r="K89" s="948" t="str">
        <f>IFERROR(IF(VLOOKUP(D89,FAOEP!$D$16:$F$27,3,FALSE)=FAOEP!$F$26,"kgCO2e/"&amp;'Outras emissões de processo'!H89,VLOOKUP(D89,FAOEP!$D$16:$F$27,3,FALSE)),"")</f>
        <v/>
      </c>
      <c r="L89" s="252"/>
      <c r="M89" s="987"/>
      <c r="N89" s="569"/>
      <c r="O89" s="337"/>
      <c r="P89" s="337"/>
      <c r="Q89" s="337"/>
      <c r="R89" s="569"/>
      <c r="S89" s="980" t="str">
        <f>IF((F89*J89+M89+O89+(P89+Q89)/1000)/1000=0,"",(F89*J89+M89+O89+(P89*'Fatores de Emissão'!$E$248+Q89*'Fatores de Emissão'!$E$249)/1000)/1000)</f>
        <v/>
      </c>
      <c r="T89" s="213" t="str">
        <f t="shared" si="0"/>
        <v/>
      </c>
    </row>
    <row r="90" spans="2:20" ht="15.5" hidden="1" outlineLevel="2" x14ac:dyDescent="0.35">
      <c r="B90" s="269"/>
      <c r="C90" s="269"/>
      <c r="D90" s="250"/>
      <c r="E90" s="269"/>
      <c r="F90" s="947"/>
      <c r="G90" s="567" t="str">
        <f>IFERROR(VLOOKUP(D90,FAOEP!$D$16:$E$27,2,FALSE),"")</f>
        <v/>
      </c>
      <c r="H90" s="941"/>
      <c r="I90" s="942"/>
      <c r="J90" s="568"/>
      <c r="K90" s="948" t="str">
        <f>IFERROR(IF(VLOOKUP(D90,FAOEP!$D$16:$F$27,3,FALSE)=FAOEP!$F$26,"kgCO2e/"&amp;'Outras emissões de processo'!H90,VLOOKUP(D90,FAOEP!$D$16:$F$27,3,FALSE)),"")</f>
        <v/>
      </c>
      <c r="L90" s="252"/>
      <c r="M90" s="987"/>
      <c r="N90" s="569"/>
      <c r="O90" s="337"/>
      <c r="P90" s="337"/>
      <c r="Q90" s="337"/>
      <c r="R90" s="569"/>
      <c r="S90" s="980" t="str">
        <f>IF((F90*J90+M90+O90+(P90+Q90)/1000)/1000=0,"",(F90*J90+M90+O90+(P90*'Fatores de Emissão'!$E$248+Q90*'Fatores de Emissão'!$E$249)/1000)/1000)</f>
        <v/>
      </c>
      <c r="T90" s="213" t="str">
        <f t="shared" si="0"/>
        <v/>
      </c>
    </row>
    <row r="91" spans="2:20" ht="15.5" hidden="1" outlineLevel="2" x14ac:dyDescent="0.35">
      <c r="B91" s="269"/>
      <c r="C91" s="269"/>
      <c r="D91" s="250"/>
      <c r="E91" s="269"/>
      <c r="F91" s="947"/>
      <c r="G91" s="567" t="str">
        <f>IFERROR(VLOOKUP(D91,FAOEP!$D$16:$E$27,2,FALSE),"")</f>
        <v/>
      </c>
      <c r="H91" s="941"/>
      <c r="I91" s="942"/>
      <c r="J91" s="568"/>
      <c r="K91" s="948" t="str">
        <f>IFERROR(IF(VLOOKUP(D91,FAOEP!$D$16:$F$27,3,FALSE)=FAOEP!$F$26,"kgCO2e/"&amp;'Outras emissões de processo'!H91,VLOOKUP(D91,FAOEP!$D$16:$F$27,3,FALSE)),"")</f>
        <v/>
      </c>
      <c r="L91" s="252"/>
      <c r="M91" s="987"/>
      <c r="N91" s="569"/>
      <c r="O91" s="337"/>
      <c r="P91" s="337"/>
      <c r="Q91" s="337"/>
      <c r="R91" s="569"/>
      <c r="S91" s="980" t="str">
        <f>IF((F91*J91+M91+O91+(P91+Q91)/1000)/1000=0,"",(F91*J91+M91+O91+(P91*'Fatores de Emissão'!$E$248+Q91*'Fatores de Emissão'!$E$249)/1000)/1000)</f>
        <v/>
      </c>
      <c r="T91" s="213" t="str">
        <f t="shared" si="0"/>
        <v/>
      </c>
    </row>
    <row r="92" spans="2:20" ht="15.5" hidden="1" outlineLevel="2" x14ac:dyDescent="0.35">
      <c r="B92" s="269"/>
      <c r="C92" s="269"/>
      <c r="D92" s="250"/>
      <c r="E92" s="269"/>
      <c r="F92" s="947"/>
      <c r="G92" s="567" t="str">
        <f>IFERROR(VLOOKUP(D92,FAOEP!$D$16:$E$27,2,FALSE),"")</f>
        <v/>
      </c>
      <c r="H92" s="941"/>
      <c r="I92" s="942"/>
      <c r="J92" s="568"/>
      <c r="K92" s="948" t="str">
        <f>IFERROR(IF(VLOOKUP(D92,FAOEP!$D$16:$F$27,3,FALSE)=FAOEP!$F$26,"kgCO2e/"&amp;'Outras emissões de processo'!H92,VLOOKUP(D92,FAOEP!$D$16:$F$27,3,FALSE)),"")</f>
        <v/>
      </c>
      <c r="L92" s="252"/>
      <c r="M92" s="987"/>
      <c r="N92" s="569"/>
      <c r="O92" s="337"/>
      <c r="P92" s="337"/>
      <c r="Q92" s="337"/>
      <c r="R92" s="569"/>
      <c r="S92" s="980" t="str">
        <f>IF((F92*J92+M92+O92+(P92+Q92)/1000)/1000=0,"",(F92*J92+M92+O92+(P92*'Fatores de Emissão'!$E$248+Q92*'Fatores de Emissão'!$E$249)/1000)/1000)</f>
        <v/>
      </c>
      <c r="T92" s="213" t="str">
        <f t="shared" si="0"/>
        <v/>
      </c>
    </row>
    <row r="93" spans="2:20" ht="15.5" hidden="1" outlineLevel="2" x14ac:dyDescent="0.35">
      <c r="B93" s="269"/>
      <c r="C93" s="269"/>
      <c r="D93" s="250"/>
      <c r="E93" s="269"/>
      <c r="F93" s="947"/>
      <c r="G93" s="567" t="str">
        <f>IFERROR(VLOOKUP(D93,FAOEP!$D$16:$E$27,2,FALSE),"")</f>
        <v/>
      </c>
      <c r="H93" s="941"/>
      <c r="I93" s="942"/>
      <c r="J93" s="568"/>
      <c r="K93" s="948" t="str">
        <f>IFERROR(IF(VLOOKUP(D93,FAOEP!$D$16:$F$27,3,FALSE)=FAOEP!$F$26,"kgCO2e/"&amp;'Outras emissões de processo'!H93,VLOOKUP(D93,FAOEP!$D$16:$F$27,3,FALSE)),"")</f>
        <v/>
      </c>
      <c r="L93" s="252"/>
      <c r="M93" s="987"/>
      <c r="N93" s="569"/>
      <c r="O93" s="337"/>
      <c r="P93" s="337"/>
      <c r="Q93" s="337"/>
      <c r="R93" s="569"/>
      <c r="S93" s="980" t="str">
        <f>IF((F93*J93+M93+O93+(P93+Q93)/1000)/1000=0,"",(F93*J93+M93+O93+(P93*'Fatores de Emissão'!$E$248+Q93*'Fatores de Emissão'!$E$249)/1000)/1000)</f>
        <v/>
      </c>
      <c r="T93" s="213" t="str">
        <f t="shared" si="0"/>
        <v/>
      </c>
    </row>
    <row r="94" spans="2:20" ht="15.5" hidden="1" outlineLevel="2" x14ac:dyDescent="0.35">
      <c r="B94" s="269"/>
      <c r="C94" s="269"/>
      <c r="D94" s="250"/>
      <c r="E94" s="269"/>
      <c r="F94" s="947"/>
      <c r="G94" s="567" t="str">
        <f>IFERROR(VLOOKUP(D94,FAOEP!$D$16:$E$27,2,FALSE),"")</f>
        <v/>
      </c>
      <c r="H94" s="941"/>
      <c r="I94" s="942"/>
      <c r="J94" s="568"/>
      <c r="K94" s="948" t="str">
        <f>IFERROR(IF(VLOOKUP(D94,FAOEP!$D$16:$F$27,3,FALSE)=FAOEP!$F$26,"kgCO2e/"&amp;'Outras emissões de processo'!H94,VLOOKUP(D94,FAOEP!$D$16:$F$27,3,FALSE)),"")</f>
        <v/>
      </c>
      <c r="L94" s="252"/>
      <c r="M94" s="987"/>
      <c r="N94" s="569"/>
      <c r="O94" s="337"/>
      <c r="P94" s="337"/>
      <c r="Q94" s="337"/>
      <c r="R94" s="569"/>
      <c r="S94" s="980" t="str">
        <f>IF((F94*J94+M94+O94+(P94+Q94)/1000)/1000=0,"",(F94*J94+M94+O94+(P94*'Fatores de Emissão'!$E$248+Q94*'Fatores de Emissão'!$E$249)/1000)/1000)</f>
        <v/>
      </c>
      <c r="T94" s="213" t="str">
        <f t="shared" si="0"/>
        <v/>
      </c>
    </row>
    <row r="95" spans="2:20" ht="15.5" hidden="1" outlineLevel="2" x14ac:dyDescent="0.35">
      <c r="B95" s="269"/>
      <c r="C95" s="269"/>
      <c r="D95" s="250"/>
      <c r="E95" s="269"/>
      <c r="F95" s="947"/>
      <c r="G95" s="567" t="str">
        <f>IFERROR(VLOOKUP(D95,FAOEP!$D$16:$E$27,2,FALSE),"")</f>
        <v/>
      </c>
      <c r="H95" s="941"/>
      <c r="I95" s="942"/>
      <c r="J95" s="568"/>
      <c r="K95" s="948" t="str">
        <f>IFERROR(IF(VLOOKUP(D95,FAOEP!$D$16:$F$27,3,FALSE)=FAOEP!$F$26,"kgCO2e/"&amp;'Outras emissões de processo'!H95,VLOOKUP(D95,FAOEP!$D$16:$F$27,3,FALSE)),"")</f>
        <v/>
      </c>
      <c r="L95" s="252"/>
      <c r="M95" s="987"/>
      <c r="N95" s="569"/>
      <c r="O95" s="337"/>
      <c r="P95" s="337"/>
      <c r="Q95" s="337"/>
      <c r="R95" s="569"/>
      <c r="S95" s="980" t="str">
        <f>IF((F95*J95+M95+O95+(P95+Q95)/1000)/1000=0,"",(F95*J95+M95+O95+(P95*'Fatores de Emissão'!$E$248+Q95*'Fatores de Emissão'!$E$249)/1000)/1000)</f>
        <v/>
      </c>
      <c r="T95" s="213" t="str">
        <f t="shared" si="0"/>
        <v/>
      </c>
    </row>
    <row r="96" spans="2:20" ht="15.5" hidden="1" outlineLevel="2" x14ac:dyDescent="0.35">
      <c r="B96" s="269"/>
      <c r="C96" s="269"/>
      <c r="D96" s="250"/>
      <c r="E96" s="269"/>
      <c r="F96" s="947"/>
      <c r="G96" s="567" t="str">
        <f>IFERROR(VLOOKUP(D96,FAOEP!$D$16:$E$27,2,FALSE),"")</f>
        <v/>
      </c>
      <c r="H96" s="941"/>
      <c r="I96" s="942"/>
      <c r="J96" s="568"/>
      <c r="K96" s="948" t="str">
        <f>IFERROR(IF(VLOOKUP(D96,FAOEP!$D$16:$F$27,3,FALSE)=FAOEP!$F$26,"kgCO2e/"&amp;'Outras emissões de processo'!H96,VLOOKUP(D96,FAOEP!$D$16:$F$27,3,FALSE)),"")</f>
        <v/>
      </c>
      <c r="L96" s="252"/>
      <c r="M96" s="987"/>
      <c r="N96" s="569"/>
      <c r="O96" s="337"/>
      <c r="P96" s="337"/>
      <c r="Q96" s="337"/>
      <c r="R96" s="569"/>
      <c r="S96" s="980" t="str">
        <f>IF((F96*J96+M96+O96+(P96+Q96)/1000)/1000=0,"",(F96*J96+M96+O96+(P96*'Fatores de Emissão'!$E$248+Q96*'Fatores de Emissão'!$E$249)/1000)/1000)</f>
        <v/>
      </c>
      <c r="T96" s="213" t="str">
        <f t="shared" si="0"/>
        <v/>
      </c>
    </row>
    <row r="97" spans="2:20" ht="15.5" hidden="1" outlineLevel="2" x14ac:dyDescent="0.35">
      <c r="B97" s="269"/>
      <c r="C97" s="269"/>
      <c r="D97" s="250"/>
      <c r="E97" s="269"/>
      <c r="F97" s="947"/>
      <c r="G97" s="567" t="str">
        <f>IFERROR(VLOOKUP(D97,FAOEP!$D$16:$E$27,2,FALSE),"")</f>
        <v/>
      </c>
      <c r="H97" s="941"/>
      <c r="I97" s="942"/>
      <c r="J97" s="568"/>
      <c r="K97" s="948" t="str">
        <f>IFERROR(IF(VLOOKUP(D97,FAOEP!$D$16:$F$27,3,FALSE)=FAOEP!$F$26,"kgCO2e/"&amp;'Outras emissões de processo'!H97,VLOOKUP(D97,FAOEP!$D$16:$F$27,3,FALSE)),"")</f>
        <v/>
      </c>
      <c r="L97" s="252"/>
      <c r="M97" s="987"/>
      <c r="N97" s="569"/>
      <c r="O97" s="337"/>
      <c r="P97" s="337"/>
      <c r="Q97" s="337"/>
      <c r="R97" s="569"/>
      <c r="S97" s="980" t="str">
        <f>IF((F97*J97+M97+O97+(P97+Q97)/1000)/1000=0,"",(F97*J97+M97+O97+(P97*'Fatores de Emissão'!$E$248+Q97*'Fatores de Emissão'!$E$249)/1000)/1000)</f>
        <v/>
      </c>
      <c r="T97" s="213" t="str">
        <f t="shared" si="0"/>
        <v/>
      </c>
    </row>
    <row r="98" spans="2:20" ht="15.5" hidden="1" outlineLevel="2" x14ac:dyDescent="0.35">
      <c r="B98" s="269"/>
      <c r="C98" s="269"/>
      <c r="D98" s="250"/>
      <c r="E98" s="269"/>
      <c r="F98" s="947"/>
      <c r="G98" s="567" t="str">
        <f>IFERROR(VLOOKUP(D98,FAOEP!$D$16:$E$27,2,FALSE),"")</f>
        <v/>
      </c>
      <c r="H98" s="941"/>
      <c r="I98" s="942"/>
      <c r="J98" s="568"/>
      <c r="K98" s="948" t="str">
        <f>IFERROR(IF(VLOOKUP(D98,FAOEP!$D$16:$F$27,3,FALSE)=FAOEP!$F$26,"kgCO2e/"&amp;'Outras emissões de processo'!H98,VLOOKUP(D98,FAOEP!$D$16:$F$27,3,FALSE)),"")</f>
        <v/>
      </c>
      <c r="L98" s="252"/>
      <c r="M98" s="987"/>
      <c r="N98" s="569"/>
      <c r="O98" s="337"/>
      <c r="P98" s="337"/>
      <c r="Q98" s="337"/>
      <c r="R98" s="569"/>
      <c r="S98" s="980" t="str">
        <f>IF((F98*J98+M98+O98+(P98+Q98)/1000)/1000=0,"",(F98*J98+M98+O98+(P98*'Fatores de Emissão'!$E$248+Q98*'Fatores de Emissão'!$E$249)/1000)/1000)</f>
        <v/>
      </c>
      <c r="T98" s="213" t="str">
        <f t="shared" si="0"/>
        <v/>
      </c>
    </row>
    <row r="99" spans="2:20" ht="15.5" hidden="1" outlineLevel="2" x14ac:dyDescent="0.35">
      <c r="B99" s="269"/>
      <c r="C99" s="269"/>
      <c r="D99" s="250"/>
      <c r="E99" s="269"/>
      <c r="F99" s="947"/>
      <c r="G99" s="567" t="str">
        <f>IFERROR(VLOOKUP(D99,FAOEP!$D$16:$E$27,2,FALSE),"")</f>
        <v/>
      </c>
      <c r="H99" s="941"/>
      <c r="I99" s="942"/>
      <c r="J99" s="568"/>
      <c r="K99" s="948" t="str">
        <f>IFERROR(IF(VLOOKUP(D99,FAOEP!$D$16:$F$27,3,FALSE)=FAOEP!$F$26,"kgCO2e/"&amp;'Outras emissões de processo'!H99,VLOOKUP(D99,FAOEP!$D$16:$F$27,3,FALSE)),"")</f>
        <v/>
      </c>
      <c r="L99" s="252"/>
      <c r="M99" s="987"/>
      <c r="N99" s="569"/>
      <c r="O99" s="337"/>
      <c r="P99" s="337"/>
      <c r="Q99" s="337"/>
      <c r="R99" s="569"/>
      <c r="S99" s="980" t="str">
        <f>IF((F99*J99+M99+O99+(P99+Q99)/1000)/1000=0,"",(F99*J99+M99+O99+(P99*'Fatores de Emissão'!$E$248+Q99*'Fatores de Emissão'!$E$249)/1000)/1000)</f>
        <v/>
      </c>
      <c r="T99" s="213" t="str">
        <f t="shared" si="0"/>
        <v/>
      </c>
    </row>
    <row r="100" spans="2:20" ht="15.5" hidden="1" outlineLevel="2" x14ac:dyDescent="0.35">
      <c r="B100" s="269"/>
      <c r="C100" s="269"/>
      <c r="D100" s="250"/>
      <c r="E100" s="269"/>
      <c r="F100" s="947"/>
      <c r="G100" s="567" t="str">
        <f>IFERROR(VLOOKUP(D100,FAOEP!$D$16:$E$27,2,FALSE),"")</f>
        <v/>
      </c>
      <c r="H100" s="941"/>
      <c r="I100" s="942"/>
      <c r="J100" s="568"/>
      <c r="K100" s="948" t="str">
        <f>IFERROR(IF(VLOOKUP(D100,FAOEP!$D$16:$F$27,3,FALSE)=FAOEP!$F$26,"kgCO2e/"&amp;'Outras emissões de processo'!H100,VLOOKUP(D100,FAOEP!$D$16:$F$27,3,FALSE)),"")</f>
        <v/>
      </c>
      <c r="L100" s="252"/>
      <c r="M100" s="987"/>
      <c r="N100" s="569"/>
      <c r="O100" s="337"/>
      <c r="P100" s="337"/>
      <c r="Q100" s="337"/>
      <c r="R100" s="569"/>
      <c r="S100" s="980" t="str">
        <f>IF((F100*J100+M100+O100+(P100+Q100)/1000)/1000=0,"",(F100*J100+M100+O100+(P100*'Fatores de Emissão'!$E$248+Q100*'Fatores de Emissão'!$E$249)/1000)/1000)</f>
        <v/>
      </c>
      <c r="T100" s="213" t="str">
        <f t="shared" si="0"/>
        <v/>
      </c>
    </row>
    <row r="101" spans="2:20" ht="15.5" hidden="1" outlineLevel="2" x14ac:dyDescent="0.35">
      <c r="B101" s="269"/>
      <c r="C101" s="269"/>
      <c r="D101" s="250"/>
      <c r="E101" s="269"/>
      <c r="F101" s="947"/>
      <c r="G101" s="567" t="str">
        <f>IFERROR(VLOOKUP(D101,FAOEP!$D$16:$E$27,2,FALSE),"")</f>
        <v/>
      </c>
      <c r="H101" s="941"/>
      <c r="I101" s="942"/>
      <c r="J101" s="568"/>
      <c r="K101" s="948" t="str">
        <f>IFERROR(IF(VLOOKUP(D101,FAOEP!$D$16:$F$27,3,FALSE)=FAOEP!$F$26,"kgCO2e/"&amp;'Outras emissões de processo'!H101,VLOOKUP(D101,FAOEP!$D$16:$F$27,3,FALSE)),"")</f>
        <v/>
      </c>
      <c r="L101" s="252"/>
      <c r="M101" s="987"/>
      <c r="N101" s="569"/>
      <c r="O101" s="337"/>
      <c r="P101" s="337"/>
      <c r="Q101" s="337"/>
      <c r="R101" s="569"/>
      <c r="S101" s="980" t="str">
        <f>IF((F101*J101+M101+O101+(P101+Q101)/1000)/1000=0,"",(F101*J101+M101+O101+(P101*'Fatores de Emissão'!$E$248+Q101*'Fatores de Emissão'!$E$249)/1000)/1000)</f>
        <v/>
      </c>
      <c r="T101" s="213" t="str">
        <f t="shared" si="0"/>
        <v/>
      </c>
    </row>
    <row r="102" spans="2:20" ht="15.5" hidden="1" outlineLevel="2" x14ac:dyDescent="0.35">
      <c r="B102" s="269"/>
      <c r="C102" s="269"/>
      <c r="D102" s="250"/>
      <c r="E102" s="269"/>
      <c r="F102" s="947"/>
      <c r="G102" s="567" t="str">
        <f>IFERROR(VLOOKUP(D102,FAOEP!$D$16:$E$27,2,FALSE),"")</f>
        <v/>
      </c>
      <c r="H102" s="941"/>
      <c r="I102" s="942"/>
      <c r="J102" s="568"/>
      <c r="K102" s="948" t="str">
        <f>IFERROR(IF(VLOOKUP(D102,FAOEP!$D$16:$F$27,3,FALSE)=FAOEP!$F$26,"kgCO2e/"&amp;'Outras emissões de processo'!H102,VLOOKUP(D102,FAOEP!$D$16:$F$27,3,FALSE)),"")</f>
        <v/>
      </c>
      <c r="L102" s="252"/>
      <c r="M102" s="987"/>
      <c r="N102" s="569"/>
      <c r="O102" s="337"/>
      <c r="P102" s="337"/>
      <c r="Q102" s="337"/>
      <c r="R102" s="569"/>
      <c r="S102" s="980" t="str">
        <f>IF((F102*J102+M102+O102+(P102+Q102)/1000)/1000=0,"",(F102*J102+M102+O102+(P102*'Fatores de Emissão'!$E$248+Q102*'Fatores de Emissão'!$E$249)/1000)/1000)</f>
        <v/>
      </c>
      <c r="T102" s="213" t="str">
        <f t="shared" si="0"/>
        <v/>
      </c>
    </row>
    <row r="103" spans="2:20" ht="15.5" hidden="1" outlineLevel="2" x14ac:dyDescent="0.35">
      <c r="B103" s="269"/>
      <c r="C103" s="269"/>
      <c r="D103" s="250"/>
      <c r="E103" s="269"/>
      <c r="F103" s="947"/>
      <c r="G103" s="567" t="str">
        <f>IFERROR(VLOOKUP(D103,FAOEP!$D$16:$E$27,2,FALSE),"")</f>
        <v/>
      </c>
      <c r="H103" s="941"/>
      <c r="I103" s="942"/>
      <c r="J103" s="568"/>
      <c r="K103" s="948" t="str">
        <f>IFERROR(IF(VLOOKUP(D103,FAOEP!$D$16:$F$27,3,FALSE)=FAOEP!$F$26,"kgCO2e/"&amp;'Outras emissões de processo'!H103,VLOOKUP(D103,FAOEP!$D$16:$F$27,3,FALSE)),"")</f>
        <v/>
      </c>
      <c r="L103" s="252"/>
      <c r="M103" s="987"/>
      <c r="N103" s="569"/>
      <c r="O103" s="337"/>
      <c r="P103" s="337"/>
      <c r="Q103" s="337"/>
      <c r="R103" s="569"/>
      <c r="S103" s="980" t="str">
        <f>IF((F103*J103+M103+O103+(P103+Q103)/1000)/1000=0,"",(F103*J103+M103+O103+(P103*'Fatores de Emissão'!$E$248+Q103*'Fatores de Emissão'!$E$249)/1000)/1000)</f>
        <v/>
      </c>
      <c r="T103" s="213" t="str">
        <f t="shared" si="0"/>
        <v/>
      </c>
    </row>
    <row r="104" spans="2:20" ht="15.5" hidden="1" outlineLevel="2" x14ac:dyDescent="0.35">
      <c r="B104" s="269"/>
      <c r="C104" s="269"/>
      <c r="D104" s="250"/>
      <c r="E104" s="269"/>
      <c r="F104" s="947"/>
      <c r="G104" s="567" t="str">
        <f>IFERROR(VLOOKUP(D104,FAOEP!$D$16:$E$27,2,FALSE),"")</f>
        <v/>
      </c>
      <c r="H104" s="941"/>
      <c r="I104" s="942"/>
      <c r="J104" s="568"/>
      <c r="K104" s="948" t="str">
        <f>IFERROR(IF(VLOOKUP(D104,FAOEP!$D$16:$F$27,3,FALSE)=FAOEP!$F$26,"kgCO2e/"&amp;'Outras emissões de processo'!H104,VLOOKUP(D104,FAOEP!$D$16:$F$27,3,FALSE)),"")</f>
        <v/>
      </c>
      <c r="L104" s="252"/>
      <c r="M104" s="987"/>
      <c r="N104" s="569"/>
      <c r="O104" s="337"/>
      <c r="P104" s="337"/>
      <c r="Q104" s="337"/>
      <c r="R104" s="569"/>
      <c r="S104" s="980" t="str">
        <f>IF((F104*J104+M104+O104+(P104+Q104)/1000)/1000=0,"",(F104*J104+M104+O104+(P104*'Fatores de Emissão'!$E$248+Q104*'Fatores de Emissão'!$E$249)/1000)/1000)</f>
        <v/>
      </c>
      <c r="T104" s="213" t="str">
        <f t="shared" si="0"/>
        <v/>
      </c>
    </row>
    <row r="105" spans="2:20" ht="15.5" hidden="1" outlineLevel="2" x14ac:dyDescent="0.35">
      <c r="B105" s="269"/>
      <c r="C105" s="269"/>
      <c r="D105" s="250"/>
      <c r="E105" s="269"/>
      <c r="F105" s="947"/>
      <c r="G105" s="567" t="str">
        <f>IFERROR(VLOOKUP(D105,FAOEP!$D$16:$E$27,2,FALSE),"")</f>
        <v/>
      </c>
      <c r="H105" s="941"/>
      <c r="I105" s="942"/>
      <c r="J105" s="568"/>
      <c r="K105" s="948" t="str">
        <f>IFERROR(IF(VLOOKUP(D105,FAOEP!$D$16:$F$27,3,FALSE)=FAOEP!$F$26,"kgCO2e/"&amp;'Outras emissões de processo'!H105,VLOOKUP(D105,FAOEP!$D$16:$F$27,3,FALSE)),"")</f>
        <v/>
      </c>
      <c r="L105" s="252"/>
      <c r="M105" s="987"/>
      <c r="N105" s="569"/>
      <c r="O105" s="337"/>
      <c r="P105" s="337"/>
      <c r="Q105" s="337"/>
      <c r="R105" s="569"/>
      <c r="S105" s="980" t="str">
        <f>IF((F105*J105+M105+O105+(P105+Q105)/1000)/1000=0,"",(F105*J105+M105+O105+(P105*'Fatores de Emissão'!$E$248+Q105*'Fatores de Emissão'!$E$249)/1000)/1000)</f>
        <v/>
      </c>
      <c r="T105" s="213" t="str">
        <f t="shared" si="0"/>
        <v/>
      </c>
    </row>
    <row r="106" spans="2:20" ht="15.5" hidden="1" outlineLevel="2" x14ac:dyDescent="0.35">
      <c r="B106" s="269"/>
      <c r="C106" s="269"/>
      <c r="D106" s="250"/>
      <c r="E106" s="269"/>
      <c r="F106" s="947"/>
      <c r="G106" s="567" t="str">
        <f>IFERROR(VLOOKUP(D106,FAOEP!$D$16:$E$27,2,FALSE),"")</f>
        <v/>
      </c>
      <c r="H106" s="941"/>
      <c r="I106" s="942"/>
      <c r="J106" s="568"/>
      <c r="K106" s="948" t="str">
        <f>IFERROR(IF(VLOOKUP(D106,FAOEP!$D$16:$F$27,3,FALSE)=FAOEP!$F$26,"kgCO2e/"&amp;'Outras emissões de processo'!H106,VLOOKUP(D106,FAOEP!$D$16:$F$27,3,FALSE)),"")</f>
        <v/>
      </c>
      <c r="L106" s="252"/>
      <c r="M106" s="987"/>
      <c r="N106" s="569"/>
      <c r="O106" s="337"/>
      <c r="P106" s="337"/>
      <c r="Q106" s="337"/>
      <c r="R106" s="569"/>
      <c r="S106" s="980" t="str">
        <f>IF((F106*J106+M106+O106+(P106+Q106)/1000)/1000=0,"",(F106*J106+M106+O106+(P106*'Fatores de Emissão'!$E$248+Q106*'Fatores de Emissão'!$E$249)/1000)/1000)</f>
        <v/>
      </c>
      <c r="T106" s="213" t="str">
        <f t="shared" si="0"/>
        <v/>
      </c>
    </row>
    <row r="107" spans="2:20" ht="15.5" hidden="1" outlineLevel="2" x14ac:dyDescent="0.35">
      <c r="B107" s="269"/>
      <c r="C107" s="269"/>
      <c r="D107" s="250"/>
      <c r="E107" s="269"/>
      <c r="F107" s="947"/>
      <c r="G107" s="567" t="str">
        <f>IFERROR(VLOOKUP(D107,FAOEP!$D$16:$E$27,2,FALSE),"")</f>
        <v/>
      </c>
      <c r="H107" s="941"/>
      <c r="I107" s="942"/>
      <c r="J107" s="568"/>
      <c r="K107" s="948" t="str">
        <f>IFERROR(IF(VLOOKUP(D107,FAOEP!$D$16:$F$27,3,FALSE)=FAOEP!$F$26,"kgCO2e/"&amp;'Outras emissões de processo'!H107,VLOOKUP(D107,FAOEP!$D$16:$F$27,3,FALSE)),"")</f>
        <v/>
      </c>
      <c r="L107" s="252"/>
      <c r="M107" s="987"/>
      <c r="N107" s="569"/>
      <c r="O107" s="337"/>
      <c r="P107" s="337"/>
      <c r="Q107" s="337"/>
      <c r="R107" s="569"/>
      <c r="S107" s="980" t="str">
        <f>IF((F107*J107+M107+O107+(P107+Q107)/1000)/1000=0,"",(F107*J107+M107+O107+(P107*'Fatores de Emissão'!$E$248+Q107*'Fatores de Emissão'!$E$249)/1000)/1000)</f>
        <v/>
      </c>
      <c r="T107" s="213" t="str">
        <f t="shared" si="0"/>
        <v/>
      </c>
    </row>
    <row r="108" spans="2:20" ht="15.5" hidden="1" outlineLevel="2" x14ac:dyDescent="0.35">
      <c r="B108" s="269"/>
      <c r="C108" s="269"/>
      <c r="D108" s="250"/>
      <c r="E108" s="269"/>
      <c r="F108" s="947"/>
      <c r="G108" s="567" t="str">
        <f>IFERROR(VLOOKUP(D108,FAOEP!$D$16:$E$27,2,FALSE),"")</f>
        <v/>
      </c>
      <c r="H108" s="941"/>
      <c r="I108" s="942"/>
      <c r="J108" s="568"/>
      <c r="K108" s="948" t="str">
        <f>IFERROR(IF(VLOOKUP(D108,FAOEP!$D$16:$F$27,3,FALSE)=FAOEP!$F$26,"kgCO2e/"&amp;'Outras emissões de processo'!H108,VLOOKUP(D108,FAOEP!$D$16:$F$27,3,FALSE)),"")</f>
        <v/>
      </c>
      <c r="L108" s="252"/>
      <c r="M108" s="987"/>
      <c r="N108" s="569"/>
      <c r="O108" s="337"/>
      <c r="P108" s="337"/>
      <c r="Q108" s="337"/>
      <c r="R108" s="569"/>
      <c r="S108" s="980" t="str">
        <f>IF((F108*J108+M108+O108+(P108+Q108)/1000)/1000=0,"",(F108*J108+M108+O108+(P108*'Fatores de Emissão'!$E$248+Q108*'Fatores de Emissão'!$E$249)/1000)/1000)</f>
        <v/>
      </c>
      <c r="T108" s="213" t="str">
        <f t="shared" ref="T108:T141" si="1">IF(COUNT(J108,M108, IF(COUNT(O108:Q108)&gt;0,1,""))&gt;1,"ERRO: introduziu valores em mais que uma opção. Reveja e garanta que preenche apenas uma das 3 opções","")</f>
        <v/>
      </c>
    </row>
    <row r="109" spans="2:20" ht="15.5" hidden="1" outlineLevel="2" x14ac:dyDescent="0.35">
      <c r="B109" s="269"/>
      <c r="C109" s="269"/>
      <c r="D109" s="250"/>
      <c r="E109" s="269"/>
      <c r="F109" s="947"/>
      <c r="G109" s="567" t="str">
        <f>IFERROR(VLOOKUP(D109,FAOEP!$D$16:$E$27,2,FALSE),"")</f>
        <v/>
      </c>
      <c r="H109" s="941"/>
      <c r="I109" s="942"/>
      <c r="J109" s="568"/>
      <c r="K109" s="948" t="str">
        <f>IFERROR(IF(VLOOKUP(D109,FAOEP!$D$16:$F$27,3,FALSE)=FAOEP!$F$26,"kgCO2e/"&amp;'Outras emissões de processo'!H109,VLOOKUP(D109,FAOEP!$D$16:$F$27,3,FALSE)),"")</f>
        <v/>
      </c>
      <c r="L109" s="252"/>
      <c r="M109" s="987"/>
      <c r="N109" s="569"/>
      <c r="O109" s="337"/>
      <c r="P109" s="337"/>
      <c r="Q109" s="337"/>
      <c r="R109" s="569"/>
      <c r="S109" s="980" t="str">
        <f>IF((F109*J109+M109+O109+(P109+Q109)/1000)/1000=0,"",(F109*J109+M109+O109+(P109*'Fatores de Emissão'!$E$248+Q109*'Fatores de Emissão'!$E$249)/1000)/1000)</f>
        <v/>
      </c>
      <c r="T109" s="213" t="str">
        <f t="shared" si="1"/>
        <v/>
      </c>
    </row>
    <row r="110" spans="2:20" ht="15.5" hidden="1" outlineLevel="2" x14ac:dyDescent="0.35">
      <c r="B110" s="269"/>
      <c r="C110" s="269"/>
      <c r="D110" s="250"/>
      <c r="E110" s="269"/>
      <c r="F110" s="947"/>
      <c r="G110" s="567" t="str">
        <f>IFERROR(VLOOKUP(D110,FAOEP!$D$16:$E$27,2,FALSE),"")</f>
        <v/>
      </c>
      <c r="H110" s="941"/>
      <c r="I110" s="942"/>
      <c r="J110" s="568"/>
      <c r="K110" s="948" t="str">
        <f>IFERROR(IF(VLOOKUP(D110,FAOEP!$D$16:$F$27,3,FALSE)=FAOEP!$F$26,"kgCO2e/"&amp;'Outras emissões de processo'!H110,VLOOKUP(D110,FAOEP!$D$16:$F$27,3,FALSE)),"")</f>
        <v/>
      </c>
      <c r="L110" s="252"/>
      <c r="M110" s="987"/>
      <c r="N110" s="569"/>
      <c r="O110" s="337"/>
      <c r="P110" s="337"/>
      <c r="Q110" s="337"/>
      <c r="R110" s="569"/>
      <c r="S110" s="980" t="str">
        <f>IF((F110*J110+M110+O110+(P110+Q110)/1000)/1000=0,"",(F110*J110+M110+O110+(P110*'Fatores de Emissão'!$E$248+Q110*'Fatores de Emissão'!$E$249)/1000)/1000)</f>
        <v/>
      </c>
      <c r="T110" s="213" t="str">
        <f t="shared" si="1"/>
        <v/>
      </c>
    </row>
    <row r="111" spans="2:20" ht="15.5" hidden="1" outlineLevel="2" x14ac:dyDescent="0.35">
      <c r="B111" s="269"/>
      <c r="C111" s="269"/>
      <c r="D111" s="250"/>
      <c r="E111" s="269"/>
      <c r="F111" s="947"/>
      <c r="G111" s="567" t="str">
        <f>IFERROR(VLOOKUP(D111,FAOEP!$D$16:$E$27,2,FALSE),"")</f>
        <v/>
      </c>
      <c r="H111" s="941"/>
      <c r="I111" s="942"/>
      <c r="J111" s="568"/>
      <c r="K111" s="948" t="str">
        <f>IFERROR(IF(VLOOKUP(D111,FAOEP!$D$16:$F$27,3,FALSE)=FAOEP!$F$26,"kgCO2e/"&amp;'Outras emissões de processo'!H111,VLOOKUP(D111,FAOEP!$D$16:$F$27,3,FALSE)),"")</f>
        <v/>
      </c>
      <c r="L111" s="252"/>
      <c r="M111" s="987"/>
      <c r="N111" s="569"/>
      <c r="O111" s="337"/>
      <c r="P111" s="337"/>
      <c r="Q111" s="337"/>
      <c r="R111" s="569"/>
      <c r="S111" s="980" t="str">
        <f>IF((F111*J111+M111+O111+(P111+Q111)/1000)/1000=0,"",(F111*J111+M111+O111+(P111*'Fatores de Emissão'!$E$248+Q111*'Fatores de Emissão'!$E$249)/1000)/1000)</f>
        <v/>
      </c>
      <c r="T111" s="213" t="str">
        <f t="shared" si="1"/>
        <v/>
      </c>
    </row>
    <row r="112" spans="2:20" ht="15.5" hidden="1" outlineLevel="2" x14ac:dyDescent="0.35">
      <c r="B112" s="269"/>
      <c r="C112" s="269"/>
      <c r="D112" s="250"/>
      <c r="E112" s="269"/>
      <c r="F112" s="947"/>
      <c r="G112" s="567" t="str">
        <f>IFERROR(VLOOKUP(D112,FAOEP!$D$16:$E$27,2,FALSE),"")</f>
        <v/>
      </c>
      <c r="H112" s="941"/>
      <c r="I112" s="942"/>
      <c r="J112" s="568"/>
      <c r="K112" s="948" t="str">
        <f>IFERROR(IF(VLOOKUP(D112,FAOEP!$D$16:$F$27,3,FALSE)=FAOEP!$F$26,"kgCO2e/"&amp;'Outras emissões de processo'!H112,VLOOKUP(D112,FAOEP!$D$16:$F$27,3,FALSE)),"")</f>
        <v/>
      </c>
      <c r="L112" s="252"/>
      <c r="M112" s="987"/>
      <c r="N112" s="569"/>
      <c r="O112" s="337"/>
      <c r="P112" s="337"/>
      <c r="Q112" s="337"/>
      <c r="R112" s="569"/>
      <c r="S112" s="980" t="str">
        <f>IF((F112*J112+M112+O112+(P112+Q112)/1000)/1000=0,"",(F112*J112+M112+O112+(P112*'Fatores de Emissão'!$E$248+Q112*'Fatores de Emissão'!$E$249)/1000)/1000)</f>
        <v/>
      </c>
      <c r="T112" s="213" t="str">
        <f t="shared" si="1"/>
        <v/>
      </c>
    </row>
    <row r="113" spans="2:20" ht="15.5" hidden="1" outlineLevel="2" x14ac:dyDescent="0.35">
      <c r="B113" s="269"/>
      <c r="C113" s="269"/>
      <c r="D113" s="250"/>
      <c r="E113" s="269"/>
      <c r="F113" s="947"/>
      <c r="G113" s="567" t="str">
        <f>IFERROR(VLOOKUP(D113,FAOEP!$D$16:$E$27,2,FALSE),"")</f>
        <v/>
      </c>
      <c r="H113" s="941"/>
      <c r="I113" s="942"/>
      <c r="J113" s="568"/>
      <c r="K113" s="948" t="str">
        <f>IFERROR(IF(VLOOKUP(D113,FAOEP!$D$16:$F$27,3,FALSE)=FAOEP!$F$26,"kgCO2e/"&amp;'Outras emissões de processo'!H113,VLOOKUP(D113,FAOEP!$D$16:$F$27,3,FALSE)),"")</f>
        <v/>
      </c>
      <c r="L113" s="252"/>
      <c r="M113" s="987"/>
      <c r="N113" s="569"/>
      <c r="O113" s="337"/>
      <c r="P113" s="337"/>
      <c r="Q113" s="337"/>
      <c r="R113" s="569"/>
      <c r="S113" s="980" t="str">
        <f>IF((F113*J113+M113+O113+(P113+Q113)/1000)/1000=0,"",(F113*J113+M113+O113+(P113*'Fatores de Emissão'!$E$248+Q113*'Fatores de Emissão'!$E$249)/1000)/1000)</f>
        <v/>
      </c>
      <c r="T113" s="213" t="str">
        <f t="shared" si="1"/>
        <v/>
      </c>
    </row>
    <row r="114" spans="2:20" ht="15.5" hidden="1" outlineLevel="2" x14ac:dyDescent="0.35">
      <c r="B114" s="269"/>
      <c r="C114" s="269"/>
      <c r="D114" s="250"/>
      <c r="E114" s="269"/>
      <c r="F114" s="947"/>
      <c r="G114" s="567" t="str">
        <f>IFERROR(VLOOKUP(D114,FAOEP!$D$16:$E$27,2,FALSE),"")</f>
        <v/>
      </c>
      <c r="H114" s="941"/>
      <c r="I114" s="942"/>
      <c r="J114" s="568"/>
      <c r="K114" s="948" t="str">
        <f>IFERROR(IF(VLOOKUP(D114,FAOEP!$D$16:$F$27,3,FALSE)=FAOEP!$F$26,"kgCO2e/"&amp;'Outras emissões de processo'!H114,VLOOKUP(D114,FAOEP!$D$16:$F$27,3,FALSE)),"")</f>
        <v/>
      </c>
      <c r="L114" s="252"/>
      <c r="M114" s="987"/>
      <c r="N114" s="569"/>
      <c r="O114" s="337"/>
      <c r="P114" s="337"/>
      <c r="Q114" s="337"/>
      <c r="R114" s="569"/>
      <c r="S114" s="980" t="str">
        <f>IF((F114*J114+M114+O114+(P114+Q114)/1000)/1000=0,"",(F114*J114+M114+O114+(P114*'Fatores de Emissão'!$E$248+Q114*'Fatores de Emissão'!$E$249)/1000)/1000)</f>
        <v/>
      </c>
      <c r="T114" s="213" t="str">
        <f t="shared" si="1"/>
        <v/>
      </c>
    </row>
    <row r="115" spans="2:20" ht="15.5" hidden="1" outlineLevel="2" x14ac:dyDescent="0.35">
      <c r="B115" s="269"/>
      <c r="C115" s="269"/>
      <c r="D115" s="250"/>
      <c r="E115" s="269"/>
      <c r="F115" s="947"/>
      <c r="G115" s="567" t="str">
        <f>IFERROR(VLOOKUP(D115,FAOEP!$D$16:$E$27,2,FALSE),"")</f>
        <v/>
      </c>
      <c r="H115" s="941"/>
      <c r="I115" s="942"/>
      <c r="J115" s="568"/>
      <c r="K115" s="948" t="str">
        <f>IFERROR(IF(VLOOKUP(D115,FAOEP!$D$16:$F$27,3,FALSE)=FAOEP!$F$26,"kgCO2e/"&amp;'Outras emissões de processo'!H115,VLOOKUP(D115,FAOEP!$D$16:$F$27,3,FALSE)),"")</f>
        <v/>
      </c>
      <c r="L115" s="252"/>
      <c r="M115" s="987"/>
      <c r="N115" s="569"/>
      <c r="O115" s="337"/>
      <c r="P115" s="337"/>
      <c r="Q115" s="337"/>
      <c r="R115" s="569"/>
      <c r="S115" s="980" t="str">
        <f>IF((F115*J115+M115+O115+(P115+Q115)/1000)/1000=0,"",(F115*J115+M115+O115+(P115*'Fatores de Emissão'!$E$248+Q115*'Fatores de Emissão'!$E$249)/1000)/1000)</f>
        <v/>
      </c>
      <c r="T115" s="213" t="str">
        <f t="shared" si="1"/>
        <v/>
      </c>
    </row>
    <row r="116" spans="2:20" ht="15.5" hidden="1" outlineLevel="2" x14ac:dyDescent="0.35">
      <c r="B116" s="269"/>
      <c r="C116" s="269"/>
      <c r="D116" s="250"/>
      <c r="E116" s="269"/>
      <c r="F116" s="947"/>
      <c r="G116" s="567" t="str">
        <f>IFERROR(VLOOKUP(D116,FAOEP!$D$16:$E$27,2,FALSE),"")</f>
        <v/>
      </c>
      <c r="H116" s="941"/>
      <c r="I116" s="942"/>
      <c r="J116" s="568"/>
      <c r="K116" s="948" t="str">
        <f>IFERROR(IF(VLOOKUP(D116,FAOEP!$D$16:$F$27,3,FALSE)=FAOEP!$F$26,"kgCO2e/"&amp;'Outras emissões de processo'!H116,VLOOKUP(D116,FAOEP!$D$16:$F$27,3,FALSE)),"")</f>
        <v/>
      </c>
      <c r="L116" s="252"/>
      <c r="M116" s="987"/>
      <c r="N116" s="569"/>
      <c r="O116" s="337"/>
      <c r="P116" s="337"/>
      <c r="Q116" s="337"/>
      <c r="R116" s="569"/>
      <c r="S116" s="980" t="str">
        <f>IF((F116*J116+M116+O116+(P116+Q116)/1000)/1000=0,"",(F116*J116+M116+O116+(P116*'Fatores de Emissão'!$E$248+Q116*'Fatores de Emissão'!$E$249)/1000)/1000)</f>
        <v/>
      </c>
      <c r="T116" s="213" t="str">
        <f t="shared" si="1"/>
        <v/>
      </c>
    </row>
    <row r="117" spans="2:20" ht="15.5" hidden="1" outlineLevel="2" x14ac:dyDescent="0.35">
      <c r="B117" s="269"/>
      <c r="C117" s="269"/>
      <c r="D117" s="250"/>
      <c r="E117" s="269"/>
      <c r="F117" s="947"/>
      <c r="G117" s="567" t="str">
        <f>IFERROR(VLOOKUP(D117,FAOEP!$D$16:$E$27,2,FALSE),"")</f>
        <v/>
      </c>
      <c r="H117" s="941"/>
      <c r="I117" s="942"/>
      <c r="J117" s="568"/>
      <c r="K117" s="948" t="str">
        <f>IFERROR(IF(VLOOKUP(D117,FAOEP!$D$16:$F$27,3,FALSE)=FAOEP!$F$26,"kgCO2e/"&amp;'Outras emissões de processo'!H117,VLOOKUP(D117,FAOEP!$D$16:$F$27,3,FALSE)),"")</f>
        <v/>
      </c>
      <c r="L117" s="252"/>
      <c r="M117" s="987"/>
      <c r="N117" s="569"/>
      <c r="O117" s="337"/>
      <c r="P117" s="337"/>
      <c r="Q117" s="337"/>
      <c r="R117" s="569"/>
      <c r="S117" s="980" t="str">
        <f>IF((F117*J117+M117+O117+(P117+Q117)/1000)/1000=0,"",(F117*J117+M117+O117+(P117*'Fatores de Emissão'!$E$248+Q117*'Fatores de Emissão'!$E$249)/1000)/1000)</f>
        <v/>
      </c>
      <c r="T117" s="213" t="str">
        <f t="shared" si="1"/>
        <v/>
      </c>
    </row>
    <row r="118" spans="2:20" ht="15.5" hidden="1" outlineLevel="2" x14ac:dyDescent="0.35">
      <c r="B118" s="269"/>
      <c r="C118" s="269"/>
      <c r="D118" s="250"/>
      <c r="E118" s="269"/>
      <c r="F118" s="947"/>
      <c r="G118" s="567" t="str">
        <f>IFERROR(VLOOKUP(D118,FAOEP!$D$16:$E$27,2,FALSE),"")</f>
        <v/>
      </c>
      <c r="H118" s="941"/>
      <c r="I118" s="942"/>
      <c r="J118" s="568"/>
      <c r="K118" s="948" t="str">
        <f>IFERROR(IF(VLOOKUP(D118,FAOEP!$D$16:$F$27,3,FALSE)=FAOEP!$F$26,"kgCO2e/"&amp;'Outras emissões de processo'!H118,VLOOKUP(D118,FAOEP!$D$16:$F$27,3,FALSE)),"")</f>
        <v/>
      </c>
      <c r="L118" s="252"/>
      <c r="M118" s="987"/>
      <c r="N118" s="569"/>
      <c r="O118" s="337"/>
      <c r="P118" s="337"/>
      <c r="Q118" s="337"/>
      <c r="R118" s="569"/>
      <c r="S118" s="980" t="str">
        <f>IF((F118*J118+M118+O118+(P118+Q118)/1000)/1000=0,"",(F118*J118+M118+O118+(P118*'Fatores de Emissão'!$E$248+Q118*'Fatores de Emissão'!$E$249)/1000)/1000)</f>
        <v/>
      </c>
      <c r="T118" s="213" t="str">
        <f t="shared" si="1"/>
        <v/>
      </c>
    </row>
    <row r="119" spans="2:20" ht="15.5" hidden="1" outlineLevel="2" x14ac:dyDescent="0.35">
      <c r="B119" s="269"/>
      <c r="C119" s="269"/>
      <c r="D119" s="250"/>
      <c r="E119" s="269"/>
      <c r="F119" s="947"/>
      <c r="G119" s="567" t="str">
        <f>IFERROR(VLOOKUP(D119,FAOEP!$D$16:$E$27,2,FALSE),"")</f>
        <v/>
      </c>
      <c r="H119" s="941"/>
      <c r="I119" s="942"/>
      <c r="J119" s="568"/>
      <c r="K119" s="948" t="str">
        <f>IFERROR(IF(VLOOKUP(D119,FAOEP!$D$16:$F$27,3,FALSE)=FAOEP!$F$26,"kgCO2e/"&amp;'Outras emissões de processo'!H119,VLOOKUP(D119,FAOEP!$D$16:$F$27,3,FALSE)),"")</f>
        <v/>
      </c>
      <c r="L119" s="252"/>
      <c r="M119" s="987"/>
      <c r="N119" s="569"/>
      <c r="O119" s="337"/>
      <c r="P119" s="337"/>
      <c r="Q119" s="337"/>
      <c r="R119" s="569"/>
      <c r="S119" s="980" t="str">
        <f>IF((F119*J119+M119+O119+(P119+Q119)/1000)/1000=0,"",(F119*J119+M119+O119+(P119*'Fatores de Emissão'!$E$248+Q119*'Fatores de Emissão'!$E$249)/1000)/1000)</f>
        <v/>
      </c>
      <c r="T119" s="213" t="str">
        <f t="shared" si="1"/>
        <v/>
      </c>
    </row>
    <row r="120" spans="2:20" ht="15.5" hidden="1" outlineLevel="2" x14ac:dyDescent="0.35">
      <c r="B120" s="269"/>
      <c r="C120" s="269"/>
      <c r="D120" s="250"/>
      <c r="E120" s="269"/>
      <c r="F120" s="947"/>
      <c r="G120" s="567" t="str">
        <f>IFERROR(VLOOKUP(D120,FAOEP!$D$16:$E$27,2,FALSE),"")</f>
        <v/>
      </c>
      <c r="H120" s="941"/>
      <c r="I120" s="942"/>
      <c r="J120" s="568"/>
      <c r="K120" s="948" t="str">
        <f>IFERROR(IF(VLOOKUP(D120,FAOEP!$D$16:$F$27,3,FALSE)=FAOEP!$F$26,"kgCO2e/"&amp;'Outras emissões de processo'!H120,VLOOKUP(D120,FAOEP!$D$16:$F$27,3,FALSE)),"")</f>
        <v/>
      </c>
      <c r="L120" s="252"/>
      <c r="M120" s="987"/>
      <c r="N120" s="569"/>
      <c r="O120" s="337"/>
      <c r="P120" s="337"/>
      <c r="Q120" s="337"/>
      <c r="R120" s="569"/>
      <c r="S120" s="980" t="str">
        <f>IF((F120*J120+M120+O120+(P120+Q120)/1000)/1000=0,"",(F120*J120+M120+O120+(P120*'Fatores de Emissão'!$E$248+Q120*'Fatores de Emissão'!$E$249)/1000)/1000)</f>
        <v/>
      </c>
      <c r="T120" s="213" t="str">
        <f t="shared" si="1"/>
        <v/>
      </c>
    </row>
    <row r="121" spans="2:20" ht="15.5" hidden="1" outlineLevel="2" x14ac:dyDescent="0.35">
      <c r="B121" s="269"/>
      <c r="C121" s="269"/>
      <c r="D121" s="250"/>
      <c r="E121" s="269"/>
      <c r="F121" s="947"/>
      <c r="G121" s="567" t="str">
        <f>IFERROR(VLOOKUP(D121,FAOEP!$D$16:$E$27,2,FALSE),"")</f>
        <v/>
      </c>
      <c r="H121" s="941"/>
      <c r="I121" s="942"/>
      <c r="J121" s="568"/>
      <c r="K121" s="948" t="str">
        <f>IFERROR(IF(VLOOKUP(D121,FAOEP!$D$16:$F$27,3,FALSE)=FAOEP!$F$26,"kgCO2e/"&amp;'Outras emissões de processo'!H121,VLOOKUP(D121,FAOEP!$D$16:$F$27,3,FALSE)),"")</f>
        <v/>
      </c>
      <c r="L121" s="252"/>
      <c r="M121" s="987"/>
      <c r="N121" s="569"/>
      <c r="O121" s="337"/>
      <c r="P121" s="337"/>
      <c r="Q121" s="337"/>
      <c r="R121" s="569"/>
      <c r="S121" s="980" t="str">
        <f>IF((F121*J121+M121+O121+(P121+Q121)/1000)/1000=0,"",(F121*J121+M121+O121+(P121*'Fatores de Emissão'!$E$248+Q121*'Fatores de Emissão'!$E$249)/1000)/1000)</f>
        <v/>
      </c>
      <c r="T121" s="213" t="str">
        <f t="shared" si="1"/>
        <v/>
      </c>
    </row>
    <row r="122" spans="2:20" ht="15.5" hidden="1" outlineLevel="2" x14ac:dyDescent="0.35">
      <c r="B122" s="269"/>
      <c r="C122" s="269"/>
      <c r="D122" s="250"/>
      <c r="E122" s="269"/>
      <c r="F122" s="947"/>
      <c r="G122" s="567" t="str">
        <f>IFERROR(VLOOKUP(D122,FAOEP!$D$16:$E$27,2,FALSE),"")</f>
        <v/>
      </c>
      <c r="H122" s="941"/>
      <c r="I122" s="942"/>
      <c r="J122" s="568"/>
      <c r="K122" s="948" t="str">
        <f>IFERROR(IF(VLOOKUP(D122,FAOEP!$D$16:$F$27,3,FALSE)=FAOEP!$F$26,"kgCO2e/"&amp;'Outras emissões de processo'!H122,VLOOKUP(D122,FAOEP!$D$16:$F$27,3,FALSE)),"")</f>
        <v/>
      </c>
      <c r="L122" s="252"/>
      <c r="M122" s="987"/>
      <c r="N122" s="569"/>
      <c r="O122" s="337"/>
      <c r="P122" s="337"/>
      <c r="Q122" s="337"/>
      <c r="R122" s="569"/>
      <c r="S122" s="980" t="str">
        <f>IF((F122*J122+M122+O122+(P122+Q122)/1000)/1000=0,"",(F122*J122+M122+O122+(P122*'Fatores de Emissão'!$E$248+Q122*'Fatores de Emissão'!$E$249)/1000)/1000)</f>
        <v/>
      </c>
      <c r="T122" s="213" t="str">
        <f t="shared" si="1"/>
        <v/>
      </c>
    </row>
    <row r="123" spans="2:20" ht="15.5" hidden="1" outlineLevel="2" x14ac:dyDescent="0.35">
      <c r="B123" s="269"/>
      <c r="C123" s="269"/>
      <c r="D123" s="250"/>
      <c r="E123" s="269"/>
      <c r="F123" s="947"/>
      <c r="G123" s="567" t="str">
        <f>IFERROR(VLOOKUP(D123,FAOEP!$D$16:$E$27,2,FALSE),"")</f>
        <v/>
      </c>
      <c r="H123" s="941"/>
      <c r="I123" s="942"/>
      <c r="J123" s="568"/>
      <c r="K123" s="948" t="str">
        <f>IFERROR(IF(VLOOKUP(D123,FAOEP!$D$16:$F$27,3,FALSE)=FAOEP!$F$26,"kgCO2e/"&amp;'Outras emissões de processo'!H123,VLOOKUP(D123,FAOEP!$D$16:$F$27,3,FALSE)),"")</f>
        <v/>
      </c>
      <c r="L123" s="252"/>
      <c r="M123" s="987"/>
      <c r="N123" s="569"/>
      <c r="O123" s="337"/>
      <c r="P123" s="337"/>
      <c r="Q123" s="337"/>
      <c r="R123" s="569"/>
      <c r="S123" s="980" t="str">
        <f>IF((F123*J123+M123+O123+(P123+Q123)/1000)/1000=0,"",(F123*J123+M123+O123+(P123*'Fatores de Emissão'!$E$248+Q123*'Fatores de Emissão'!$E$249)/1000)/1000)</f>
        <v/>
      </c>
      <c r="T123" s="213" t="str">
        <f t="shared" si="1"/>
        <v/>
      </c>
    </row>
    <row r="124" spans="2:20" ht="15.5" hidden="1" outlineLevel="2" x14ac:dyDescent="0.35">
      <c r="B124" s="269"/>
      <c r="C124" s="269"/>
      <c r="D124" s="250"/>
      <c r="E124" s="269"/>
      <c r="F124" s="947"/>
      <c r="G124" s="567" t="str">
        <f>IFERROR(VLOOKUP(D124,FAOEP!$D$16:$E$27,2,FALSE),"")</f>
        <v/>
      </c>
      <c r="H124" s="941"/>
      <c r="I124" s="942"/>
      <c r="J124" s="568"/>
      <c r="K124" s="948" t="str">
        <f>IFERROR(IF(VLOOKUP(D124,FAOEP!$D$16:$F$27,3,FALSE)=FAOEP!$F$26,"kgCO2e/"&amp;'Outras emissões de processo'!H124,VLOOKUP(D124,FAOEP!$D$16:$F$27,3,FALSE)),"")</f>
        <v/>
      </c>
      <c r="L124" s="252"/>
      <c r="M124" s="987"/>
      <c r="N124" s="569"/>
      <c r="O124" s="337"/>
      <c r="P124" s="337"/>
      <c r="Q124" s="337"/>
      <c r="R124" s="569"/>
      <c r="S124" s="980" t="str">
        <f>IF((F124*J124+M124+O124+(P124+Q124)/1000)/1000=0,"",(F124*J124+M124+O124+(P124*'Fatores de Emissão'!$E$248+Q124*'Fatores de Emissão'!$E$249)/1000)/1000)</f>
        <v/>
      </c>
      <c r="T124" s="213" t="str">
        <f t="shared" si="1"/>
        <v/>
      </c>
    </row>
    <row r="125" spans="2:20" ht="15.5" hidden="1" outlineLevel="2" x14ac:dyDescent="0.35">
      <c r="B125" s="269"/>
      <c r="C125" s="269"/>
      <c r="D125" s="250"/>
      <c r="E125" s="269"/>
      <c r="F125" s="947"/>
      <c r="G125" s="567" t="str">
        <f>IFERROR(VLOOKUP(D125,FAOEP!$D$16:$E$27,2,FALSE),"")</f>
        <v/>
      </c>
      <c r="H125" s="941"/>
      <c r="I125" s="942"/>
      <c r="J125" s="568"/>
      <c r="K125" s="948" t="str">
        <f>IFERROR(IF(VLOOKUP(D125,FAOEP!$D$16:$F$27,3,FALSE)=FAOEP!$F$26,"kgCO2e/"&amp;'Outras emissões de processo'!H125,VLOOKUP(D125,FAOEP!$D$16:$F$27,3,FALSE)),"")</f>
        <v/>
      </c>
      <c r="L125" s="252"/>
      <c r="M125" s="987"/>
      <c r="N125" s="569"/>
      <c r="O125" s="337"/>
      <c r="P125" s="337"/>
      <c r="Q125" s="337"/>
      <c r="R125" s="569"/>
      <c r="S125" s="980" t="str">
        <f>IF((F125*J125+M125+O125+(P125+Q125)/1000)/1000=0,"",(F125*J125+M125+O125+(P125*'Fatores de Emissão'!$E$248+Q125*'Fatores de Emissão'!$E$249)/1000)/1000)</f>
        <v/>
      </c>
      <c r="T125" s="213" t="str">
        <f t="shared" si="1"/>
        <v/>
      </c>
    </row>
    <row r="126" spans="2:20" ht="15.5" hidden="1" outlineLevel="2" x14ac:dyDescent="0.35">
      <c r="B126" s="269"/>
      <c r="C126" s="269"/>
      <c r="D126" s="250"/>
      <c r="E126" s="269"/>
      <c r="F126" s="947"/>
      <c r="G126" s="567" t="str">
        <f>IFERROR(VLOOKUP(D126,FAOEP!$D$16:$E$27,2,FALSE),"")</f>
        <v/>
      </c>
      <c r="H126" s="941"/>
      <c r="I126" s="942"/>
      <c r="J126" s="568"/>
      <c r="K126" s="948" t="str">
        <f>IFERROR(IF(VLOOKUP(D126,FAOEP!$D$16:$F$27,3,FALSE)=FAOEP!$F$26,"kgCO2e/"&amp;'Outras emissões de processo'!H126,VLOOKUP(D126,FAOEP!$D$16:$F$27,3,FALSE)),"")</f>
        <v/>
      </c>
      <c r="L126" s="252"/>
      <c r="M126" s="987"/>
      <c r="N126" s="569"/>
      <c r="O126" s="337"/>
      <c r="P126" s="337"/>
      <c r="Q126" s="337"/>
      <c r="R126" s="569"/>
      <c r="S126" s="980" t="str">
        <f>IF((F126*J126+M126+O126+(P126+Q126)/1000)/1000=0,"",(F126*J126+M126+O126+(P126*'Fatores de Emissão'!$E$248+Q126*'Fatores de Emissão'!$E$249)/1000)/1000)</f>
        <v/>
      </c>
      <c r="T126" s="213" t="str">
        <f t="shared" si="1"/>
        <v/>
      </c>
    </row>
    <row r="127" spans="2:20" ht="15.5" hidden="1" outlineLevel="2" x14ac:dyDescent="0.35">
      <c r="B127" s="269"/>
      <c r="C127" s="269"/>
      <c r="D127" s="250"/>
      <c r="E127" s="269"/>
      <c r="F127" s="947"/>
      <c r="G127" s="567" t="str">
        <f>IFERROR(VLOOKUP(D127,FAOEP!$D$16:$E$27,2,FALSE),"")</f>
        <v/>
      </c>
      <c r="H127" s="941"/>
      <c r="I127" s="942"/>
      <c r="J127" s="568"/>
      <c r="K127" s="948" t="str">
        <f>IFERROR(IF(VLOOKUP(D127,FAOEP!$D$16:$F$27,3,FALSE)=FAOEP!$F$26,"kgCO2e/"&amp;'Outras emissões de processo'!H127,VLOOKUP(D127,FAOEP!$D$16:$F$27,3,FALSE)),"")</f>
        <v/>
      </c>
      <c r="L127" s="252"/>
      <c r="M127" s="987"/>
      <c r="N127" s="569"/>
      <c r="O127" s="337"/>
      <c r="P127" s="337"/>
      <c r="Q127" s="337"/>
      <c r="R127" s="569"/>
      <c r="S127" s="980" t="str">
        <f>IF((F127*J127+M127+O127+(P127+Q127)/1000)/1000=0,"",(F127*J127+M127+O127+(P127*'Fatores de Emissão'!$E$248+Q127*'Fatores de Emissão'!$E$249)/1000)/1000)</f>
        <v/>
      </c>
      <c r="T127" s="213" t="str">
        <f t="shared" si="1"/>
        <v/>
      </c>
    </row>
    <row r="128" spans="2:20" ht="15.5" hidden="1" outlineLevel="2" x14ac:dyDescent="0.35">
      <c r="B128" s="269"/>
      <c r="C128" s="269"/>
      <c r="D128" s="250"/>
      <c r="E128" s="269"/>
      <c r="F128" s="947"/>
      <c r="G128" s="567" t="str">
        <f>IFERROR(VLOOKUP(D128,FAOEP!$D$16:$E$27,2,FALSE),"")</f>
        <v/>
      </c>
      <c r="H128" s="941"/>
      <c r="I128" s="942"/>
      <c r="J128" s="568"/>
      <c r="K128" s="948" t="str">
        <f>IFERROR(IF(VLOOKUP(D128,FAOEP!$D$16:$F$27,3,FALSE)=FAOEP!$F$26,"kgCO2e/"&amp;'Outras emissões de processo'!H128,VLOOKUP(D128,FAOEP!$D$16:$F$27,3,FALSE)),"")</f>
        <v/>
      </c>
      <c r="L128" s="252"/>
      <c r="M128" s="987"/>
      <c r="N128" s="569"/>
      <c r="O128" s="337"/>
      <c r="P128" s="337"/>
      <c r="Q128" s="337"/>
      <c r="R128" s="569"/>
      <c r="S128" s="980" t="str">
        <f>IF((F128*J128+M128+O128+(P128+Q128)/1000)/1000=0,"",(F128*J128+M128+O128+(P128*'Fatores de Emissão'!$E$248+Q128*'Fatores de Emissão'!$E$249)/1000)/1000)</f>
        <v/>
      </c>
      <c r="T128" s="213" t="str">
        <f t="shared" si="1"/>
        <v/>
      </c>
    </row>
    <row r="129" spans="2:20" ht="15.5" hidden="1" outlineLevel="2" x14ac:dyDescent="0.35">
      <c r="B129" s="269"/>
      <c r="C129" s="269"/>
      <c r="D129" s="250"/>
      <c r="E129" s="269"/>
      <c r="F129" s="947"/>
      <c r="G129" s="567" t="str">
        <f>IFERROR(VLOOKUP(D129,FAOEP!$D$16:$E$27,2,FALSE),"")</f>
        <v/>
      </c>
      <c r="H129" s="941"/>
      <c r="I129" s="942"/>
      <c r="J129" s="568"/>
      <c r="K129" s="948" t="str">
        <f>IFERROR(IF(VLOOKUP(D129,FAOEP!$D$16:$F$27,3,FALSE)=FAOEP!$F$26,"kgCO2e/"&amp;'Outras emissões de processo'!H129,VLOOKUP(D129,FAOEP!$D$16:$F$27,3,FALSE)),"")</f>
        <v/>
      </c>
      <c r="L129" s="252"/>
      <c r="M129" s="987"/>
      <c r="N129" s="569"/>
      <c r="O129" s="337"/>
      <c r="P129" s="337"/>
      <c r="Q129" s="337"/>
      <c r="R129" s="569"/>
      <c r="S129" s="980" t="str">
        <f>IF((F129*J129+M129+O129+(P129+Q129)/1000)/1000=0,"",(F129*J129+M129+O129+(P129*'Fatores de Emissão'!$E$248+Q129*'Fatores de Emissão'!$E$249)/1000)/1000)</f>
        <v/>
      </c>
      <c r="T129" s="213" t="str">
        <f t="shared" si="1"/>
        <v/>
      </c>
    </row>
    <row r="130" spans="2:20" ht="15.5" hidden="1" outlineLevel="2" x14ac:dyDescent="0.35">
      <c r="B130" s="269"/>
      <c r="C130" s="269"/>
      <c r="D130" s="250"/>
      <c r="E130" s="269"/>
      <c r="F130" s="947"/>
      <c r="G130" s="567" t="str">
        <f>IFERROR(VLOOKUP(D130,FAOEP!$D$16:$E$27,2,FALSE),"")</f>
        <v/>
      </c>
      <c r="H130" s="941"/>
      <c r="I130" s="942"/>
      <c r="J130" s="568"/>
      <c r="K130" s="948" t="str">
        <f>IFERROR(IF(VLOOKUP(D130,FAOEP!$D$16:$F$27,3,FALSE)=FAOEP!$F$26,"kgCO2e/"&amp;'Outras emissões de processo'!H130,VLOOKUP(D130,FAOEP!$D$16:$F$27,3,FALSE)),"")</f>
        <v/>
      </c>
      <c r="L130" s="252"/>
      <c r="M130" s="987"/>
      <c r="N130" s="569"/>
      <c r="O130" s="337"/>
      <c r="P130" s="337"/>
      <c r="Q130" s="337"/>
      <c r="R130" s="569"/>
      <c r="S130" s="980" t="str">
        <f>IF((F130*J130+M130+O130+(P130+Q130)/1000)/1000=0,"",(F130*J130+M130+O130+(P130*'Fatores de Emissão'!$E$248+Q130*'Fatores de Emissão'!$E$249)/1000)/1000)</f>
        <v/>
      </c>
      <c r="T130" s="213" t="str">
        <f t="shared" si="1"/>
        <v/>
      </c>
    </row>
    <row r="131" spans="2:20" ht="15.5" hidden="1" outlineLevel="2" x14ac:dyDescent="0.35">
      <c r="B131" s="269"/>
      <c r="C131" s="269"/>
      <c r="D131" s="250"/>
      <c r="E131" s="269"/>
      <c r="F131" s="947"/>
      <c r="G131" s="567" t="str">
        <f>IFERROR(VLOOKUP(D131,FAOEP!$D$16:$E$27,2,FALSE),"")</f>
        <v/>
      </c>
      <c r="H131" s="941"/>
      <c r="I131" s="942"/>
      <c r="J131" s="568"/>
      <c r="K131" s="948" t="str">
        <f>IFERROR(IF(VLOOKUP(D131,FAOEP!$D$16:$F$27,3,FALSE)=FAOEP!$F$26,"kgCO2e/"&amp;'Outras emissões de processo'!H131,VLOOKUP(D131,FAOEP!$D$16:$F$27,3,FALSE)),"")</f>
        <v/>
      </c>
      <c r="L131" s="252"/>
      <c r="M131" s="987"/>
      <c r="N131" s="569"/>
      <c r="O131" s="337"/>
      <c r="P131" s="337"/>
      <c r="Q131" s="337"/>
      <c r="R131" s="569"/>
      <c r="S131" s="980" t="str">
        <f>IF((F131*J131+M131+O131+(P131+Q131)/1000)/1000=0,"",(F131*J131+M131+O131+(P131*'Fatores de Emissão'!$E$248+Q131*'Fatores de Emissão'!$E$249)/1000)/1000)</f>
        <v/>
      </c>
      <c r="T131" s="213" t="str">
        <f t="shared" si="1"/>
        <v/>
      </c>
    </row>
    <row r="132" spans="2:20" ht="15.5" hidden="1" outlineLevel="2" x14ac:dyDescent="0.35">
      <c r="B132" s="269"/>
      <c r="C132" s="269"/>
      <c r="D132" s="250"/>
      <c r="E132" s="269"/>
      <c r="F132" s="947"/>
      <c r="G132" s="567" t="str">
        <f>IFERROR(VLOOKUP(D132,FAOEP!$D$16:$E$27,2,FALSE),"")</f>
        <v/>
      </c>
      <c r="H132" s="941"/>
      <c r="I132" s="942"/>
      <c r="J132" s="568"/>
      <c r="K132" s="948" t="str">
        <f>IFERROR(IF(VLOOKUP(D132,FAOEP!$D$16:$F$27,3,FALSE)=FAOEP!$F$26,"kgCO2e/"&amp;'Outras emissões de processo'!H132,VLOOKUP(D132,FAOEP!$D$16:$F$27,3,FALSE)),"")</f>
        <v/>
      </c>
      <c r="L132" s="252"/>
      <c r="M132" s="987"/>
      <c r="N132" s="569"/>
      <c r="O132" s="337"/>
      <c r="P132" s="337"/>
      <c r="Q132" s="337"/>
      <c r="R132" s="569"/>
      <c r="S132" s="980" t="str">
        <f>IF((F132*J132+M132+O132+(P132+Q132)/1000)/1000=0,"",(F132*J132+M132+O132+(P132*'Fatores de Emissão'!$E$248+Q132*'Fatores de Emissão'!$E$249)/1000)/1000)</f>
        <v/>
      </c>
      <c r="T132" s="213" t="str">
        <f t="shared" si="1"/>
        <v/>
      </c>
    </row>
    <row r="133" spans="2:20" ht="15.5" hidden="1" outlineLevel="2" x14ac:dyDescent="0.35">
      <c r="B133" s="269"/>
      <c r="C133" s="269"/>
      <c r="D133" s="250"/>
      <c r="E133" s="269"/>
      <c r="F133" s="947"/>
      <c r="G133" s="567" t="str">
        <f>IFERROR(VLOOKUP(D133,FAOEP!$D$16:$E$27,2,FALSE),"")</f>
        <v/>
      </c>
      <c r="H133" s="941"/>
      <c r="I133" s="942"/>
      <c r="J133" s="568"/>
      <c r="K133" s="948" t="str">
        <f>IFERROR(IF(VLOOKUP(D133,FAOEP!$D$16:$F$27,3,FALSE)=FAOEP!$F$26,"kgCO2e/"&amp;'Outras emissões de processo'!H133,VLOOKUP(D133,FAOEP!$D$16:$F$27,3,FALSE)),"")</f>
        <v/>
      </c>
      <c r="L133" s="252"/>
      <c r="M133" s="987"/>
      <c r="N133" s="569"/>
      <c r="O133" s="337"/>
      <c r="P133" s="337"/>
      <c r="Q133" s="337"/>
      <c r="R133" s="569"/>
      <c r="S133" s="980" t="str">
        <f>IF((F133*J133+M133+O133+(P133+Q133)/1000)/1000=0,"",(F133*J133+M133+O133+(P133*'Fatores de Emissão'!$E$248+Q133*'Fatores de Emissão'!$E$249)/1000)/1000)</f>
        <v/>
      </c>
      <c r="T133" s="213" t="str">
        <f t="shared" si="1"/>
        <v/>
      </c>
    </row>
    <row r="134" spans="2:20" ht="15.5" hidden="1" outlineLevel="2" x14ac:dyDescent="0.35">
      <c r="B134" s="269"/>
      <c r="C134" s="269"/>
      <c r="D134" s="250"/>
      <c r="E134" s="269"/>
      <c r="F134" s="947"/>
      <c r="G134" s="567" t="str">
        <f>IFERROR(VLOOKUP(D134,FAOEP!$D$16:$E$27,2,FALSE),"")</f>
        <v/>
      </c>
      <c r="H134" s="941"/>
      <c r="I134" s="942"/>
      <c r="J134" s="568"/>
      <c r="K134" s="948" t="str">
        <f>IFERROR(IF(VLOOKUP(D134,FAOEP!$D$16:$F$27,3,FALSE)=FAOEP!$F$26,"kgCO2e/"&amp;'Outras emissões de processo'!H134,VLOOKUP(D134,FAOEP!$D$16:$F$27,3,FALSE)),"")</f>
        <v/>
      </c>
      <c r="L134" s="252"/>
      <c r="M134" s="987"/>
      <c r="N134" s="569"/>
      <c r="O134" s="337"/>
      <c r="P134" s="337"/>
      <c r="Q134" s="337"/>
      <c r="R134" s="569"/>
      <c r="S134" s="980" t="str">
        <f>IF((F134*J134+M134+O134+(P134+Q134)/1000)/1000=0,"",(F134*J134+M134+O134+(P134*'Fatores de Emissão'!$E$248+Q134*'Fatores de Emissão'!$E$249)/1000)/1000)</f>
        <v/>
      </c>
      <c r="T134" s="213" t="str">
        <f t="shared" si="1"/>
        <v/>
      </c>
    </row>
    <row r="135" spans="2:20" ht="15.5" hidden="1" outlineLevel="2" x14ac:dyDescent="0.35">
      <c r="B135" s="269"/>
      <c r="C135" s="269"/>
      <c r="D135" s="250"/>
      <c r="E135" s="269"/>
      <c r="F135" s="947"/>
      <c r="G135" s="567" t="str">
        <f>IFERROR(VLOOKUP(D135,FAOEP!$D$16:$E$27,2,FALSE),"")</f>
        <v/>
      </c>
      <c r="H135" s="941"/>
      <c r="I135" s="942"/>
      <c r="J135" s="568"/>
      <c r="K135" s="948" t="str">
        <f>IFERROR(IF(VLOOKUP(D135,FAOEP!$D$16:$F$27,3,FALSE)=FAOEP!$F$26,"kgCO2e/"&amp;'Outras emissões de processo'!H135,VLOOKUP(D135,FAOEP!$D$16:$F$27,3,FALSE)),"")</f>
        <v/>
      </c>
      <c r="L135" s="252"/>
      <c r="M135" s="987"/>
      <c r="N135" s="569"/>
      <c r="O135" s="337"/>
      <c r="P135" s="337"/>
      <c r="Q135" s="337"/>
      <c r="R135" s="569"/>
      <c r="S135" s="980" t="str">
        <f>IF((F135*J135+M135+O135+(P135+Q135)/1000)/1000=0,"",(F135*J135+M135+O135+(P135*'Fatores de Emissão'!$E$248+Q135*'Fatores de Emissão'!$E$249)/1000)/1000)</f>
        <v/>
      </c>
      <c r="T135" s="213" t="str">
        <f t="shared" si="1"/>
        <v/>
      </c>
    </row>
    <row r="136" spans="2:20" ht="15.5" hidden="1" outlineLevel="2" x14ac:dyDescent="0.35">
      <c r="B136" s="269"/>
      <c r="C136" s="269"/>
      <c r="D136" s="250"/>
      <c r="E136" s="269"/>
      <c r="F136" s="947"/>
      <c r="G136" s="567" t="str">
        <f>IFERROR(VLOOKUP(D136,FAOEP!$D$16:$E$27,2,FALSE),"")</f>
        <v/>
      </c>
      <c r="H136" s="941"/>
      <c r="I136" s="942"/>
      <c r="J136" s="568"/>
      <c r="K136" s="948" t="str">
        <f>IFERROR(IF(VLOOKUP(D136,FAOEP!$D$16:$F$27,3,FALSE)=FAOEP!$F$26,"kgCO2e/"&amp;'Outras emissões de processo'!H136,VLOOKUP(D136,FAOEP!$D$16:$F$27,3,FALSE)),"")</f>
        <v/>
      </c>
      <c r="L136" s="252"/>
      <c r="M136" s="987"/>
      <c r="N136" s="569"/>
      <c r="O136" s="337"/>
      <c r="P136" s="337"/>
      <c r="Q136" s="337"/>
      <c r="R136" s="569"/>
      <c r="S136" s="980" t="str">
        <f>IF((F136*J136+M136+O136+(P136+Q136)/1000)/1000=0,"",(F136*J136+M136+O136+(P136*'Fatores de Emissão'!$E$248+Q136*'Fatores de Emissão'!$E$249)/1000)/1000)</f>
        <v/>
      </c>
      <c r="T136" s="213" t="str">
        <f t="shared" si="1"/>
        <v/>
      </c>
    </row>
    <row r="137" spans="2:20" ht="15.5" hidden="1" outlineLevel="2" x14ac:dyDescent="0.35">
      <c r="B137" s="269"/>
      <c r="C137" s="269"/>
      <c r="D137" s="250"/>
      <c r="E137" s="269"/>
      <c r="F137" s="947"/>
      <c r="G137" s="567" t="str">
        <f>IFERROR(VLOOKUP(D137,FAOEP!$D$16:$E$27,2,FALSE),"")</f>
        <v/>
      </c>
      <c r="H137" s="941"/>
      <c r="I137" s="942"/>
      <c r="J137" s="568"/>
      <c r="K137" s="948" t="str">
        <f>IFERROR(IF(VLOOKUP(D137,FAOEP!$D$16:$F$27,3,FALSE)=FAOEP!$F$26,"kgCO2e/"&amp;'Outras emissões de processo'!H137,VLOOKUP(D137,FAOEP!$D$16:$F$27,3,FALSE)),"")</f>
        <v/>
      </c>
      <c r="L137" s="252"/>
      <c r="M137" s="987"/>
      <c r="N137" s="569"/>
      <c r="O137" s="337"/>
      <c r="P137" s="337"/>
      <c r="Q137" s="337"/>
      <c r="R137" s="569"/>
      <c r="S137" s="980" t="str">
        <f>IF((F137*J137+M137+O137+(P137+Q137)/1000)/1000=0,"",(F137*J137+M137+O137+(P137*'Fatores de Emissão'!$E$248+Q137*'Fatores de Emissão'!$E$249)/1000)/1000)</f>
        <v/>
      </c>
      <c r="T137" s="213" t="str">
        <f t="shared" si="1"/>
        <v/>
      </c>
    </row>
    <row r="138" spans="2:20" ht="15.5" hidden="1" outlineLevel="2" x14ac:dyDescent="0.35">
      <c r="B138" s="269"/>
      <c r="C138" s="269"/>
      <c r="D138" s="250"/>
      <c r="E138" s="269"/>
      <c r="F138" s="947"/>
      <c r="G138" s="567" t="str">
        <f>IFERROR(VLOOKUP(D138,FAOEP!$D$16:$E$27,2,FALSE),"")</f>
        <v/>
      </c>
      <c r="H138" s="941"/>
      <c r="I138" s="942"/>
      <c r="J138" s="568"/>
      <c r="K138" s="948" t="str">
        <f>IFERROR(IF(VLOOKUP(D138,FAOEP!$D$16:$F$27,3,FALSE)=FAOEP!$F$26,"kgCO2e/"&amp;'Outras emissões de processo'!H138,VLOOKUP(D138,FAOEP!$D$16:$F$27,3,FALSE)),"")</f>
        <v/>
      </c>
      <c r="L138" s="252"/>
      <c r="M138" s="987"/>
      <c r="N138" s="569"/>
      <c r="O138" s="337"/>
      <c r="P138" s="337"/>
      <c r="Q138" s="337"/>
      <c r="R138" s="569"/>
      <c r="S138" s="980" t="str">
        <f>IF((F138*J138+M138+O138+(P138+Q138)/1000)/1000=0,"",(F138*J138+M138+O138+(P138*'Fatores de Emissão'!$E$248+Q138*'Fatores de Emissão'!$E$249)/1000)/1000)</f>
        <v/>
      </c>
      <c r="T138" s="213" t="str">
        <f t="shared" si="1"/>
        <v/>
      </c>
    </row>
    <row r="139" spans="2:20" ht="15.5" hidden="1" outlineLevel="2" x14ac:dyDescent="0.35">
      <c r="B139" s="269"/>
      <c r="C139" s="269"/>
      <c r="D139" s="250"/>
      <c r="E139" s="269"/>
      <c r="F139" s="947"/>
      <c r="G139" s="567" t="str">
        <f>IFERROR(VLOOKUP(D139,FAOEP!$D$16:$E$27,2,FALSE),"")</f>
        <v/>
      </c>
      <c r="H139" s="941"/>
      <c r="I139" s="942"/>
      <c r="J139" s="568"/>
      <c r="K139" s="948" t="str">
        <f>IFERROR(IF(VLOOKUP(D139,FAOEP!$D$16:$F$27,3,FALSE)=FAOEP!$F$26,"kgCO2e/"&amp;'Outras emissões de processo'!H139,VLOOKUP(D139,FAOEP!$D$16:$F$27,3,FALSE)),"")</f>
        <v/>
      </c>
      <c r="L139" s="252"/>
      <c r="M139" s="987"/>
      <c r="N139" s="569"/>
      <c r="O139" s="337"/>
      <c r="P139" s="337"/>
      <c r="Q139" s="337"/>
      <c r="R139" s="569"/>
      <c r="S139" s="980" t="str">
        <f>IF((F139*J139+M139+O139+(P139+Q139)/1000)/1000=0,"",(F139*J139+M139+O139+(P139*'Fatores de Emissão'!$E$248+Q139*'Fatores de Emissão'!$E$249)/1000)/1000)</f>
        <v/>
      </c>
      <c r="T139" s="213" t="str">
        <f t="shared" si="1"/>
        <v/>
      </c>
    </row>
    <row r="140" spans="2:20" ht="15.5" hidden="1" outlineLevel="2" x14ac:dyDescent="0.35">
      <c r="B140" s="269"/>
      <c r="C140" s="269"/>
      <c r="D140" s="250"/>
      <c r="E140" s="269"/>
      <c r="F140" s="947"/>
      <c r="G140" s="567" t="str">
        <f>IFERROR(VLOOKUP(D140,FAOEP!$D$16:$E$27,2,FALSE),"")</f>
        <v/>
      </c>
      <c r="H140" s="941"/>
      <c r="I140" s="942"/>
      <c r="J140" s="568"/>
      <c r="K140" s="948" t="str">
        <f>IFERROR(IF(VLOOKUP(D140,FAOEP!$D$16:$F$27,3,FALSE)=FAOEP!$F$26,"kgCO2e/"&amp;'Outras emissões de processo'!H140,VLOOKUP(D140,FAOEP!$D$16:$F$27,3,FALSE)),"")</f>
        <v/>
      </c>
      <c r="L140" s="252"/>
      <c r="M140" s="987"/>
      <c r="N140" s="569"/>
      <c r="O140" s="337"/>
      <c r="P140" s="337"/>
      <c r="Q140" s="337"/>
      <c r="R140" s="569"/>
      <c r="S140" s="980" t="str">
        <f>IF((F140*J140+M140+O140+(P140+Q140)/1000)/1000=0,"",(F140*J140+M140+O140+(P140*'Fatores de Emissão'!$E$248+Q140*'Fatores de Emissão'!$E$249)/1000)/1000)</f>
        <v/>
      </c>
      <c r="T140" s="213" t="str">
        <f t="shared" si="1"/>
        <v/>
      </c>
    </row>
    <row r="141" spans="2:20" ht="15.5" hidden="1" outlineLevel="2" x14ac:dyDescent="0.35">
      <c r="B141" s="269"/>
      <c r="C141" s="269"/>
      <c r="D141" s="250"/>
      <c r="E141" s="269"/>
      <c r="F141" s="947"/>
      <c r="G141" s="567" t="str">
        <f>IFERROR(VLOOKUP(D141,FAOEP!$D$16:$E$27,2,FALSE),"")</f>
        <v/>
      </c>
      <c r="H141" s="941"/>
      <c r="I141" s="942"/>
      <c r="J141" s="568"/>
      <c r="K141" s="948" t="str">
        <f>IFERROR(IF(VLOOKUP(D141,FAOEP!$D$16:$F$27,3,FALSE)=FAOEP!$F$26,"kgCO2e/"&amp;'Outras emissões de processo'!H141,VLOOKUP(D141,FAOEP!$D$16:$F$27,3,FALSE)),"")</f>
        <v/>
      </c>
      <c r="L141" s="252"/>
      <c r="M141" s="987"/>
      <c r="N141" s="569"/>
      <c r="O141" s="337"/>
      <c r="P141" s="337"/>
      <c r="Q141" s="337"/>
      <c r="R141" s="569"/>
      <c r="S141" s="980" t="str">
        <f>IF((F141*J141+M141+O141+(P141+Q141)/1000)/1000=0,"",(F141*J141+M141+O141+(P141*'Fatores de Emissão'!$E$248+Q141*'Fatores de Emissão'!$E$249)/1000)/1000)</f>
        <v/>
      </c>
      <c r="T141" s="213" t="str">
        <f t="shared" si="1"/>
        <v/>
      </c>
    </row>
    <row r="142" spans="2:20" ht="24.65" customHeight="1" outlineLevel="1" collapsed="1" x14ac:dyDescent="0.35">
      <c r="B142" s="278" t="s">
        <v>40</v>
      </c>
      <c r="C142" s="279"/>
      <c r="D142" s="279"/>
      <c r="E142" s="279"/>
      <c r="F142" s="823"/>
      <c r="G142" s="279"/>
      <c r="H142" s="279"/>
      <c r="I142" s="279"/>
      <c r="J142" s="279"/>
      <c r="K142" s="279"/>
      <c r="L142" s="279"/>
      <c r="M142" s="972">
        <f>SUM(M42:M141)</f>
        <v>0</v>
      </c>
      <c r="N142" s="297"/>
      <c r="O142" s="575">
        <f>SUM(O42:O141)</f>
        <v>0</v>
      </c>
      <c r="P142" s="575">
        <f>SUM(P42:P141)</f>
        <v>0</v>
      </c>
      <c r="Q142" s="575">
        <f>SUM(Q42:Q141)</f>
        <v>0</v>
      </c>
      <c r="S142" s="978">
        <f>SUM(S42:S141)</f>
        <v>0</v>
      </c>
    </row>
    <row r="143" spans="2:20" s="171" customFormat="1" ht="24.65" customHeight="1" outlineLevel="1" x14ac:dyDescent="0.35">
      <c r="B143" s="253"/>
      <c r="C143" s="254"/>
      <c r="D143" s="254"/>
      <c r="E143" s="254"/>
      <c r="F143" s="254"/>
      <c r="G143" s="254"/>
      <c r="H143" s="255"/>
      <c r="I143" s="255"/>
      <c r="J143" s="255"/>
    </row>
    <row r="144" spans="2:20" s="171" customFormat="1" ht="24.65" customHeight="1" x14ac:dyDescent="0.35">
      <c r="B144" s="253"/>
      <c r="C144" s="254"/>
      <c r="D144" s="254"/>
      <c r="E144" s="254"/>
      <c r="F144" s="254"/>
      <c r="G144" s="254"/>
      <c r="H144" s="255"/>
      <c r="I144" s="255"/>
      <c r="J144" s="255"/>
    </row>
    <row r="145" spans="2:27" s="171" customFormat="1" ht="24.65" customHeight="1" x14ac:dyDescent="0.35">
      <c r="B145" s="253"/>
      <c r="C145" s="254"/>
      <c r="D145" s="254"/>
      <c r="E145" s="254"/>
      <c r="F145" s="254"/>
      <c r="G145" s="254"/>
      <c r="H145" s="255"/>
      <c r="I145" s="255"/>
      <c r="J145" s="255"/>
    </row>
    <row r="146" spans="2:27" s="296" customFormat="1" ht="30" customHeight="1" x14ac:dyDescent="0.35">
      <c r="B146" s="296" t="s">
        <v>1155</v>
      </c>
    </row>
    <row r="147" spans="2:27" ht="15.5" outlineLevel="1" x14ac:dyDescent="0.35"/>
    <row r="148" spans="2:27" ht="15.5" outlineLevel="1" x14ac:dyDescent="0.35"/>
    <row r="149" spans="2:27" ht="15.5" outlineLevel="1" x14ac:dyDescent="0.35">
      <c r="B149" s="167" t="s">
        <v>0</v>
      </c>
      <c r="C149" s="172"/>
      <c r="D149" s="172"/>
      <c r="E149" s="172"/>
      <c r="F149" s="172"/>
      <c r="G149" s="172"/>
      <c r="H149" s="172"/>
      <c r="I149" s="172"/>
      <c r="J149" s="172"/>
      <c r="K149" s="172"/>
      <c r="L149" s="172"/>
      <c r="M149" s="172"/>
      <c r="N149" s="172"/>
      <c r="O149" s="172"/>
      <c r="P149" s="172"/>
      <c r="Q149" s="172"/>
      <c r="R149" s="172"/>
      <c r="S149" s="172"/>
      <c r="T149" s="172"/>
      <c r="U149" s="172"/>
      <c r="V149" s="172"/>
      <c r="W149" s="172"/>
    </row>
    <row r="150" spans="2:27" ht="15.5" outlineLevel="1" x14ac:dyDescent="0.35">
      <c r="B150" s="345" t="s">
        <v>1104</v>
      </c>
      <c r="C150" s="172"/>
      <c r="D150" s="172"/>
      <c r="E150" s="172"/>
      <c r="F150" s="172"/>
      <c r="G150" s="172"/>
      <c r="H150" s="172"/>
      <c r="I150" s="172"/>
      <c r="J150" s="172"/>
      <c r="K150" s="172"/>
      <c r="L150" s="172"/>
      <c r="M150" s="172"/>
      <c r="N150" s="172"/>
      <c r="O150" s="172"/>
      <c r="P150" s="172"/>
      <c r="Q150" s="172"/>
      <c r="R150" s="172"/>
      <c r="S150" s="172"/>
      <c r="T150" s="172"/>
      <c r="U150" s="172"/>
      <c r="V150" s="172"/>
      <c r="W150" s="172"/>
    </row>
    <row r="151" spans="2:27" ht="19.899999999999999" customHeight="1" outlineLevel="1" x14ac:dyDescent="0.35">
      <c r="B151" s="172" t="s">
        <v>1105</v>
      </c>
      <c r="C151" s="229"/>
      <c r="D151" s="229"/>
      <c r="E151" s="229"/>
      <c r="F151" s="229"/>
      <c r="G151" s="229"/>
      <c r="H151" s="229"/>
      <c r="I151" s="229"/>
      <c r="J151" s="229"/>
      <c r="K151" s="229"/>
      <c r="L151" s="229"/>
      <c r="M151" s="229"/>
      <c r="N151" s="229"/>
      <c r="O151" s="229"/>
      <c r="P151" s="230"/>
      <c r="Q151" s="230"/>
      <c r="R151" s="231"/>
      <c r="S151" s="231"/>
      <c r="T151" s="231"/>
      <c r="U151" s="231"/>
      <c r="V151" s="231"/>
      <c r="W151" s="231"/>
      <c r="X151" s="232"/>
      <c r="Y151" s="232"/>
      <c r="Z151" s="232"/>
      <c r="AA151" s="233"/>
    </row>
    <row r="152" spans="2:27" ht="19.899999999999999" customHeight="1" outlineLevel="1" x14ac:dyDescent="0.35">
      <c r="B152" s="172" t="s">
        <v>907</v>
      </c>
      <c r="C152" s="229"/>
      <c r="D152" s="229"/>
      <c r="E152" s="229"/>
      <c r="F152" s="229"/>
      <c r="G152" s="229"/>
      <c r="H152" s="229"/>
      <c r="I152" s="229"/>
      <c r="J152" s="229"/>
      <c r="K152" s="229"/>
      <c r="L152" s="229"/>
      <c r="M152" s="229"/>
      <c r="N152" s="229"/>
      <c r="O152" s="229"/>
      <c r="P152" s="230"/>
      <c r="Q152" s="230"/>
      <c r="R152" s="231"/>
      <c r="S152" s="231"/>
      <c r="T152" s="231"/>
      <c r="U152" s="231"/>
      <c r="V152" s="231"/>
      <c r="W152" s="231"/>
      <c r="X152" s="232"/>
      <c r="Y152" s="232"/>
      <c r="Z152" s="232"/>
      <c r="AA152" s="233"/>
    </row>
    <row r="153" spans="2:27" ht="19.899999999999999" customHeight="1" outlineLevel="1" x14ac:dyDescent="0.35">
      <c r="B153" s="172" t="s">
        <v>1159</v>
      </c>
      <c r="C153" s="229"/>
      <c r="D153" s="229"/>
      <c r="E153" s="229"/>
      <c r="F153" s="229"/>
      <c r="G153" s="229"/>
      <c r="H153" s="229"/>
      <c r="I153" s="229"/>
      <c r="J153" s="229"/>
      <c r="K153" s="229"/>
      <c r="L153" s="229"/>
      <c r="M153" s="229"/>
      <c r="N153" s="229"/>
      <c r="O153" s="229"/>
      <c r="P153" s="229"/>
      <c r="Q153" s="230"/>
      <c r="R153" s="231"/>
      <c r="S153" s="231"/>
      <c r="T153" s="231"/>
      <c r="U153" s="231"/>
      <c r="V153" s="231"/>
      <c r="W153" s="231"/>
      <c r="X153" s="232"/>
      <c r="Y153" s="232"/>
      <c r="Z153" s="232"/>
      <c r="AA153" s="233"/>
    </row>
    <row r="154" spans="2:27" ht="40.15" customHeight="1" outlineLevel="1" x14ac:dyDescent="0.35">
      <c r="B154" s="1067" t="s">
        <v>1160</v>
      </c>
      <c r="C154" s="1067"/>
      <c r="D154" s="1067"/>
      <c r="E154" s="1067"/>
      <c r="F154" s="1067"/>
      <c r="G154" s="1067"/>
      <c r="H154" s="1067"/>
      <c r="I154" s="1067"/>
      <c r="J154" s="1067"/>
      <c r="K154" s="1067"/>
      <c r="L154" s="229"/>
      <c r="M154" s="229"/>
      <c r="N154" s="229"/>
      <c r="O154" s="229"/>
      <c r="P154" s="229"/>
      <c r="Q154" s="230"/>
      <c r="R154" s="230"/>
      <c r="S154" s="230"/>
      <c r="T154" s="230"/>
      <c r="U154" s="230"/>
      <c r="V154" s="230"/>
      <c r="W154" s="230"/>
      <c r="X154" s="234"/>
      <c r="Y154" s="234"/>
      <c r="Z154" s="234"/>
      <c r="AA154" s="234"/>
    </row>
    <row r="155" spans="2:27" ht="21" customHeight="1" outlineLevel="1" x14ac:dyDescent="0.35">
      <c r="B155" s="1162" t="s">
        <v>1161</v>
      </c>
      <c r="C155" s="1162"/>
      <c r="D155" s="1162"/>
      <c r="E155" s="1162"/>
      <c r="F155" s="1162"/>
      <c r="G155" s="1162"/>
      <c r="H155" s="1162"/>
      <c r="I155" s="1162"/>
      <c r="J155" s="1162"/>
      <c r="K155" s="1162"/>
      <c r="L155" s="1162"/>
      <c r="M155" s="1162"/>
      <c r="N155" s="230"/>
      <c r="O155" s="230"/>
      <c r="P155" s="230"/>
      <c r="Q155" s="230"/>
      <c r="R155" s="230"/>
      <c r="S155" s="230"/>
      <c r="T155" s="230"/>
      <c r="U155" s="230"/>
      <c r="V155" s="230"/>
      <c r="W155" s="230"/>
      <c r="X155" s="234"/>
      <c r="Y155" s="234"/>
      <c r="Z155" s="234"/>
      <c r="AA155" s="234"/>
    </row>
    <row r="156" spans="2:27" ht="35.5" customHeight="1" outlineLevel="1" x14ac:dyDescent="0.35">
      <c r="B156" s="1162" t="s">
        <v>1489</v>
      </c>
      <c r="C156" s="1162"/>
      <c r="D156" s="1162"/>
      <c r="E156" s="1162"/>
      <c r="F156" s="1162"/>
      <c r="G156" s="1162"/>
      <c r="H156" s="1162"/>
      <c r="I156" s="1162"/>
      <c r="J156" s="1162"/>
      <c r="K156" s="1162"/>
      <c r="L156" s="1162"/>
      <c r="M156" s="230"/>
      <c r="N156" s="230"/>
      <c r="O156" s="230"/>
      <c r="P156" s="230"/>
      <c r="Q156" s="230"/>
      <c r="R156" s="230"/>
      <c r="S156" s="230"/>
      <c r="T156" s="230"/>
      <c r="U156" s="230"/>
      <c r="V156" s="230"/>
      <c r="W156" s="230"/>
      <c r="X156" s="234"/>
      <c r="Y156" s="234"/>
      <c r="Z156" s="234"/>
      <c r="AA156" s="234"/>
    </row>
    <row r="157" spans="2:27" ht="21" customHeight="1" outlineLevel="1" x14ac:dyDescent="0.35">
      <c r="B157" s="1222" t="s">
        <v>1215</v>
      </c>
      <c r="C157" s="1222"/>
      <c r="D157" s="1222"/>
      <c r="E157" s="1222"/>
      <c r="F157" s="1222"/>
      <c r="G157" s="1222"/>
      <c r="H157" s="1222"/>
      <c r="I157" s="1222"/>
      <c r="J157" s="1222"/>
      <c r="K157" s="1222"/>
      <c r="L157" s="1222"/>
      <c r="M157" s="1222"/>
      <c r="N157" s="230"/>
      <c r="O157" s="230"/>
      <c r="P157" s="230"/>
      <c r="Q157" s="230"/>
      <c r="R157" s="230"/>
      <c r="S157" s="230"/>
      <c r="T157" s="230"/>
      <c r="U157" s="230"/>
      <c r="V157" s="230"/>
      <c r="W157" s="230"/>
      <c r="X157" s="234"/>
      <c r="Y157" s="234"/>
      <c r="Z157" s="234"/>
      <c r="AA157" s="234"/>
    </row>
    <row r="158" spans="2:27" ht="19.899999999999999" customHeight="1" outlineLevel="1" x14ac:dyDescent="0.35">
      <c r="B158" s="1162" t="s">
        <v>1162</v>
      </c>
      <c r="C158" s="1162"/>
      <c r="D158" s="1162"/>
      <c r="E158" s="1162"/>
      <c r="F158" s="1162"/>
      <c r="G158" s="1162"/>
      <c r="H158" s="1162"/>
      <c r="I158" s="1162"/>
      <c r="J158" s="1162"/>
      <c r="K158" s="1162"/>
      <c r="L158" s="1162"/>
      <c r="M158" s="1162"/>
      <c r="N158" s="1162"/>
      <c r="O158" s="1162"/>
      <c r="P158" s="1162"/>
      <c r="Q158" s="230"/>
      <c r="R158" s="230"/>
      <c r="S158" s="230"/>
      <c r="T158" s="230"/>
      <c r="U158" s="230"/>
      <c r="V158" s="230"/>
      <c r="W158" s="230"/>
      <c r="X158" s="234"/>
      <c r="Y158" s="234"/>
      <c r="Z158" s="234"/>
      <c r="AA158" s="234"/>
    </row>
    <row r="159" spans="2:27" ht="15.5" outlineLevel="1" x14ac:dyDescent="0.35">
      <c r="B159" s="345"/>
      <c r="C159" s="235"/>
      <c r="D159" s="235"/>
      <c r="E159" s="235"/>
      <c r="F159" s="235"/>
      <c r="G159" s="235"/>
      <c r="H159" s="235"/>
      <c r="I159" s="235"/>
      <c r="J159" s="235"/>
      <c r="K159" s="235"/>
      <c r="L159" s="235"/>
      <c r="M159" s="235"/>
      <c r="N159" s="235"/>
      <c r="O159" s="235"/>
      <c r="P159" s="235"/>
      <c r="Q159" s="235"/>
      <c r="R159" s="235"/>
      <c r="S159" s="235"/>
      <c r="T159" s="235"/>
      <c r="U159" s="233"/>
      <c r="V159" s="233"/>
      <c r="W159" s="233"/>
      <c r="X159" s="233"/>
      <c r="Y159" s="233"/>
      <c r="Z159" s="233"/>
      <c r="AA159" s="233"/>
    </row>
    <row r="160" spans="2:27" ht="15.5" outlineLevel="1" x14ac:dyDescent="0.35">
      <c r="E160" s="256"/>
    </row>
    <row r="161" spans="1:37" ht="15.5" outlineLevel="1" x14ac:dyDescent="0.35">
      <c r="E161" s="256"/>
      <c r="I161" s="183"/>
    </row>
    <row r="162" spans="1:37" ht="15.5" outlineLevel="1" x14ac:dyDescent="0.35">
      <c r="B162" s="236" t="s">
        <v>1490</v>
      </c>
      <c r="E162" s="256"/>
    </row>
    <row r="163" spans="1:37" ht="18" customHeight="1" outlineLevel="1" x14ac:dyDescent="0.35">
      <c r="B163" s="1089" t="s">
        <v>868</v>
      </c>
      <c r="C163" s="1089" t="s">
        <v>869</v>
      </c>
      <c r="D163" s="1089" t="s">
        <v>1158</v>
      </c>
      <c r="E163" s="1211" t="s">
        <v>248</v>
      </c>
      <c r="F163" s="1211"/>
      <c r="G163" s="257" t="s">
        <v>1094</v>
      </c>
      <c r="H163" s="1211" t="s">
        <v>1095</v>
      </c>
      <c r="I163" s="1211"/>
      <c r="J163" s="1211"/>
      <c r="K163" s="258" t="s">
        <v>1096</v>
      </c>
      <c r="L163" s="1223" t="s">
        <v>1097</v>
      </c>
      <c r="M163" s="1223"/>
      <c r="N163" s="1223" t="s">
        <v>1164</v>
      </c>
      <c r="O163" s="1223"/>
      <c r="P163" s="1223"/>
      <c r="Q163" s="1223"/>
      <c r="R163" s="1223" t="s">
        <v>1165</v>
      </c>
      <c r="S163" s="1223"/>
      <c r="T163" s="1223"/>
      <c r="U163" s="1223" t="s">
        <v>1166</v>
      </c>
      <c r="V163" s="1223"/>
      <c r="W163" s="1223"/>
      <c r="Z163" s="259"/>
      <c r="AA163" s="259"/>
      <c r="AB163" s="259"/>
      <c r="AC163" s="259"/>
      <c r="AD163" s="259"/>
      <c r="AE163" s="259"/>
      <c r="AF163" s="259"/>
      <c r="AG163" s="259"/>
      <c r="AH163" s="259"/>
      <c r="AI163" s="259"/>
      <c r="AJ163" s="259"/>
      <c r="AK163" s="260"/>
    </row>
    <row r="164" spans="1:37" ht="30" customHeight="1" outlineLevel="1" x14ac:dyDescent="0.35">
      <c r="B164" s="1090"/>
      <c r="C164" s="1090"/>
      <c r="D164" s="1090"/>
      <c r="E164" s="1211" t="s">
        <v>420</v>
      </c>
      <c r="F164" s="1089" t="s">
        <v>1090</v>
      </c>
      <c r="G164" s="1211" t="s">
        <v>1028</v>
      </c>
      <c r="H164" s="1211" t="s">
        <v>1029</v>
      </c>
      <c r="I164" s="1211" t="s">
        <v>1564</v>
      </c>
      <c r="J164" s="1089" t="s">
        <v>921</v>
      </c>
      <c r="K164" s="1211" t="s">
        <v>1091</v>
      </c>
      <c r="L164" s="1089" t="s">
        <v>1027</v>
      </c>
      <c r="M164" s="1157" t="s">
        <v>1163</v>
      </c>
      <c r="N164" s="1101" t="s">
        <v>1112</v>
      </c>
      <c r="O164" s="1101" t="s">
        <v>1113</v>
      </c>
      <c r="P164" s="1101" t="s">
        <v>1633</v>
      </c>
      <c r="Q164" s="270"/>
      <c r="R164" s="1101" t="s">
        <v>1114</v>
      </c>
      <c r="S164" s="1101" t="s">
        <v>1115</v>
      </c>
      <c r="T164" s="1101" t="s">
        <v>1116</v>
      </c>
      <c r="U164" s="1101" t="s">
        <v>1117</v>
      </c>
      <c r="V164" s="1101" t="s">
        <v>1118</v>
      </c>
      <c r="W164" s="1101" t="s">
        <v>1119</v>
      </c>
      <c r="Z164" s="261"/>
      <c r="AA164" s="261"/>
      <c r="AB164" s="261"/>
      <c r="AC164" s="261"/>
      <c r="AD164" s="261"/>
      <c r="AE164" s="261"/>
      <c r="AF164" s="261"/>
      <c r="AG164" s="259"/>
      <c r="AH164" s="259"/>
      <c r="AI164" s="259"/>
      <c r="AJ164" s="259"/>
      <c r="AK164" s="260"/>
    </row>
    <row r="165" spans="1:37" ht="32.25" customHeight="1" outlineLevel="1" x14ac:dyDescent="0.35">
      <c r="B165" s="1100"/>
      <c r="C165" s="1100"/>
      <c r="D165" s="1100"/>
      <c r="E165" s="1211"/>
      <c r="F165" s="1100"/>
      <c r="G165" s="1211"/>
      <c r="H165" s="1211"/>
      <c r="I165" s="1211"/>
      <c r="J165" s="1100"/>
      <c r="K165" s="1211"/>
      <c r="L165" s="1100"/>
      <c r="M165" s="1157"/>
      <c r="N165" s="1103"/>
      <c r="O165" s="1103"/>
      <c r="P165" s="1103"/>
      <c r="Q165" s="270"/>
      <c r="R165" s="1103"/>
      <c r="S165" s="1103"/>
      <c r="T165" s="1103"/>
      <c r="U165" s="1103"/>
      <c r="V165" s="1103"/>
      <c r="W165" s="1103"/>
      <c r="Z165" s="262"/>
      <c r="AA165" s="263"/>
      <c r="AB165" s="263"/>
      <c r="AC165" s="263"/>
      <c r="AD165" s="263"/>
      <c r="AE165" s="263"/>
      <c r="AF165" s="263"/>
      <c r="AG165" s="262"/>
      <c r="AH165" s="262"/>
      <c r="AI165" s="262"/>
      <c r="AJ165" s="263"/>
      <c r="AK165" s="260"/>
    </row>
    <row r="166" spans="1:37" s="248" customFormat="1" ht="31" outlineLevel="1" x14ac:dyDescent="0.35">
      <c r="A166" s="241" t="s">
        <v>39</v>
      </c>
      <c r="B166" s="426" t="s">
        <v>1049</v>
      </c>
      <c r="C166" s="571" t="s">
        <v>1101</v>
      </c>
      <c r="D166" s="242" t="s">
        <v>1156</v>
      </c>
      <c r="E166" s="242" t="s">
        <v>504</v>
      </c>
      <c r="F166" s="824">
        <v>100</v>
      </c>
      <c r="G166" s="242"/>
      <c r="H166" s="242"/>
      <c r="I166" s="242"/>
      <c r="J166" s="242"/>
      <c r="K166" s="573"/>
      <c r="L166" s="242"/>
      <c r="M166" s="824"/>
      <c r="N166" s="1009">
        <v>79</v>
      </c>
      <c r="O166" s="1009">
        <v>7900</v>
      </c>
      <c r="P166" s="1041">
        <v>2</v>
      </c>
      <c r="Q166" s="270"/>
      <c r="R166" s="976"/>
      <c r="S166" s="976"/>
      <c r="T166" s="976"/>
      <c r="U166" s="564"/>
      <c r="V166" s="564"/>
      <c r="W166" s="564"/>
      <c r="Z166" s="264"/>
      <c r="AA166" s="265"/>
      <c r="AB166" s="266"/>
      <c r="AD166" s="267"/>
      <c r="AE166" s="265"/>
      <c r="AG166" s="265"/>
      <c r="AH166" s="265"/>
      <c r="AI166" s="265"/>
      <c r="AK166" s="268"/>
    </row>
    <row r="167" spans="1:37" ht="15.5" outlineLevel="1" x14ac:dyDescent="0.35">
      <c r="B167" s="269"/>
      <c r="C167" s="943"/>
      <c r="D167" s="250"/>
      <c r="E167" s="249"/>
      <c r="F167" s="909"/>
      <c r="G167" s="269"/>
      <c r="H167" s="270"/>
      <c r="I167" s="270"/>
      <c r="J167" s="271"/>
      <c r="K167" s="618">
        <v>500</v>
      </c>
      <c r="L167" s="249"/>
      <c r="M167" s="561"/>
      <c r="N167" s="982" t="str">
        <f>IFERROR(IF(E167=FAAS!$B$81,I167,VLOOKUP(E167,FAAS!$K$113:$L$134,2,FALSE)),"")</f>
        <v/>
      </c>
      <c r="O167" s="982" t="str">
        <f>IFERROR(N167*F167,"")</f>
        <v/>
      </c>
      <c r="P167" s="982" t="str">
        <f>IFERROR(IF(VLOOKUP(B167,'Dados gerais'!$D$33:$F$35,3,FALSE)="",VLOOKUP('Outras emissões de processo'!B167,'Fatores de Emissão'!$B$12:$E$14,3, FALSE),VLOOKUP(B167,'Dados gerais'!$D$33:$F$35,3,FALSE)),"")</f>
        <v/>
      </c>
      <c r="Q167" s="270"/>
      <c r="R167" s="982" t="str">
        <f>IFERROR(IF(G167=FAAS!$K$135,'Outras emissões de processo'!I167,VLOOKUP(G167,FAAS!$B$63:$J$82,9,FALSE)),"")</f>
        <v/>
      </c>
      <c r="S167" s="982" t="str">
        <f>IFERROR(R167*K167,"")</f>
        <v/>
      </c>
      <c r="T167" s="982" t="str">
        <f>IFERROR(S167*P167,"")</f>
        <v/>
      </c>
      <c r="U167" s="572" t="str">
        <f>IFERROR(VLOOKUP(L167,FAAS!$A$142:$D$144,2,FALSE)*365*'Fatores de Emissão'!$E$248/1000,"")</f>
        <v/>
      </c>
      <c r="V167" s="572" t="str">
        <f>IFERROR(U167*M167,"")</f>
        <v/>
      </c>
      <c r="W167" s="572" t="str">
        <f>IFERROR(V167*P167,"")</f>
        <v/>
      </c>
      <c r="Z167" s="272"/>
      <c r="AA167" s="273"/>
      <c r="AB167" s="274"/>
      <c r="AC167" s="273"/>
      <c r="AD167" s="272"/>
      <c r="AE167" s="273"/>
      <c r="AF167" s="272"/>
      <c r="AG167" s="273"/>
      <c r="AH167" s="275"/>
      <c r="AI167" s="275"/>
      <c r="AJ167" s="272"/>
      <c r="AK167" s="276"/>
    </row>
    <row r="168" spans="1:37" ht="15.5" outlineLevel="1" x14ac:dyDescent="0.35">
      <c r="B168" s="269"/>
      <c r="C168" s="943"/>
      <c r="D168" s="250"/>
      <c r="E168" s="249"/>
      <c r="F168" s="909"/>
      <c r="G168" s="269"/>
      <c r="H168" s="270"/>
      <c r="I168" s="270"/>
      <c r="J168" s="271"/>
      <c r="K168" s="618"/>
      <c r="L168" s="249"/>
      <c r="M168" s="561"/>
      <c r="N168" s="982" t="str">
        <f>IFERROR(IF(E168=FAAS!$B$81,I168,VLOOKUP(E168,FAAS!$K$113:$L$134,2,FALSE)),"")</f>
        <v/>
      </c>
      <c r="O168" s="982" t="str">
        <f>IFERROR(N168*F168,"")</f>
        <v/>
      </c>
      <c r="P168" s="982" t="str">
        <f>IFERROR(IF(VLOOKUP(B168,'Dados gerais'!$D$33:$F$35,3,FALSE)="",VLOOKUP('Outras emissões de processo'!B168,'Fatores de Emissão'!$B$12:$E$14,3, FALSE),VLOOKUP(B168,'Dados gerais'!$D$33:$F$35,3,FALSE)),"")</f>
        <v/>
      </c>
      <c r="Q168" s="270"/>
      <c r="R168" s="982" t="str">
        <f>IFERROR(IF(G168=FAAS!$K$135,'Outras emissões de processo'!I168,VLOOKUP(G168,FAAS!$B$63:$J$82,9,FALSE)),"")</f>
        <v/>
      </c>
      <c r="S168" s="982" t="str">
        <f t="shared" ref="S168:S231" si="2">IFERROR(R168*K168,"")</f>
        <v/>
      </c>
      <c r="T168" s="982" t="str">
        <f t="shared" ref="T168:T231" si="3">IFERROR(S168*P168,"")</f>
        <v/>
      </c>
      <c r="U168" s="572" t="str">
        <f>IFERROR(VLOOKUP(L168,FAAS!$A$142:$D$144,2,FALSE)*365*'Fatores de Emissão'!$E$248/1000,"")</f>
        <v/>
      </c>
      <c r="V168" s="572" t="str">
        <f t="shared" ref="V168:V231" si="4">IFERROR(U168*M168,"")</f>
        <v/>
      </c>
      <c r="W168" s="572" t="str">
        <f t="shared" ref="W168:W231" si="5">IFERROR(V168*P168,"")</f>
        <v/>
      </c>
      <c r="Z168" s="277"/>
      <c r="AA168" s="273"/>
      <c r="AB168" s="274"/>
      <c r="AC168" s="273"/>
      <c r="AD168" s="277"/>
      <c r="AE168" s="272"/>
      <c r="AF168" s="272"/>
      <c r="AG168" s="275"/>
      <c r="AH168" s="275"/>
      <c r="AI168" s="275"/>
      <c r="AJ168" s="272"/>
      <c r="AK168" s="276"/>
    </row>
    <row r="169" spans="1:37" ht="15.5" outlineLevel="1" x14ac:dyDescent="0.35">
      <c r="B169" s="269"/>
      <c r="C169" s="943"/>
      <c r="D169" s="250"/>
      <c r="E169" s="249"/>
      <c r="F169" s="909"/>
      <c r="G169" s="269"/>
      <c r="H169" s="270"/>
      <c r="I169" s="270"/>
      <c r="J169" s="271"/>
      <c r="K169" s="618"/>
      <c r="L169" s="249"/>
      <c r="M169" s="561"/>
      <c r="N169" s="982" t="str">
        <f>IFERROR(IF(E169=FAAS!$B$81,I169,VLOOKUP(E169,FAAS!$K$113:$L$134,2,FALSE)),"")</f>
        <v/>
      </c>
      <c r="O169" s="982" t="str">
        <f t="shared" ref="O169:O232" si="6">IFERROR(N169*F169,"")</f>
        <v/>
      </c>
      <c r="P169" s="982" t="str">
        <f>IFERROR(IF(VLOOKUP(B169,'Dados gerais'!$D$33:$F$35,3,FALSE)="",VLOOKUP('Outras emissões de processo'!B169,'Fatores de Emissão'!$B$12:$E$14,3, FALSE),VLOOKUP(B169,'Dados gerais'!$D$33:$F$35,3,FALSE)),"")</f>
        <v/>
      </c>
      <c r="Q169" s="270"/>
      <c r="R169" s="982" t="str">
        <f>IFERROR(IF(G169=FAAS!$K$135,'Outras emissões de processo'!I169,VLOOKUP(G169,FAAS!$B$63:$J$82,9,FALSE)),"")</f>
        <v/>
      </c>
      <c r="S169" s="982" t="str">
        <f t="shared" si="2"/>
        <v/>
      </c>
      <c r="T169" s="982" t="str">
        <f t="shared" si="3"/>
        <v/>
      </c>
      <c r="U169" s="572" t="str">
        <f>IFERROR(VLOOKUP(L169,FAAS!$A$142:$D$144,2,FALSE)*365*'Fatores de Emissão'!$E$248/1000,"")</f>
        <v/>
      </c>
      <c r="V169" s="572" t="str">
        <f>IFERROR(U169*M169,"")</f>
        <v/>
      </c>
      <c r="W169" s="572" t="str">
        <f>IFERROR(V169*P169,"")</f>
        <v/>
      </c>
      <c r="Z169" s="277"/>
      <c r="AA169" s="273"/>
      <c r="AB169" s="274"/>
      <c r="AC169" s="273"/>
      <c r="AD169" s="277"/>
      <c r="AE169" s="272"/>
      <c r="AF169" s="272"/>
      <c r="AG169" s="275"/>
      <c r="AH169" s="275"/>
      <c r="AI169" s="275"/>
      <c r="AJ169" s="272"/>
      <c r="AK169" s="276"/>
    </row>
    <row r="170" spans="1:37" ht="15.5" outlineLevel="1" x14ac:dyDescent="0.35">
      <c r="B170" s="269"/>
      <c r="C170" s="943"/>
      <c r="D170" s="250"/>
      <c r="E170" s="249"/>
      <c r="F170" s="909"/>
      <c r="G170" s="269"/>
      <c r="H170" s="270"/>
      <c r="I170" s="270"/>
      <c r="J170" s="271"/>
      <c r="K170" s="618"/>
      <c r="L170" s="249"/>
      <c r="M170" s="561"/>
      <c r="N170" s="982" t="str">
        <f>IFERROR(IF(E170=FAAS!$B$81,I170,VLOOKUP(E170,FAAS!$K$113:$L$134,2,FALSE)),"")</f>
        <v/>
      </c>
      <c r="O170" s="982" t="str">
        <f t="shared" si="6"/>
        <v/>
      </c>
      <c r="P170" s="982" t="str">
        <f>IFERROR(IF(VLOOKUP(B170,'Dados gerais'!$D$33:$F$35,3,FALSE)="",VLOOKUP('Outras emissões de processo'!B170,'Fatores de Emissão'!$B$12:$E$14,3, FALSE),VLOOKUP(B170,'Dados gerais'!$D$33:$F$35,3,FALSE)),"")</f>
        <v/>
      </c>
      <c r="Q170" s="270"/>
      <c r="R170" s="982" t="str">
        <f>IFERROR(IF(G170=FAAS!$K$135,'Outras emissões de processo'!I170,VLOOKUP(G170,FAAS!$B$63:$J$82,9,FALSE)),"")</f>
        <v/>
      </c>
      <c r="S170" s="982" t="str">
        <f t="shared" si="2"/>
        <v/>
      </c>
      <c r="T170" s="982" t="str">
        <f t="shared" si="3"/>
        <v/>
      </c>
      <c r="U170" s="572" t="str">
        <f>IFERROR(VLOOKUP(L170,FAAS!$A$142:$D$144,2,FALSE)*365*'Fatores de Emissão'!$E$248/1000,"")</f>
        <v/>
      </c>
      <c r="V170" s="572" t="str">
        <f t="shared" si="4"/>
        <v/>
      </c>
      <c r="W170" s="572" t="str">
        <f t="shared" si="5"/>
        <v/>
      </c>
      <c r="Z170" s="277"/>
      <c r="AA170" s="273"/>
      <c r="AB170" s="274"/>
      <c r="AC170" s="273"/>
      <c r="AD170" s="277"/>
      <c r="AE170" s="275"/>
      <c r="AF170" s="272"/>
      <c r="AG170" s="275"/>
      <c r="AH170" s="275"/>
      <c r="AI170" s="275"/>
      <c r="AJ170" s="272"/>
      <c r="AK170" s="276"/>
    </row>
    <row r="171" spans="1:37" ht="15.5" outlineLevel="1" x14ac:dyDescent="0.35">
      <c r="B171" s="269"/>
      <c r="C171" s="943"/>
      <c r="D171" s="250"/>
      <c r="E171" s="249"/>
      <c r="F171" s="909"/>
      <c r="G171" s="269"/>
      <c r="H171" s="270"/>
      <c r="I171" s="270"/>
      <c r="J171" s="271"/>
      <c r="K171" s="618"/>
      <c r="L171" s="249"/>
      <c r="M171" s="561"/>
      <c r="N171" s="982" t="str">
        <f>IFERROR(IF(E171=FAAS!$B$81,I171,VLOOKUP(E171,FAAS!$K$113:$L$134,2,FALSE)),"")</f>
        <v/>
      </c>
      <c r="O171" s="982" t="str">
        <f t="shared" si="6"/>
        <v/>
      </c>
      <c r="P171" s="982" t="str">
        <f>IFERROR(IF(VLOOKUP(B171,'Dados gerais'!$D$33:$F$35,3,FALSE)="",VLOOKUP('Outras emissões de processo'!B171,'Fatores de Emissão'!$B$12:$E$14,3, FALSE),VLOOKUP(B171,'Dados gerais'!$D$33:$F$35,3,FALSE)),"")</f>
        <v/>
      </c>
      <c r="Q171" s="270"/>
      <c r="R171" s="982" t="str">
        <f>IFERROR(IF(G171=FAAS!$K$135,'Outras emissões de processo'!I171,VLOOKUP(G171,FAAS!$B$63:$J$82,9,FALSE)),"")</f>
        <v/>
      </c>
      <c r="S171" s="982" t="str">
        <f t="shared" si="2"/>
        <v/>
      </c>
      <c r="T171" s="982" t="str">
        <f t="shared" si="3"/>
        <v/>
      </c>
      <c r="U171" s="572" t="str">
        <f>IFERROR(VLOOKUP(L171,FAAS!$A$142:$D$144,2,FALSE)*365*'Fatores de Emissão'!$E$248/1000,"")</f>
        <v/>
      </c>
      <c r="V171" s="572" t="str">
        <f t="shared" si="4"/>
        <v/>
      </c>
      <c r="W171" s="572" t="str">
        <f t="shared" si="5"/>
        <v/>
      </c>
      <c r="Z171" s="277"/>
      <c r="AA171" s="273"/>
      <c r="AB171" s="274"/>
      <c r="AC171" s="273"/>
      <c r="AD171" s="277"/>
      <c r="AE171" s="275"/>
      <c r="AF171" s="272"/>
      <c r="AG171" s="275"/>
      <c r="AH171" s="275"/>
      <c r="AI171" s="275"/>
      <c r="AJ171" s="272"/>
      <c r="AK171" s="276"/>
    </row>
    <row r="172" spans="1:37" ht="15.5" outlineLevel="1" x14ac:dyDescent="0.35">
      <c r="B172" s="269"/>
      <c r="C172" s="943"/>
      <c r="D172" s="250"/>
      <c r="E172" s="249"/>
      <c r="F172" s="909"/>
      <c r="G172" s="269"/>
      <c r="H172" s="270"/>
      <c r="I172" s="270"/>
      <c r="J172" s="271"/>
      <c r="K172" s="618"/>
      <c r="L172" s="249"/>
      <c r="M172" s="561"/>
      <c r="N172" s="982" t="str">
        <f>IFERROR(IF(E172=FAAS!$B$81,I172,VLOOKUP(E172,FAAS!$K$113:$L$134,2,FALSE)),"")</f>
        <v/>
      </c>
      <c r="O172" s="982" t="str">
        <f t="shared" si="6"/>
        <v/>
      </c>
      <c r="P172" s="982" t="str">
        <f>IFERROR(IF(VLOOKUP(B172,'Dados gerais'!$D$33:$F$35,3,FALSE)="",VLOOKUP('Outras emissões de processo'!B172,'Fatores de Emissão'!$B$12:$E$14,3, FALSE),VLOOKUP(B172,'Dados gerais'!$D$33:$F$35,3,FALSE)),"")</f>
        <v/>
      </c>
      <c r="Q172" s="270"/>
      <c r="R172" s="982" t="str">
        <f>IFERROR(IF(G172=FAAS!$K$135,'Outras emissões de processo'!I172,VLOOKUP(G172,FAAS!$B$63:$J$82,9,FALSE)),"")</f>
        <v/>
      </c>
      <c r="S172" s="982" t="str">
        <f t="shared" si="2"/>
        <v/>
      </c>
      <c r="T172" s="982" t="str">
        <f t="shared" si="3"/>
        <v/>
      </c>
      <c r="U172" s="572" t="str">
        <f>IFERROR(VLOOKUP(L172,FAAS!$A$142:$D$144,2,FALSE)*365*'Fatores de Emissão'!$E$248/1000,"")</f>
        <v/>
      </c>
      <c r="V172" s="572" t="str">
        <f t="shared" si="4"/>
        <v/>
      </c>
      <c r="W172" s="572" t="str">
        <f t="shared" si="5"/>
        <v/>
      </c>
      <c r="Z172" s="277"/>
      <c r="AA172" s="273"/>
      <c r="AB172" s="274"/>
      <c r="AC172" s="273"/>
      <c r="AD172" s="277"/>
      <c r="AE172" s="275"/>
      <c r="AF172" s="272"/>
      <c r="AG172" s="275"/>
      <c r="AH172" s="275"/>
      <c r="AI172" s="275"/>
      <c r="AJ172" s="272"/>
      <c r="AK172" s="276"/>
    </row>
    <row r="173" spans="1:37" ht="15.5" outlineLevel="1" x14ac:dyDescent="0.35">
      <c r="B173" s="269"/>
      <c r="C173" s="943"/>
      <c r="D173" s="250"/>
      <c r="E173" s="249"/>
      <c r="F173" s="909"/>
      <c r="G173" s="269"/>
      <c r="H173" s="270"/>
      <c r="I173" s="270"/>
      <c r="J173" s="271"/>
      <c r="K173" s="618"/>
      <c r="L173" s="249"/>
      <c r="M173" s="561"/>
      <c r="N173" s="982" t="str">
        <f>IFERROR(IF(E173=FAAS!$B$81,I173,VLOOKUP(E173,FAAS!$K$113:$L$134,2,FALSE)),"")</f>
        <v/>
      </c>
      <c r="O173" s="982" t="str">
        <f t="shared" si="6"/>
        <v/>
      </c>
      <c r="P173" s="982" t="str">
        <f>IFERROR(IF(VLOOKUP(B173,'Dados gerais'!$D$33:$F$35,3,FALSE)="",VLOOKUP('Outras emissões de processo'!B173,'Fatores de Emissão'!$B$12:$E$14,3, FALSE),VLOOKUP(B173,'Dados gerais'!$D$33:$F$35,3,FALSE)),"")</f>
        <v/>
      </c>
      <c r="Q173" s="270"/>
      <c r="R173" s="982" t="str">
        <f>IFERROR(IF(G173=FAAS!$K$135,'Outras emissões de processo'!I173,VLOOKUP(G173,FAAS!$B$63:$J$82,9,FALSE)),"")</f>
        <v/>
      </c>
      <c r="S173" s="982" t="str">
        <f t="shared" si="2"/>
        <v/>
      </c>
      <c r="T173" s="982" t="str">
        <f t="shared" si="3"/>
        <v/>
      </c>
      <c r="U173" s="572" t="str">
        <f>IFERROR(VLOOKUP(L173,FAAS!$A$142:$D$144,2,FALSE)*365*'Fatores de Emissão'!$E$248/1000,"")</f>
        <v/>
      </c>
      <c r="V173" s="572" t="str">
        <f t="shared" si="4"/>
        <v/>
      </c>
      <c r="W173" s="572" t="str">
        <f t="shared" si="5"/>
        <v/>
      </c>
      <c r="Z173" s="277"/>
      <c r="AA173" s="273"/>
      <c r="AB173" s="274"/>
      <c r="AC173" s="273"/>
      <c r="AD173" s="277"/>
      <c r="AE173" s="275"/>
      <c r="AF173" s="272"/>
      <c r="AG173" s="275"/>
      <c r="AH173" s="275"/>
      <c r="AI173" s="275"/>
      <c r="AJ173" s="272"/>
      <c r="AK173" s="276"/>
    </row>
    <row r="174" spans="1:37" ht="15.5" outlineLevel="1" x14ac:dyDescent="0.35">
      <c r="B174" s="269"/>
      <c r="C174" s="943"/>
      <c r="D174" s="250"/>
      <c r="E174" s="249"/>
      <c r="F174" s="909"/>
      <c r="G174" s="269"/>
      <c r="H174" s="270"/>
      <c r="I174" s="270"/>
      <c r="J174" s="271"/>
      <c r="K174" s="618"/>
      <c r="L174" s="249"/>
      <c r="M174" s="561"/>
      <c r="N174" s="982" t="str">
        <f>IFERROR(IF(E174=FAAS!$B$81,I174,VLOOKUP(E174,FAAS!$K$113:$L$134,2,FALSE)),"")</f>
        <v/>
      </c>
      <c r="O174" s="982" t="str">
        <f t="shared" si="6"/>
        <v/>
      </c>
      <c r="P174" s="982" t="str">
        <f>IFERROR(IF(VLOOKUP(B174,'Dados gerais'!$D$33:$F$35,3,FALSE)="",VLOOKUP('Outras emissões de processo'!B174,'Fatores de Emissão'!$B$12:$E$14,3, FALSE),VLOOKUP(B174,'Dados gerais'!$D$33:$F$35,3,FALSE)),"")</f>
        <v/>
      </c>
      <c r="Q174" s="270"/>
      <c r="R174" s="982" t="str">
        <f>IFERROR(IF(G174=FAAS!$K$135,'Outras emissões de processo'!I174,VLOOKUP(G174,FAAS!$B$63:$J$82,9,FALSE)),"")</f>
        <v/>
      </c>
      <c r="S174" s="982" t="str">
        <f t="shared" si="2"/>
        <v/>
      </c>
      <c r="T174" s="982" t="str">
        <f t="shared" si="3"/>
        <v/>
      </c>
      <c r="U174" s="572" t="str">
        <f>IFERROR(VLOOKUP(L174,FAAS!$A$142:$D$144,2,FALSE)*365*'Fatores de Emissão'!$E$248/1000,"")</f>
        <v/>
      </c>
      <c r="V174" s="572" t="str">
        <f t="shared" si="4"/>
        <v/>
      </c>
      <c r="W174" s="572" t="str">
        <f t="shared" si="5"/>
        <v/>
      </c>
      <c r="Z174" s="277"/>
      <c r="AA174" s="273"/>
      <c r="AB174" s="274"/>
      <c r="AC174" s="273"/>
      <c r="AD174" s="277"/>
      <c r="AE174" s="275"/>
      <c r="AF174" s="272"/>
      <c r="AG174" s="275"/>
      <c r="AH174" s="275"/>
      <c r="AI174" s="275"/>
      <c r="AJ174" s="272"/>
      <c r="AK174" s="276"/>
    </row>
    <row r="175" spans="1:37" ht="15.5" outlineLevel="1" x14ac:dyDescent="0.35">
      <c r="B175" s="269"/>
      <c r="C175" s="943"/>
      <c r="D175" s="250"/>
      <c r="E175" s="249"/>
      <c r="F175" s="909"/>
      <c r="G175" s="269"/>
      <c r="H175" s="270"/>
      <c r="I175" s="270"/>
      <c r="J175" s="271"/>
      <c r="K175" s="618"/>
      <c r="L175" s="249"/>
      <c r="M175" s="561"/>
      <c r="N175" s="982" t="str">
        <f>IFERROR(IF(E175=FAAS!$B$81,I175,VLOOKUP(E175,FAAS!$K$113:$L$134,2,FALSE)),"")</f>
        <v/>
      </c>
      <c r="O175" s="982" t="str">
        <f t="shared" si="6"/>
        <v/>
      </c>
      <c r="P175" s="982" t="str">
        <f>IFERROR(IF(VLOOKUP(B175,'Dados gerais'!$D$33:$F$35,3,FALSE)="",VLOOKUP('Outras emissões de processo'!B175,'Fatores de Emissão'!$B$12:$E$14,3, FALSE),VLOOKUP(B175,'Dados gerais'!$D$33:$F$35,3,FALSE)),"")</f>
        <v/>
      </c>
      <c r="Q175" s="270"/>
      <c r="R175" s="982" t="str">
        <f>IFERROR(IF(G175=FAAS!$K$135,'Outras emissões de processo'!I175,VLOOKUP(G175,FAAS!$B$63:$J$82,9,FALSE)),"")</f>
        <v/>
      </c>
      <c r="S175" s="982" t="str">
        <f t="shared" si="2"/>
        <v/>
      </c>
      <c r="T175" s="982" t="str">
        <f t="shared" si="3"/>
        <v/>
      </c>
      <c r="U175" s="572" t="str">
        <f>IFERROR(VLOOKUP(L175,FAAS!$A$142:$D$144,2,FALSE)*365*'Fatores de Emissão'!$E$248/1000,"")</f>
        <v/>
      </c>
      <c r="V175" s="572" t="str">
        <f t="shared" si="4"/>
        <v/>
      </c>
      <c r="W175" s="572" t="str">
        <f t="shared" si="5"/>
        <v/>
      </c>
      <c r="Z175" s="277"/>
      <c r="AA175" s="273"/>
      <c r="AB175" s="274"/>
      <c r="AC175" s="273"/>
      <c r="AD175" s="277"/>
      <c r="AE175" s="275"/>
      <c r="AF175" s="272"/>
      <c r="AG175" s="275"/>
      <c r="AH175" s="275"/>
      <c r="AI175" s="275"/>
      <c r="AJ175" s="272"/>
      <c r="AK175" s="276"/>
    </row>
    <row r="176" spans="1:37" ht="15.5" outlineLevel="1" x14ac:dyDescent="0.35">
      <c r="B176" s="269"/>
      <c r="C176" s="943"/>
      <c r="D176" s="250"/>
      <c r="E176" s="249"/>
      <c r="F176" s="909"/>
      <c r="G176" s="269"/>
      <c r="H176" s="270"/>
      <c r="I176" s="270"/>
      <c r="J176" s="271"/>
      <c r="K176" s="618"/>
      <c r="L176" s="249"/>
      <c r="M176" s="561"/>
      <c r="N176" s="982" t="str">
        <f>IFERROR(IF(E176=FAAS!$B$81,I176,VLOOKUP(E176,FAAS!$K$113:$L$134,2,FALSE)),"")</f>
        <v/>
      </c>
      <c r="O176" s="982" t="str">
        <f t="shared" si="6"/>
        <v/>
      </c>
      <c r="P176" s="982" t="str">
        <f>IFERROR(IF(VLOOKUP(B176,'Dados gerais'!$D$33:$F$35,3,FALSE)="",VLOOKUP('Outras emissões de processo'!B176,'Fatores de Emissão'!$B$12:$E$14,3, FALSE),VLOOKUP(B176,'Dados gerais'!$D$33:$F$35,3,FALSE)),"")</f>
        <v/>
      </c>
      <c r="Q176" s="270"/>
      <c r="R176" s="982" t="str">
        <f>IFERROR(IF(G176=FAAS!$K$135,'Outras emissões de processo'!I176,VLOOKUP(G176,FAAS!$B$63:$J$82,9,FALSE)),"")</f>
        <v/>
      </c>
      <c r="S176" s="982" t="str">
        <f t="shared" si="2"/>
        <v/>
      </c>
      <c r="T176" s="982" t="str">
        <f t="shared" si="3"/>
        <v/>
      </c>
      <c r="U176" s="572" t="str">
        <f>IFERROR(VLOOKUP(L176,FAAS!$A$142:$D$144,2,FALSE)*365*'Fatores de Emissão'!$E$248/1000,"")</f>
        <v/>
      </c>
      <c r="V176" s="572" t="str">
        <f t="shared" si="4"/>
        <v/>
      </c>
      <c r="W176" s="572" t="str">
        <f t="shared" si="5"/>
        <v/>
      </c>
      <c r="Z176" s="277"/>
      <c r="AA176" s="273"/>
      <c r="AB176" s="274"/>
      <c r="AC176" s="273"/>
      <c r="AD176" s="277"/>
      <c r="AE176" s="275"/>
      <c r="AF176" s="272"/>
      <c r="AG176" s="275"/>
      <c r="AH176" s="275"/>
      <c r="AI176" s="275"/>
      <c r="AJ176" s="272"/>
      <c r="AK176" s="276"/>
    </row>
    <row r="177" spans="2:37" ht="15.5" outlineLevel="1" x14ac:dyDescent="0.35">
      <c r="B177" s="269"/>
      <c r="C177" s="943"/>
      <c r="D177" s="250"/>
      <c r="E177" s="249"/>
      <c r="F177" s="909"/>
      <c r="G177" s="269"/>
      <c r="H177" s="270"/>
      <c r="I177" s="270"/>
      <c r="J177" s="271"/>
      <c r="K177" s="618"/>
      <c r="L177" s="249"/>
      <c r="M177" s="561"/>
      <c r="N177" s="982" t="str">
        <f>IFERROR(IF(E177=FAAS!$B$81,I177,VLOOKUP(E177,FAAS!$K$113:$L$134,2,FALSE)),"")</f>
        <v/>
      </c>
      <c r="O177" s="982" t="str">
        <f t="shared" si="6"/>
        <v/>
      </c>
      <c r="P177" s="982" t="str">
        <f>IFERROR(IF(VLOOKUP(B177,'Dados gerais'!$D$33:$F$35,3,FALSE)="",VLOOKUP('Outras emissões de processo'!B177,'Fatores de Emissão'!$B$12:$E$14,3, FALSE),VLOOKUP(B177,'Dados gerais'!$D$33:$F$35,3,FALSE)),"")</f>
        <v/>
      </c>
      <c r="Q177" s="270"/>
      <c r="R177" s="982" t="str">
        <f>IFERROR(IF(G177=FAAS!$K$135,'Outras emissões de processo'!I177,VLOOKUP(G177,FAAS!$B$63:$J$82,9,FALSE)),"")</f>
        <v/>
      </c>
      <c r="S177" s="982" t="str">
        <f t="shared" si="2"/>
        <v/>
      </c>
      <c r="T177" s="982" t="str">
        <f t="shared" si="3"/>
        <v/>
      </c>
      <c r="U177" s="572" t="str">
        <f>IFERROR(VLOOKUP(L177,FAAS!$A$142:$D$144,2,FALSE)*365*'Fatores de Emissão'!$E$248/1000,"")</f>
        <v/>
      </c>
      <c r="V177" s="572" t="str">
        <f t="shared" si="4"/>
        <v/>
      </c>
      <c r="W177" s="572" t="str">
        <f t="shared" si="5"/>
        <v/>
      </c>
      <c r="Z177" s="277"/>
      <c r="AA177" s="273"/>
      <c r="AB177" s="274"/>
      <c r="AC177" s="273"/>
      <c r="AD177" s="277"/>
      <c r="AE177" s="275"/>
      <c r="AF177" s="272"/>
      <c r="AG177" s="275"/>
      <c r="AH177" s="275"/>
      <c r="AI177" s="275"/>
      <c r="AJ177" s="272"/>
      <c r="AK177" s="276"/>
    </row>
    <row r="178" spans="2:37" ht="15.5" outlineLevel="2" x14ac:dyDescent="0.35">
      <c r="B178" s="269"/>
      <c r="C178" s="943"/>
      <c r="D178" s="250"/>
      <c r="E178" s="249"/>
      <c r="F178" s="909"/>
      <c r="G178" s="269"/>
      <c r="H178" s="270"/>
      <c r="I178" s="270"/>
      <c r="J178" s="271"/>
      <c r="K178" s="618"/>
      <c r="L178" s="249"/>
      <c r="M178" s="561"/>
      <c r="N178" s="982" t="str">
        <f>IFERROR(IF(E178=FAAS!$B$81,I178,VLOOKUP(E178,FAAS!$K$113:$L$134,2,FALSE)),"")</f>
        <v/>
      </c>
      <c r="O178" s="982" t="str">
        <f t="shared" si="6"/>
        <v/>
      </c>
      <c r="P178" s="982" t="str">
        <f>IFERROR(IF(VLOOKUP(B178,'Dados gerais'!$D$33:$F$35,3,FALSE)="",VLOOKUP('Outras emissões de processo'!B178,'Fatores de Emissão'!$B$12:$E$14,3, FALSE),VLOOKUP(B178,'Dados gerais'!$D$33:$F$35,3,FALSE)),"")</f>
        <v/>
      </c>
      <c r="Q178" s="270"/>
      <c r="R178" s="982" t="str">
        <f>IFERROR(IF(G178=FAAS!$K$135,'Outras emissões de processo'!I178,VLOOKUP(G178,FAAS!$B$63:$J$82,9,FALSE)),"")</f>
        <v/>
      </c>
      <c r="S178" s="982" t="str">
        <f t="shared" si="2"/>
        <v/>
      </c>
      <c r="T178" s="982" t="str">
        <f t="shared" si="3"/>
        <v/>
      </c>
      <c r="U178" s="572" t="str">
        <f>IFERROR(VLOOKUP(L178,FAAS!$A$142:$D$144,2,FALSE)*365*'Fatores de Emissão'!$E$248/1000,"")</f>
        <v/>
      </c>
      <c r="V178" s="572" t="str">
        <f t="shared" si="4"/>
        <v/>
      </c>
      <c r="W178" s="572" t="str">
        <f t="shared" si="5"/>
        <v/>
      </c>
      <c r="Z178" s="277"/>
      <c r="AA178" s="273"/>
      <c r="AB178" s="274"/>
      <c r="AC178" s="273"/>
      <c r="AD178" s="277"/>
      <c r="AE178" s="275"/>
      <c r="AF178" s="272"/>
      <c r="AG178" s="275"/>
      <c r="AH178" s="275"/>
      <c r="AI178" s="275"/>
      <c r="AJ178" s="272"/>
      <c r="AK178" s="276"/>
    </row>
    <row r="179" spans="2:37" ht="15.5" outlineLevel="2" x14ac:dyDescent="0.35">
      <c r="B179" s="269"/>
      <c r="C179" s="943"/>
      <c r="D179" s="250"/>
      <c r="E179" s="249"/>
      <c r="F179" s="909"/>
      <c r="G179" s="269"/>
      <c r="H179" s="270"/>
      <c r="I179" s="270"/>
      <c r="J179" s="271"/>
      <c r="K179" s="618"/>
      <c r="L179" s="249"/>
      <c r="M179" s="561"/>
      <c r="N179" s="982" t="str">
        <f>IFERROR(IF(E179=FAAS!$B$81,I179,VLOOKUP(E179,FAAS!$K$113:$L$134,2,FALSE)),"")</f>
        <v/>
      </c>
      <c r="O179" s="982" t="str">
        <f t="shared" si="6"/>
        <v/>
      </c>
      <c r="P179" s="982" t="str">
        <f>IFERROR(IF(VLOOKUP(B179,'Dados gerais'!$D$33:$F$35,3,FALSE)="",VLOOKUP('Outras emissões de processo'!B179,'Fatores de Emissão'!$B$12:$E$14,3, FALSE),VLOOKUP(B179,'Dados gerais'!$D$33:$F$35,3,FALSE)),"")</f>
        <v/>
      </c>
      <c r="Q179" s="270"/>
      <c r="R179" s="982" t="str">
        <f>IFERROR(IF(G179=FAAS!$K$135,'Outras emissões de processo'!I179,VLOOKUP(G179,FAAS!$B$63:$J$82,9,FALSE)),"")</f>
        <v/>
      </c>
      <c r="S179" s="982" t="str">
        <f t="shared" si="2"/>
        <v/>
      </c>
      <c r="T179" s="982" t="str">
        <f t="shared" si="3"/>
        <v/>
      </c>
      <c r="U179" s="572" t="str">
        <f>IFERROR(VLOOKUP(L179,FAAS!$A$142:$D$144,2,FALSE)*365*'Fatores de Emissão'!$E$248/1000,"")</f>
        <v/>
      </c>
      <c r="V179" s="572" t="str">
        <f t="shared" si="4"/>
        <v/>
      </c>
      <c r="W179" s="572" t="str">
        <f t="shared" si="5"/>
        <v/>
      </c>
      <c r="Z179" s="277"/>
      <c r="AA179" s="273"/>
      <c r="AB179" s="274"/>
      <c r="AC179" s="273"/>
      <c r="AD179" s="277"/>
      <c r="AE179" s="275"/>
      <c r="AF179" s="272"/>
      <c r="AG179" s="275"/>
      <c r="AH179" s="275"/>
      <c r="AI179" s="275"/>
      <c r="AJ179" s="272"/>
      <c r="AK179" s="276"/>
    </row>
    <row r="180" spans="2:37" ht="15.5" outlineLevel="2" x14ac:dyDescent="0.35">
      <c r="B180" s="269"/>
      <c r="C180" s="943"/>
      <c r="D180" s="250"/>
      <c r="E180" s="249"/>
      <c r="F180" s="909"/>
      <c r="G180" s="269"/>
      <c r="H180" s="270"/>
      <c r="I180" s="270"/>
      <c r="J180" s="271"/>
      <c r="K180" s="618"/>
      <c r="L180" s="249"/>
      <c r="M180" s="561"/>
      <c r="N180" s="982" t="str">
        <f>IFERROR(IF(E180=FAAS!$B$81,I180,VLOOKUP(E180,FAAS!$K$113:$L$134,2,FALSE)),"")</f>
        <v/>
      </c>
      <c r="O180" s="982" t="str">
        <f t="shared" si="6"/>
        <v/>
      </c>
      <c r="P180" s="982" t="str">
        <f>IFERROR(IF(VLOOKUP(B180,'Dados gerais'!$D$33:$F$35,3,FALSE)="",VLOOKUP('Outras emissões de processo'!B180,'Fatores de Emissão'!$B$12:$E$14,3, FALSE),VLOOKUP(B180,'Dados gerais'!$D$33:$F$35,3,FALSE)),"")</f>
        <v/>
      </c>
      <c r="Q180" s="270"/>
      <c r="R180" s="982" t="str">
        <f>IFERROR(IF(G180=FAAS!$K$135,'Outras emissões de processo'!I180,VLOOKUP(G180,FAAS!$B$63:$J$82,9,FALSE)),"")</f>
        <v/>
      </c>
      <c r="S180" s="982" t="str">
        <f t="shared" si="2"/>
        <v/>
      </c>
      <c r="T180" s="982" t="str">
        <f t="shared" si="3"/>
        <v/>
      </c>
      <c r="U180" s="572" t="str">
        <f>IFERROR(VLOOKUP(L180,FAAS!$A$142:$D$144,2,FALSE)*365*'Fatores de Emissão'!$E$248/1000,"")</f>
        <v/>
      </c>
      <c r="V180" s="572" t="str">
        <f t="shared" si="4"/>
        <v/>
      </c>
      <c r="W180" s="572" t="str">
        <f t="shared" si="5"/>
        <v/>
      </c>
      <c r="Z180" s="277"/>
      <c r="AA180" s="273"/>
      <c r="AB180" s="274"/>
      <c r="AC180" s="273"/>
      <c r="AD180" s="277"/>
      <c r="AE180" s="275"/>
      <c r="AF180" s="272"/>
      <c r="AG180" s="275"/>
      <c r="AH180" s="275"/>
      <c r="AI180" s="275"/>
      <c r="AJ180" s="272"/>
      <c r="AK180" s="276"/>
    </row>
    <row r="181" spans="2:37" ht="15.5" outlineLevel="2" x14ac:dyDescent="0.35">
      <c r="B181" s="269"/>
      <c r="C181" s="943"/>
      <c r="D181" s="250"/>
      <c r="E181" s="249"/>
      <c r="F181" s="909"/>
      <c r="G181" s="269"/>
      <c r="H181" s="270"/>
      <c r="I181" s="270"/>
      <c r="J181" s="271"/>
      <c r="K181" s="618"/>
      <c r="L181" s="249"/>
      <c r="M181" s="561"/>
      <c r="N181" s="982" t="str">
        <f>IFERROR(IF(E181=FAAS!$B$81,I181,VLOOKUP(E181,FAAS!$K$113:$L$134,2,FALSE)),"")</f>
        <v/>
      </c>
      <c r="O181" s="982" t="str">
        <f t="shared" si="6"/>
        <v/>
      </c>
      <c r="P181" s="982" t="str">
        <f>IFERROR(IF(VLOOKUP(B181,'Dados gerais'!$D$33:$F$35,3,FALSE)="",VLOOKUP('Outras emissões de processo'!B181,'Fatores de Emissão'!$B$12:$E$14,3, FALSE),VLOOKUP(B181,'Dados gerais'!$D$33:$F$35,3,FALSE)),"")</f>
        <v/>
      </c>
      <c r="Q181" s="270"/>
      <c r="R181" s="982" t="str">
        <f>IFERROR(IF(G181=FAAS!$K$135,'Outras emissões de processo'!I181,VLOOKUP(G181,FAAS!$B$63:$J$82,9,FALSE)),"")</f>
        <v/>
      </c>
      <c r="S181" s="982" t="str">
        <f t="shared" si="2"/>
        <v/>
      </c>
      <c r="T181" s="982" t="str">
        <f t="shared" si="3"/>
        <v/>
      </c>
      <c r="U181" s="572" t="str">
        <f>IFERROR(VLOOKUP(L181,FAAS!$A$142:$D$144,2,FALSE)*365*'Fatores de Emissão'!$E$248/1000,"")</f>
        <v/>
      </c>
      <c r="V181" s="572" t="str">
        <f t="shared" si="4"/>
        <v/>
      </c>
      <c r="W181" s="572" t="str">
        <f t="shared" si="5"/>
        <v/>
      </c>
      <c r="Z181" s="277"/>
      <c r="AA181" s="273"/>
      <c r="AB181" s="274"/>
      <c r="AC181" s="273"/>
      <c r="AD181" s="277"/>
      <c r="AE181" s="275"/>
      <c r="AF181" s="272"/>
      <c r="AG181" s="275"/>
      <c r="AH181" s="275"/>
      <c r="AI181" s="275"/>
      <c r="AJ181" s="272"/>
      <c r="AK181" s="276"/>
    </row>
    <row r="182" spans="2:37" ht="15.5" outlineLevel="2" x14ac:dyDescent="0.35">
      <c r="B182" s="269"/>
      <c r="C182" s="943"/>
      <c r="D182" s="250"/>
      <c r="E182" s="249"/>
      <c r="F182" s="909"/>
      <c r="G182" s="269"/>
      <c r="H182" s="270"/>
      <c r="I182" s="270"/>
      <c r="J182" s="271"/>
      <c r="K182" s="618"/>
      <c r="L182" s="249"/>
      <c r="M182" s="561"/>
      <c r="N182" s="982" t="str">
        <f>IFERROR(IF(E182=FAAS!$B$81,I182,VLOOKUP(E182,FAAS!$K$113:$L$134,2,FALSE)),"")</f>
        <v/>
      </c>
      <c r="O182" s="982" t="str">
        <f t="shared" si="6"/>
        <v/>
      </c>
      <c r="P182" s="982" t="str">
        <f>IFERROR(IF(VLOOKUP(B182,'Dados gerais'!$D$33:$F$35,3,FALSE)="",VLOOKUP('Outras emissões de processo'!B182,'Fatores de Emissão'!$B$12:$E$14,3, FALSE),VLOOKUP(B182,'Dados gerais'!$D$33:$F$35,3,FALSE)),"")</f>
        <v/>
      </c>
      <c r="Q182" s="270"/>
      <c r="R182" s="982" t="str">
        <f>IFERROR(IF(G182=FAAS!$K$135,'Outras emissões de processo'!I182,VLOOKUP(G182,FAAS!$B$63:$J$82,9,FALSE)),"")</f>
        <v/>
      </c>
      <c r="S182" s="982" t="str">
        <f t="shared" si="2"/>
        <v/>
      </c>
      <c r="T182" s="982" t="str">
        <f t="shared" si="3"/>
        <v/>
      </c>
      <c r="U182" s="572" t="str">
        <f>IFERROR(VLOOKUP(L182,FAAS!$A$142:$D$144,2,FALSE)*365*'Fatores de Emissão'!$E$248/1000,"")</f>
        <v/>
      </c>
      <c r="V182" s="572" t="str">
        <f t="shared" si="4"/>
        <v/>
      </c>
      <c r="W182" s="572" t="str">
        <f t="shared" si="5"/>
        <v/>
      </c>
      <c r="Z182" s="277"/>
      <c r="AA182" s="273"/>
      <c r="AB182" s="274"/>
      <c r="AC182" s="273"/>
      <c r="AD182" s="277"/>
      <c r="AE182" s="275"/>
      <c r="AF182" s="272"/>
      <c r="AG182" s="275"/>
      <c r="AH182" s="275"/>
      <c r="AI182" s="275"/>
      <c r="AJ182" s="272"/>
      <c r="AK182" s="276"/>
    </row>
    <row r="183" spans="2:37" ht="15.5" outlineLevel="2" x14ac:dyDescent="0.35">
      <c r="B183" s="269"/>
      <c r="C183" s="943"/>
      <c r="D183" s="250"/>
      <c r="E183" s="249"/>
      <c r="F183" s="909"/>
      <c r="G183" s="269"/>
      <c r="H183" s="270"/>
      <c r="I183" s="270"/>
      <c r="J183" s="271"/>
      <c r="K183" s="618"/>
      <c r="L183" s="249"/>
      <c r="M183" s="561"/>
      <c r="N183" s="982" t="str">
        <f>IFERROR(IF(E183=FAAS!$B$81,I183,VLOOKUP(E183,FAAS!$K$113:$L$134,2,FALSE)),"")</f>
        <v/>
      </c>
      <c r="O183" s="982" t="str">
        <f t="shared" si="6"/>
        <v/>
      </c>
      <c r="P183" s="982" t="str">
        <f>IFERROR(IF(VLOOKUP(B183,'Dados gerais'!$D$33:$F$35,3,FALSE)="",VLOOKUP('Outras emissões de processo'!B183,'Fatores de Emissão'!$B$12:$E$14,3, FALSE),VLOOKUP(B183,'Dados gerais'!$D$33:$F$35,3,FALSE)),"")</f>
        <v/>
      </c>
      <c r="Q183" s="270"/>
      <c r="R183" s="982" t="str">
        <f>IFERROR(IF(G183=FAAS!$K$135,'Outras emissões de processo'!I183,VLOOKUP(G183,FAAS!$B$63:$J$82,9,FALSE)),"")</f>
        <v/>
      </c>
      <c r="S183" s="982" t="str">
        <f t="shared" si="2"/>
        <v/>
      </c>
      <c r="T183" s="982" t="str">
        <f t="shared" si="3"/>
        <v/>
      </c>
      <c r="U183" s="572" t="str">
        <f>IFERROR(VLOOKUP(L183,FAAS!$A$142:$D$144,2,FALSE)*365*'Fatores de Emissão'!$E$248/1000,"")</f>
        <v/>
      </c>
      <c r="V183" s="572" t="str">
        <f t="shared" si="4"/>
        <v/>
      </c>
      <c r="W183" s="572" t="str">
        <f t="shared" si="5"/>
        <v/>
      </c>
      <c r="Z183" s="277"/>
      <c r="AA183" s="273"/>
      <c r="AB183" s="274"/>
      <c r="AC183" s="273"/>
      <c r="AD183" s="277"/>
      <c r="AE183" s="275"/>
      <c r="AF183" s="272"/>
      <c r="AG183" s="275"/>
      <c r="AH183" s="275"/>
      <c r="AI183" s="275"/>
      <c r="AJ183" s="272"/>
      <c r="AK183" s="276"/>
    </row>
    <row r="184" spans="2:37" ht="15.5" outlineLevel="2" x14ac:dyDescent="0.35">
      <c r="B184" s="269"/>
      <c r="C184" s="943"/>
      <c r="D184" s="250"/>
      <c r="E184" s="249"/>
      <c r="F184" s="909"/>
      <c r="G184" s="269"/>
      <c r="H184" s="270"/>
      <c r="I184" s="270"/>
      <c r="J184" s="271"/>
      <c r="K184" s="618"/>
      <c r="L184" s="249"/>
      <c r="M184" s="561"/>
      <c r="N184" s="982" t="str">
        <f>IFERROR(IF(E184=FAAS!$B$81,I184,VLOOKUP(E184,FAAS!$K$113:$L$134,2,FALSE)),"")</f>
        <v/>
      </c>
      <c r="O184" s="982" t="str">
        <f t="shared" si="6"/>
        <v/>
      </c>
      <c r="P184" s="982" t="str">
        <f>IFERROR(IF(VLOOKUP(B184,'Dados gerais'!$D$33:$F$35,3,FALSE)="",VLOOKUP('Outras emissões de processo'!B184,'Fatores de Emissão'!$B$12:$E$14,3, FALSE),VLOOKUP(B184,'Dados gerais'!$D$33:$F$35,3,FALSE)),"")</f>
        <v/>
      </c>
      <c r="Q184" s="270"/>
      <c r="R184" s="982" t="str">
        <f>IFERROR(IF(G184=FAAS!$K$135,'Outras emissões de processo'!I184,VLOOKUP(G184,FAAS!$B$63:$J$82,9,FALSE)),"")</f>
        <v/>
      </c>
      <c r="S184" s="982" t="str">
        <f t="shared" si="2"/>
        <v/>
      </c>
      <c r="T184" s="982" t="str">
        <f t="shared" si="3"/>
        <v/>
      </c>
      <c r="U184" s="572" t="str">
        <f>IFERROR(VLOOKUP(L184,FAAS!$A$142:$D$144,2,FALSE)*365*'Fatores de Emissão'!$E$248/1000,"")</f>
        <v/>
      </c>
      <c r="V184" s="572" t="str">
        <f t="shared" si="4"/>
        <v/>
      </c>
      <c r="W184" s="572" t="str">
        <f t="shared" si="5"/>
        <v/>
      </c>
      <c r="Z184" s="277"/>
      <c r="AA184" s="273"/>
      <c r="AB184" s="274"/>
      <c r="AC184" s="273"/>
      <c r="AD184" s="277"/>
      <c r="AE184" s="275"/>
      <c r="AF184" s="272"/>
      <c r="AG184" s="275"/>
      <c r="AH184" s="275"/>
      <c r="AI184" s="275"/>
      <c r="AJ184" s="272"/>
      <c r="AK184" s="276"/>
    </row>
    <row r="185" spans="2:37" ht="15.5" outlineLevel="2" x14ac:dyDescent="0.35">
      <c r="B185" s="269"/>
      <c r="C185" s="943"/>
      <c r="D185" s="250"/>
      <c r="E185" s="249"/>
      <c r="F185" s="909"/>
      <c r="G185" s="269"/>
      <c r="H185" s="270"/>
      <c r="I185" s="270"/>
      <c r="J185" s="271"/>
      <c r="K185" s="618"/>
      <c r="L185" s="249"/>
      <c r="M185" s="561"/>
      <c r="N185" s="982" t="str">
        <f>IFERROR(IF(E185=FAAS!$B$81,I185,VLOOKUP(E185,FAAS!$K$113:$L$134,2,FALSE)),"")</f>
        <v/>
      </c>
      <c r="O185" s="982" t="str">
        <f t="shared" si="6"/>
        <v/>
      </c>
      <c r="P185" s="982" t="str">
        <f>IFERROR(IF(VLOOKUP(B185,'Dados gerais'!$D$33:$F$35,3,FALSE)="",VLOOKUP('Outras emissões de processo'!B185,'Fatores de Emissão'!$B$12:$E$14,3, FALSE),VLOOKUP(B185,'Dados gerais'!$D$33:$F$35,3,FALSE)),"")</f>
        <v/>
      </c>
      <c r="Q185" s="270"/>
      <c r="R185" s="982" t="str">
        <f>IFERROR(IF(G185=FAAS!$K$135,'Outras emissões de processo'!I185,VLOOKUP(G185,FAAS!$B$63:$J$82,9,FALSE)),"")</f>
        <v/>
      </c>
      <c r="S185" s="982" t="str">
        <f t="shared" si="2"/>
        <v/>
      </c>
      <c r="T185" s="982" t="str">
        <f t="shared" si="3"/>
        <v/>
      </c>
      <c r="U185" s="572" t="str">
        <f>IFERROR(VLOOKUP(L185,FAAS!$A$142:$D$144,2,FALSE)*365*'Fatores de Emissão'!$E$248/1000,"")</f>
        <v/>
      </c>
      <c r="V185" s="572" t="str">
        <f t="shared" si="4"/>
        <v/>
      </c>
      <c r="W185" s="572" t="str">
        <f t="shared" si="5"/>
        <v/>
      </c>
      <c r="Z185" s="277"/>
      <c r="AA185" s="273"/>
      <c r="AB185" s="274"/>
      <c r="AC185" s="273"/>
      <c r="AD185" s="277"/>
      <c r="AE185" s="275"/>
      <c r="AF185" s="272"/>
      <c r="AG185" s="275"/>
      <c r="AH185" s="275"/>
      <c r="AI185" s="275"/>
      <c r="AJ185" s="272"/>
      <c r="AK185" s="276"/>
    </row>
    <row r="186" spans="2:37" ht="15.5" outlineLevel="2" x14ac:dyDescent="0.35">
      <c r="B186" s="269"/>
      <c r="C186" s="943"/>
      <c r="D186" s="250"/>
      <c r="E186" s="249"/>
      <c r="F186" s="909"/>
      <c r="G186" s="269"/>
      <c r="H186" s="270"/>
      <c r="I186" s="270"/>
      <c r="J186" s="271"/>
      <c r="K186" s="618"/>
      <c r="L186" s="249"/>
      <c r="M186" s="561"/>
      <c r="N186" s="982" t="str">
        <f>IFERROR(IF(E186=FAAS!$B$81,I186,VLOOKUP(E186,FAAS!$K$113:$L$134,2,FALSE)),"")</f>
        <v/>
      </c>
      <c r="O186" s="982" t="str">
        <f t="shared" si="6"/>
        <v/>
      </c>
      <c r="P186" s="982" t="str">
        <f>IFERROR(IF(VLOOKUP(B186,'Dados gerais'!$D$33:$F$35,3,FALSE)="",VLOOKUP('Outras emissões de processo'!B186,'Fatores de Emissão'!$B$12:$E$14,3, FALSE),VLOOKUP(B186,'Dados gerais'!$D$33:$F$35,3,FALSE)),"")</f>
        <v/>
      </c>
      <c r="Q186" s="270"/>
      <c r="R186" s="982" t="str">
        <f>IFERROR(IF(G186=FAAS!$K$135,'Outras emissões de processo'!I186,VLOOKUP(G186,FAAS!$B$63:$J$82,9,FALSE)),"")</f>
        <v/>
      </c>
      <c r="S186" s="982" t="str">
        <f t="shared" si="2"/>
        <v/>
      </c>
      <c r="T186" s="982" t="str">
        <f t="shared" si="3"/>
        <v/>
      </c>
      <c r="U186" s="572" t="str">
        <f>IFERROR(VLOOKUP(L186,FAAS!$A$142:$D$144,2,FALSE)*365*'Fatores de Emissão'!$E$248/1000,"")</f>
        <v/>
      </c>
      <c r="V186" s="572" t="str">
        <f t="shared" si="4"/>
        <v/>
      </c>
      <c r="W186" s="572" t="str">
        <f t="shared" si="5"/>
        <v/>
      </c>
      <c r="Z186" s="277"/>
      <c r="AA186" s="273"/>
      <c r="AB186" s="274"/>
      <c r="AC186" s="273"/>
      <c r="AD186" s="277"/>
      <c r="AE186" s="275"/>
      <c r="AF186" s="272"/>
      <c r="AG186" s="275"/>
      <c r="AH186" s="275"/>
      <c r="AI186" s="275"/>
      <c r="AJ186" s="272"/>
      <c r="AK186" s="276"/>
    </row>
    <row r="187" spans="2:37" ht="15.5" outlineLevel="2" x14ac:dyDescent="0.35">
      <c r="B187" s="269"/>
      <c r="C187" s="943"/>
      <c r="D187" s="250"/>
      <c r="E187" s="249"/>
      <c r="F187" s="909"/>
      <c r="G187" s="269"/>
      <c r="H187" s="270"/>
      <c r="I187" s="270"/>
      <c r="J187" s="271"/>
      <c r="K187" s="618"/>
      <c r="L187" s="249"/>
      <c r="M187" s="561"/>
      <c r="N187" s="982" t="str">
        <f>IFERROR(IF(E187=FAAS!$B$81,I187,VLOOKUP(E187,FAAS!$K$113:$L$134,2,FALSE)),"")</f>
        <v/>
      </c>
      <c r="O187" s="982" t="str">
        <f t="shared" si="6"/>
        <v/>
      </c>
      <c r="P187" s="982" t="str">
        <f>IFERROR(IF(VLOOKUP(B187,'Dados gerais'!$D$33:$F$35,3,FALSE)="",VLOOKUP('Outras emissões de processo'!B187,'Fatores de Emissão'!$B$12:$E$14,3, FALSE),VLOOKUP(B187,'Dados gerais'!$D$33:$F$35,3,FALSE)),"")</f>
        <v/>
      </c>
      <c r="Q187" s="270"/>
      <c r="R187" s="982" t="str">
        <f>IFERROR(IF(G187=FAAS!$K$135,'Outras emissões de processo'!I187,VLOOKUP(G187,FAAS!$B$63:$J$82,9,FALSE)),"")</f>
        <v/>
      </c>
      <c r="S187" s="982" t="str">
        <f t="shared" si="2"/>
        <v/>
      </c>
      <c r="T187" s="982" t="str">
        <f t="shared" si="3"/>
        <v/>
      </c>
      <c r="U187" s="572" t="str">
        <f>IFERROR(VLOOKUP(L187,FAAS!$A$142:$D$144,2,FALSE)*365*'Fatores de Emissão'!$E$248/1000,"")</f>
        <v/>
      </c>
      <c r="V187" s="572" t="str">
        <f t="shared" si="4"/>
        <v/>
      </c>
      <c r="W187" s="572" t="str">
        <f t="shared" si="5"/>
        <v/>
      </c>
      <c r="Z187" s="277"/>
      <c r="AA187" s="273"/>
      <c r="AB187" s="274"/>
      <c r="AC187" s="273"/>
      <c r="AD187" s="277"/>
      <c r="AE187" s="275"/>
      <c r="AF187" s="272"/>
      <c r="AG187" s="275"/>
      <c r="AH187" s="275"/>
      <c r="AI187" s="275"/>
      <c r="AJ187" s="272"/>
      <c r="AK187" s="276"/>
    </row>
    <row r="188" spans="2:37" ht="15.5" outlineLevel="2" x14ac:dyDescent="0.35">
      <c r="B188" s="269"/>
      <c r="C188" s="943"/>
      <c r="D188" s="250"/>
      <c r="E188" s="249"/>
      <c r="F188" s="909"/>
      <c r="G188" s="269"/>
      <c r="H188" s="270"/>
      <c r="I188" s="270"/>
      <c r="J188" s="271"/>
      <c r="K188" s="618"/>
      <c r="L188" s="249"/>
      <c r="M188" s="561"/>
      <c r="N188" s="982" t="str">
        <f>IFERROR(IF(E188=FAAS!$B$81,I188,VLOOKUP(E188,FAAS!$K$113:$L$134,2,FALSE)),"")</f>
        <v/>
      </c>
      <c r="O188" s="982" t="str">
        <f t="shared" si="6"/>
        <v/>
      </c>
      <c r="P188" s="982" t="str">
        <f>IFERROR(IF(VLOOKUP(B188,'Dados gerais'!$D$33:$F$35,3,FALSE)="",VLOOKUP('Outras emissões de processo'!B188,'Fatores de Emissão'!$B$12:$E$14,3, FALSE),VLOOKUP(B188,'Dados gerais'!$D$33:$F$35,3,FALSE)),"")</f>
        <v/>
      </c>
      <c r="Q188" s="270"/>
      <c r="R188" s="982" t="str">
        <f>IFERROR(IF(G188=FAAS!$K$135,'Outras emissões de processo'!I188,VLOOKUP(G188,FAAS!$B$63:$J$82,9,FALSE)),"")</f>
        <v/>
      </c>
      <c r="S188" s="982" t="str">
        <f t="shared" si="2"/>
        <v/>
      </c>
      <c r="T188" s="982" t="str">
        <f t="shared" si="3"/>
        <v/>
      </c>
      <c r="U188" s="572" t="str">
        <f>IFERROR(VLOOKUP(L188,FAAS!$A$142:$D$144,2,FALSE)*365*'Fatores de Emissão'!$E$248/1000,"")</f>
        <v/>
      </c>
      <c r="V188" s="572" t="str">
        <f t="shared" si="4"/>
        <v/>
      </c>
      <c r="W188" s="572" t="str">
        <f t="shared" si="5"/>
        <v/>
      </c>
      <c r="Z188" s="277"/>
      <c r="AA188" s="273"/>
      <c r="AB188" s="274"/>
      <c r="AC188" s="273"/>
      <c r="AD188" s="277"/>
      <c r="AE188" s="275"/>
      <c r="AF188" s="272"/>
      <c r="AG188" s="275"/>
      <c r="AH188" s="275"/>
      <c r="AI188" s="275"/>
      <c r="AJ188" s="272"/>
      <c r="AK188" s="276"/>
    </row>
    <row r="189" spans="2:37" ht="15.5" outlineLevel="2" x14ac:dyDescent="0.35">
      <c r="B189" s="269"/>
      <c r="C189" s="943"/>
      <c r="D189" s="250"/>
      <c r="E189" s="249"/>
      <c r="F189" s="909"/>
      <c r="G189" s="269"/>
      <c r="H189" s="270"/>
      <c r="I189" s="270"/>
      <c r="J189" s="271"/>
      <c r="K189" s="618"/>
      <c r="L189" s="249"/>
      <c r="M189" s="561"/>
      <c r="N189" s="982" t="str">
        <f>IFERROR(IF(E189=FAAS!$B$81,I189,VLOOKUP(E189,FAAS!$K$113:$L$134,2,FALSE)),"")</f>
        <v/>
      </c>
      <c r="O189" s="982" t="str">
        <f t="shared" si="6"/>
        <v/>
      </c>
      <c r="P189" s="982" t="str">
        <f>IFERROR(IF(VLOOKUP(B189,'Dados gerais'!$D$33:$F$35,3,FALSE)="",VLOOKUP('Outras emissões de processo'!B189,'Fatores de Emissão'!$B$12:$E$14,3, FALSE),VLOOKUP(B189,'Dados gerais'!$D$33:$F$35,3,FALSE)),"")</f>
        <v/>
      </c>
      <c r="Q189" s="270"/>
      <c r="R189" s="982" t="str">
        <f>IFERROR(IF(G189=FAAS!$K$135,'Outras emissões de processo'!I189,VLOOKUP(G189,FAAS!$B$63:$J$82,9,FALSE)),"")</f>
        <v/>
      </c>
      <c r="S189" s="982" t="str">
        <f t="shared" si="2"/>
        <v/>
      </c>
      <c r="T189" s="982" t="str">
        <f t="shared" si="3"/>
        <v/>
      </c>
      <c r="U189" s="572" t="str">
        <f>IFERROR(VLOOKUP(L189,FAAS!$A$142:$D$144,2,FALSE)*365*'Fatores de Emissão'!$E$248/1000,"")</f>
        <v/>
      </c>
      <c r="V189" s="572" t="str">
        <f t="shared" si="4"/>
        <v/>
      </c>
      <c r="W189" s="572" t="str">
        <f t="shared" si="5"/>
        <v/>
      </c>
      <c r="Z189" s="277"/>
      <c r="AA189" s="273"/>
      <c r="AB189" s="274"/>
      <c r="AC189" s="273"/>
      <c r="AD189" s="277"/>
      <c r="AE189" s="275"/>
      <c r="AF189" s="272"/>
      <c r="AG189" s="275"/>
      <c r="AH189" s="275"/>
      <c r="AI189" s="275"/>
      <c r="AJ189" s="272"/>
      <c r="AK189" s="276"/>
    </row>
    <row r="190" spans="2:37" ht="15.5" outlineLevel="2" x14ac:dyDescent="0.35">
      <c r="B190" s="269"/>
      <c r="C190" s="943"/>
      <c r="D190" s="250"/>
      <c r="E190" s="249"/>
      <c r="F190" s="909"/>
      <c r="G190" s="269"/>
      <c r="H190" s="270"/>
      <c r="I190" s="270"/>
      <c r="J190" s="271"/>
      <c r="K190" s="618"/>
      <c r="L190" s="249"/>
      <c r="M190" s="561"/>
      <c r="N190" s="982" t="str">
        <f>IFERROR(IF(E190=FAAS!$B$81,I190,VLOOKUP(E190,FAAS!$K$113:$L$134,2,FALSE)),"")</f>
        <v/>
      </c>
      <c r="O190" s="982" t="str">
        <f t="shared" si="6"/>
        <v/>
      </c>
      <c r="P190" s="982" t="str">
        <f>IFERROR(IF(VLOOKUP(B190,'Dados gerais'!$D$33:$F$35,3,FALSE)="",VLOOKUP('Outras emissões de processo'!B190,'Fatores de Emissão'!$B$12:$E$14,3, FALSE),VLOOKUP(B190,'Dados gerais'!$D$33:$F$35,3,FALSE)),"")</f>
        <v/>
      </c>
      <c r="Q190" s="270"/>
      <c r="R190" s="982" t="str">
        <f>IFERROR(IF(G190=FAAS!$K$135,'Outras emissões de processo'!I190,VLOOKUP(G190,FAAS!$B$63:$J$82,9,FALSE)),"")</f>
        <v/>
      </c>
      <c r="S190" s="982" t="str">
        <f t="shared" si="2"/>
        <v/>
      </c>
      <c r="T190" s="982" t="str">
        <f t="shared" si="3"/>
        <v/>
      </c>
      <c r="U190" s="572" t="str">
        <f>IFERROR(VLOOKUP(L190,FAAS!$A$142:$D$144,2,FALSE)*365*'Fatores de Emissão'!$E$248/1000,"")</f>
        <v/>
      </c>
      <c r="V190" s="572" t="str">
        <f t="shared" si="4"/>
        <v/>
      </c>
      <c r="W190" s="572" t="str">
        <f t="shared" si="5"/>
        <v/>
      </c>
      <c r="Z190" s="277"/>
      <c r="AA190" s="273"/>
      <c r="AB190" s="274"/>
      <c r="AC190" s="273"/>
      <c r="AD190" s="277"/>
      <c r="AE190" s="275"/>
      <c r="AF190" s="272"/>
      <c r="AG190" s="275"/>
      <c r="AH190" s="275"/>
      <c r="AI190" s="275"/>
      <c r="AJ190" s="272"/>
      <c r="AK190" s="276"/>
    </row>
    <row r="191" spans="2:37" ht="15.5" outlineLevel="2" x14ac:dyDescent="0.35">
      <c r="B191" s="269"/>
      <c r="C191" s="943"/>
      <c r="D191" s="250"/>
      <c r="E191" s="249"/>
      <c r="F191" s="909"/>
      <c r="G191" s="269"/>
      <c r="H191" s="270"/>
      <c r="I191" s="270"/>
      <c r="J191" s="271"/>
      <c r="K191" s="618"/>
      <c r="L191" s="249"/>
      <c r="M191" s="561"/>
      <c r="N191" s="982" t="str">
        <f>IFERROR(IF(E191=FAAS!$B$81,I191,VLOOKUP(E191,FAAS!$K$113:$L$134,2,FALSE)),"")</f>
        <v/>
      </c>
      <c r="O191" s="982" t="str">
        <f t="shared" si="6"/>
        <v/>
      </c>
      <c r="P191" s="982" t="str">
        <f>IFERROR(IF(VLOOKUP(B191,'Dados gerais'!$D$33:$F$35,3,FALSE)="",VLOOKUP('Outras emissões de processo'!B191,'Fatores de Emissão'!$B$12:$E$14,3, FALSE),VLOOKUP(B191,'Dados gerais'!$D$33:$F$35,3,FALSE)),"")</f>
        <v/>
      </c>
      <c r="Q191" s="270"/>
      <c r="R191" s="982" t="str">
        <f>IFERROR(IF(G191=FAAS!$K$135,'Outras emissões de processo'!I191,VLOOKUP(G191,FAAS!$B$63:$J$82,9,FALSE)),"")</f>
        <v/>
      </c>
      <c r="S191" s="982" t="str">
        <f t="shared" si="2"/>
        <v/>
      </c>
      <c r="T191" s="982" t="str">
        <f t="shared" si="3"/>
        <v/>
      </c>
      <c r="U191" s="572" t="str">
        <f>IFERROR(VLOOKUP(L191,FAAS!$A$142:$D$144,2,FALSE)*365*'Fatores de Emissão'!$E$248/1000,"")</f>
        <v/>
      </c>
      <c r="V191" s="572" t="str">
        <f t="shared" si="4"/>
        <v/>
      </c>
      <c r="W191" s="572" t="str">
        <f t="shared" si="5"/>
        <v/>
      </c>
      <c r="Z191" s="277"/>
      <c r="AA191" s="273"/>
      <c r="AB191" s="274"/>
      <c r="AC191" s="273"/>
      <c r="AD191" s="277"/>
      <c r="AE191" s="275"/>
      <c r="AF191" s="272"/>
      <c r="AG191" s="275"/>
      <c r="AH191" s="275"/>
      <c r="AI191" s="275"/>
      <c r="AJ191" s="272"/>
      <c r="AK191" s="276"/>
    </row>
    <row r="192" spans="2:37" ht="15.5" outlineLevel="2" x14ac:dyDescent="0.35">
      <c r="B192" s="269"/>
      <c r="C192" s="943"/>
      <c r="D192" s="250"/>
      <c r="E192" s="249"/>
      <c r="F192" s="909"/>
      <c r="G192" s="269"/>
      <c r="H192" s="270"/>
      <c r="I192" s="270"/>
      <c r="J192" s="271"/>
      <c r="K192" s="618"/>
      <c r="L192" s="249"/>
      <c r="M192" s="561"/>
      <c r="N192" s="982" t="str">
        <f>IFERROR(IF(E192=FAAS!$B$81,I192,VLOOKUP(E192,FAAS!$K$113:$L$134,2,FALSE)),"")</f>
        <v/>
      </c>
      <c r="O192" s="982" t="str">
        <f t="shared" si="6"/>
        <v/>
      </c>
      <c r="P192" s="982" t="str">
        <f>IFERROR(IF(VLOOKUP(B192,'Dados gerais'!$D$33:$F$35,3,FALSE)="",VLOOKUP('Outras emissões de processo'!B192,'Fatores de Emissão'!$B$12:$E$14,3, FALSE),VLOOKUP(B192,'Dados gerais'!$D$33:$F$35,3,FALSE)),"")</f>
        <v/>
      </c>
      <c r="Q192" s="270"/>
      <c r="R192" s="982" t="str">
        <f>IFERROR(IF(G192=FAAS!$K$135,'Outras emissões de processo'!I192,VLOOKUP(G192,FAAS!$B$63:$J$82,9,FALSE)),"")</f>
        <v/>
      </c>
      <c r="S192" s="982" t="str">
        <f t="shared" si="2"/>
        <v/>
      </c>
      <c r="T192" s="982" t="str">
        <f t="shared" si="3"/>
        <v/>
      </c>
      <c r="U192" s="572" t="str">
        <f>IFERROR(VLOOKUP(L192,FAAS!$A$142:$D$144,2,FALSE)*365*'Fatores de Emissão'!$E$248/1000,"")</f>
        <v/>
      </c>
      <c r="V192" s="572" t="str">
        <f t="shared" si="4"/>
        <v/>
      </c>
      <c r="W192" s="572" t="str">
        <f t="shared" si="5"/>
        <v/>
      </c>
      <c r="Z192" s="277"/>
      <c r="AA192" s="273"/>
      <c r="AB192" s="274"/>
      <c r="AC192" s="273"/>
      <c r="AD192" s="277"/>
      <c r="AE192" s="275"/>
      <c r="AF192" s="272"/>
      <c r="AG192" s="275"/>
      <c r="AH192" s="275"/>
      <c r="AI192" s="275"/>
      <c r="AJ192" s="272"/>
      <c r="AK192" s="276"/>
    </row>
    <row r="193" spans="2:37" ht="15.5" outlineLevel="2" x14ac:dyDescent="0.35">
      <c r="B193" s="269"/>
      <c r="C193" s="943"/>
      <c r="D193" s="250"/>
      <c r="E193" s="249"/>
      <c r="F193" s="909"/>
      <c r="G193" s="269"/>
      <c r="H193" s="270"/>
      <c r="I193" s="270"/>
      <c r="J193" s="271"/>
      <c r="K193" s="618"/>
      <c r="L193" s="249"/>
      <c r="M193" s="561"/>
      <c r="N193" s="982" t="str">
        <f>IFERROR(IF(E193=FAAS!$B$81,I193,VLOOKUP(E193,FAAS!$K$113:$L$134,2,FALSE)),"")</f>
        <v/>
      </c>
      <c r="O193" s="982" t="str">
        <f t="shared" si="6"/>
        <v/>
      </c>
      <c r="P193" s="982" t="str">
        <f>IFERROR(IF(VLOOKUP(B193,'Dados gerais'!$D$33:$F$35,3,FALSE)="",VLOOKUP('Outras emissões de processo'!B193,'Fatores de Emissão'!$B$12:$E$14,3, FALSE),VLOOKUP(B193,'Dados gerais'!$D$33:$F$35,3,FALSE)),"")</f>
        <v/>
      </c>
      <c r="Q193" s="270"/>
      <c r="R193" s="982" t="str">
        <f>IFERROR(IF(G193=FAAS!$K$135,'Outras emissões de processo'!I193,VLOOKUP(G193,FAAS!$B$63:$J$82,9,FALSE)),"")</f>
        <v/>
      </c>
      <c r="S193" s="982" t="str">
        <f t="shared" si="2"/>
        <v/>
      </c>
      <c r="T193" s="982" t="str">
        <f t="shared" si="3"/>
        <v/>
      </c>
      <c r="U193" s="572" t="str">
        <f>IFERROR(VLOOKUP(L193,FAAS!$A$142:$D$144,2,FALSE)*365*'Fatores de Emissão'!$E$248/1000,"")</f>
        <v/>
      </c>
      <c r="V193" s="572" t="str">
        <f t="shared" si="4"/>
        <v/>
      </c>
      <c r="W193" s="572" t="str">
        <f t="shared" si="5"/>
        <v/>
      </c>
      <c r="Z193" s="277"/>
      <c r="AA193" s="273"/>
      <c r="AB193" s="274"/>
      <c r="AC193" s="273"/>
      <c r="AD193" s="277"/>
      <c r="AE193" s="275"/>
      <c r="AF193" s="272"/>
      <c r="AG193" s="275"/>
      <c r="AH193" s="275"/>
      <c r="AI193" s="275"/>
      <c r="AJ193" s="272"/>
      <c r="AK193" s="276"/>
    </row>
    <row r="194" spans="2:37" ht="15.5" outlineLevel="2" x14ac:dyDescent="0.35">
      <c r="B194" s="269"/>
      <c r="C194" s="943"/>
      <c r="D194" s="250"/>
      <c r="E194" s="249"/>
      <c r="F194" s="909"/>
      <c r="G194" s="269"/>
      <c r="H194" s="270"/>
      <c r="I194" s="270"/>
      <c r="J194" s="271"/>
      <c r="K194" s="618"/>
      <c r="L194" s="249"/>
      <c r="M194" s="561"/>
      <c r="N194" s="982" t="str">
        <f>IFERROR(IF(E194=FAAS!$B$81,I194,VLOOKUP(E194,FAAS!$K$113:$L$134,2,FALSE)),"")</f>
        <v/>
      </c>
      <c r="O194" s="982" t="str">
        <f t="shared" si="6"/>
        <v/>
      </c>
      <c r="P194" s="982" t="str">
        <f>IFERROR(IF(VLOOKUP(B194,'Dados gerais'!$D$33:$F$35,3,FALSE)="",VLOOKUP('Outras emissões de processo'!B194,'Fatores de Emissão'!$B$12:$E$14,3, FALSE),VLOOKUP(B194,'Dados gerais'!$D$33:$F$35,3,FALSE)),"")</f>
        <v/>
      </c>
      <c r="Q194" s="270"/>
      <c r="R194" s="982" t="str">
        <f>IFERROR(IF(G194=FAAS!$K$135,'Outras emissões de processo'!I194,VLOOKUP(G194,FAAS!$B$63:$J$82,9,FALSE)),"")</f>
        <v/>
      </c>
      <c r="S194" s="982" t="str">
        <f t="shared" si="2"/>
        <v/>
      </c>
      <c r="T194" s="982" t="str">
        <f t="shared" si="3"/>
        <v/>
      </c>
      <c r="U194" s="572" t="str">
        <f>IFERROR(VLOOKUP(L194,FAAS!$A$142:$D$144,2,FALSE)*365*'Fatores de Emissão'!$E$248/1000,"")</f>
        <v/>
      </c>
      <c r="V194" s="572" t="str">
        <f t="shared" si="4"/>
        <v/>
      </c>
      <c r="W194" s="572" t="str">
        <f t="shared" si="5"/>
        <v/>
      </c>
      <c r="Z194" s="277"/>
      <c r="AA194" s="273"/>
      <c r="AB194" s="274"/>
      <c r="AC194" s="273"/>
      <c r="AD194" s="277"/>
      <c r="AE194" s="275"/>
      <c r="AF194" s="272"/>
      <c r="AG194" s="275"/>
      <c r="AH194" s="275"/>
      <c r="AI194" s="275"/>
      <c r="AJ194" s="272"/>
      <c r="AK194" s="276"/>
    </row>
    <row r="195" spans="2:37" ht="15.5" outlineLevel="2" x14ac:dyDescent="0.35">
      <c r="B195" s="269"/>
      <c r="C195" s="943"/>
      <c r="D195" s="250"/>
      <c r="E195" s="249"/>
      <c r="F195" s="909"/>
      <c r="G195" s="269"/>
      <c r="H195" s="270"/>
      <c r="I195" s="270"/>
      <c r="J195" s="271"/>
      <c r="K195" s="618"/>
      <c r="L195" s="249"/>
      <c r="M195" s="561"/>
      <c r="N195" s="982" t="str">
        <f>IFERROR(IF(E195=FAAS!$B$81,I195,VLOOKUP(E195,FAAS!$K$113:$L$134,2,FALSE)),"")</f>
        <v/>
      </c>
      <c r="O195" s="982" t="str">
        <f t="shared" si="6"/>
        <v/>
      </c>
      <c r="P195" s="982" t="str">
        <f>IFERROR(IF(VLOOKUP(B195,'Dados gerais'!$D$33:$F$35,3,FALSE)="",VLOOKUP('Outras emissões de processo'!B195,'Fatores de Emissão'!$B$12:$E$14,3, FALSE),VLOOKUP(B195,'Dados gerais'!$D$33:$F$35,3,FALSE)),"")</f>
        <v/>
      </c>
      <c r="Q195" s="270"/>
      <c r="R195" s="982" t="str">
        <f>IFERROR(IF(G195=FAAS!$K$135,'Outras emissões de processo'!I195,VLOOKUP(G195,FAAS!$B$63:$J$82,9,FALSE)),"")</f>
        <v/>
      </c>
      <c r="S195" s="982" t="str">
        <f t="shared" si="2"/>
        <v/>
      </c>
      <c r="T195" s="982" t="str">
        <f t="shared" si="3"/>
        <v/>
      </c>
      <c r="U195" s="572" t="str">
        <f>IFERROR(VLOOKUP(L195,FAAS!$A$142:$D$144,2,FALSE)*365*'Fatores de Emissão'!$E$248/1000,"")</f>
        <v/>
      </c>
      <c r="V195" s="572" t="str">
        <f t="shared" si="4"/>
        <v/>
      </c>
      <c r="W195" s="572" t="str">
        <f t="shared" si="5"/>
        <v/>
      </c>
      <c r="Z195" s="277"/>
      <c r="AA195" s="273"/>
      <c r="AB195" s="274"/>
      <c r="AC195" s="273"/>
      <c r="AD195" s="277"/>
      <c r="AE195" s="275"/>
      <c r="AF195" s="272"/>
      <c r="AG195" s="275"/>
      <c r="AH195" s="275"/>
      <c r="AI195" s="275"/>
      <c r="AJ195" s="272"/>
      <c r="AK195" s="276"/>
    </row>
    <row r="196" spans="2:37" ht="15.5" outlineLevel="2" x14ac:dyDescent="0.35">
      <c r="B196" s="269"/>
      <c r="C196" s="943"/>
      <c r="D196" s="250"/>
      <c r="E196" s="249"/>
      <c r="F196" s="909"/>
      <c r="G196" s="269"/>
      <c r="H196" s="270"/>
      <c r="I196" s="270"/>
      <c r="J196" s="271"/>
      <c r="K196" s="618"/>
      <c r="L196" s="249"/>
      <c r="M196" s="561"/>
      <c r="N196" s="982" t="str">
        <f>IFERROR(IF(E196=FAAS!$B$81,I196,VLOOKUP(E196,FAAS!$K$113:$L$134,2,FALSE)),"")</f>
        <v/>
      </c>
      <c r="O196" s="982" t="str">
        <f t="shared" si="6"/>
        <v/>
      </c>
      <c r="P196" s="982" t="str">
        <f>IFERROR(IF(VLOOKUP(B196,'Dados gerais'!$D$33:$F$35,3,FALSE)="",VLOOKUP('Outras emissões de processo'!B196,'Fatores de Emissão'!$B$12:$E$14,3, FALSE),VLOOKUP(B196,'Dados gerais'!$D$33:$F$35,3,FALSE)),"")</f>
        <v/>
      </c>
      <c r="Q196" s="270"/>
      <c r="R196" s="982" t="str">
        <f>IFERROR(IF(G196=FAAS!$K$135,'Outras emissões de processo'!I196,VLOOKUP(G196,FAAS!$B$63:$J$82,9,FALSE)),"")</f>
        <v/>
      </c>
      <c r="S196" s="982" t="str">
        <f t="shared" si="2"/>
        <v/>
      </c>
      <c r="T196" s="982" t="str">
        <f t="shared" si="3"/>
        <v/>
      </c>
      <c r="U196" s="572" t="str">
        <f>IFERROR(VLOOKUP(L196,FAAS!$A$142:$D$144,2,FALSE)*365*'Fatores de Emissão'!$E$248/1000,"")</f>
        <v/>
      </c>
      <c r="V196" s="572" t="str">
        <f t="shared" si="4"/>
        <v/>
      </c>
      <c r="W196" s="572" t="str">
        <f t="shared" si="5"/>
        <v/>
      </c>
      <c r="Z196" s="277"/>
      <c r="AA196" s="273"/>
      <c r="AB196" s="274"/>
      <c r="AC196" s="273"/>
      <c r="AD196" s="277"/>
      <c r="AE196" s="275"/>
      <c r="AF196" s="272"/>
      <c r="AG196" s="275"/>
      <c r="AH196" s="275"/>
      <c r="AI196" s="275"/>
      <c r="AJ196" s="272"/>
      <c r="AK196" s="276"/>
    </row>
    <row r="197" spans="2:37" ht="15.5" outlineLevel="2" x14ac:dyDescent="0.35">
      <c r="B197" s="269"/>
      <c r="C197" s="943"/>
      <c r="D197" s="250"/>
      <c r="E197" s="249"/>
      <c r="F197" s="909"/>
      <c r="G197" s="269"/>
      <c r="H197" s="270"/>
      <c r="I197" s="270"/>
      <c r="J197" s="271"/>
      <c r="K197" s="618"/>
      <c r="L197" s="249"/>
      <c r="M197" s="561"/>
      <c r="N197" s="982" t="str">
        <f>IFERROR(IF(E197=FAAS!$B$81,I197,VLOOKUP(E197,FAAS!$K$113:$L$134,2,FALSE)),"")</f>
        <v/>
      </c>
      <c r="O197" s="982" t="str">
        <f t="shared" si="6"/>
        <v/>
      </c>
      <c r="P197" s="982" t="str">
        <f>IFERROR(IF(VLOOKUP(B197,'Dados gerais'!$D$33:$F$35,3,FALSE)="",VLOOKUP('Outras emissões de processo'!B197,'Fatores de Emissão'!$B$12:$E$14,3, FALSE),VLOOKUP(B197,'Dados gerais'!$D$33:$F$35,3,FALSE)),"")</f>
        <v/>
      </c>
      <c r="Q197" s="270"/>
      <c r="R197" s="982" t="str">
        <f>IFERROR(IF(G197=FAAS!$K$135,'Outras emissões de processo'!I197,VLOOKUP(G197,FAAS!$B$63:$J$82,9,FALSE)),"")</f>
        <v/>
      </c>
      <c r="S197" s="982" t="str">
        <f t="shared" si="2"/>
        <v/>
      </c>
      <c r="T197" s="982" t="str">
        <f t="shared" si="3"/>
        <v/>
      </c>
      <c r="U197" s="572" t="str">
        <f>IFERROR(VLOOKUP(L197,FAAS!$A$142:$D$144,2,FALSE)*365*'Fatores de Emissão'!$E$248/1000,"")</f>
        <v/>
      </c>
      <c r="V197" s="572" t="str">
        <f t="shared" si="4"/>
        <v/>
      </c>
      <c r="W197" s="572" t="str">
        <f t="shared" si="5"/>
        <v/>
      </c>
      <c r="Z197" s="277"/>
      <c r="AA197" s="273"/>
      <c r="AB197" s="274"/>
      <c r="AC197" s="273"/>
      <c r="AD197" s="277"/>
      <c r="AE197" s="275"/>
      <c r="AF197" s="272"/>
      <c r="AG197" s="275"/>
      <c r="AH197" s="275"/>
      <c r="AI197" s="275"/>
      <c r="AJ197" s="272"/>
      <c r="AK197" s="276"/>
    </row>
    <row r="198" spans="2:37" ht="15.5" outlineLevel="2" x14ac:dyDescent="0.35">
      <c r="B198" s="269"/>
      <c r="C198" s="943"/>
      <c r="D198" s="250"/>
      <c r="E198" s="249"/>
      <c r="F198" s="909"/>
      <c r="G198" s="269"/>
      <c r="H198" s="270"/>
      <c r="I198" s="270"/>
      <c r="J198" s="271"/>
      <c r="K198" s="618"/>
      <c r="L198" s="249"/>
      <c r="M198" s="561"/>
      <c r="N198" s="982" t="str">
        <f>IFERROR(IF(E198=FAAS!$B$81,I198,VLOOKUP(E198,FAAS!$K$113:$L$134,2,FALSE)),"")</f>
        <v/>
      </c>
      <c r="O198" s="982" t="str">
        <f t="shared" si="6"/>
        <v/>
      </c>
      <c r="P198" s="982" t="str">
        <f>IFERROR(IF(VLOOKUP(B198,'Dados gerais'!$D$33:$F$35,3,FALSE)="",VLOOKUP('Outras emissões de processo'!B198,'Fatores de Emissão'!$B$12:$E$14,3, FALSE),VLOOKUP(B198,'Dados gerais'!$D$33:$F$35,3,FALSE)),"")</f>
        <v/>
      </c>
      <c r="Q198" s="270"/>
      <c r="R198" s="982" t="str">
        <f>IFERROR(IF(G198=FAAS!$K$135,'Outras emissões de processo'!I198,VLOOKUP(G198,FAAS!$B$63:$J$82,9,FALSE)),"")</f>
        <v/>
      </c>
      <c r="S198" s="982" t="str">
        <f t="shared" si="2"/>
        <v/>
      </c>
      <c r="T198" s="982" t="str">
        <f t="shared" si="3"/>
        <v/>
      </c>
      <c r="U198" s="572" t="str">
        <f>IFERROR(VLOOKUP(L198,FAAS!$A$142:$D$144,2,FALSE)*365*'Fatores de Emissão'!$E$248/1000,"")</f>
        <v/>
      </c>
      <c r="V198" s="572" t="str">
        <f t="shared" si="4"/>
        <v/>
      </c>
      <c r="W198" s="572" t="str">
        <f t="shared" si="5"/>
        <v/>
      </c>
      <c r="Z198" s="277"/>
      <c r="AA198" s="273"/>
      <c r="AB198" s="274"/>
      <c r="AC198" s="273"/>
      <c r="AD198" s="277"/>
      <c r="AE198" s="275"/>
      <c r="AF198" s="272"/>
      <c r="AG198" s="275"/>
      <c r="AH198" s="275"/>
      <c r="AI198" s="275"/>
      <c r="AJ198" s="272"/>
      <c r="AK198" s="276"/>
    </row>
    <row r="199" spans="2:37" ht="15.5" outlineLevel="2" x14ac:dyDescent="0.35">
      <c r="B199" s="269"/>
      <c r="C199" s="943"/>
      <c r="D199" s="250"/>
      <c r="E199" s="249"/>
      <c r="F199" s="909"/>
      <c r="G199" s="269"/>
      <c r="H199" s="270"/>
      <c r="I199" s="270"/>
      <c r="J199" s="271"/>
      <c r="K199" s="618"/>
      <c r="L199" s="249"/>
      <c r="M199" s="561"/>
      <c r="N199" s="982" t="str">
        <f>IFERROR(IF(E199=FAAS!$B$81,I199,VLOOKUP(E199,FAAS!$K$113:$L$134,2,FALSE)),"")</f>
        <v/>
      </c>
      <c r="O199" s="982" t="str">
        <f t="shared" si="6"/>
        <v/>
      </c>
      <c r="P199" s="982" t="str">
        <f>IFERROR(IF(VLOOKUP(B199,'Dados gerais'!$D$33:$F$35,3,FALSE)="",VLOOKUP('Outras emissões de processo'!B199,'Fatores de Emissão'!$B$12:$E$14,3, FALSE),VLOOKUP(B199,'Dados gerais'!$D$33:$F$35,3,FALSE)),"")</f>
        <v/>
      </c>
      <c r="Q199" s="270"/>
      <c r="R199" s="982" t="str">
        <f>IFERROR(IF(G199=FAAS!$K$135,'Outras emissões de processo'!I199,VLOOKUP(G199,FAAS!$B$63:$J$82,9,FALSE)),"")</f>
        <v/>
      </c>
      <c r="S199" s="982" t="str">
        <f t="shared" si="2"/>
        <v/>
      </c>
      <c r="T199" s="982" t="str">
        <f t="shared" si="3"/>
        <v/>
      </c>
      <c r="U199" s="572" t="str">
        <f>IFERROR(VLOOKUP(L199,FAAS!$A$142:$D$144,2,FALSE)*365*'Fatores de Emissão'!$E$248/1000,"")</f>
        <v/>
      </c>
      <c r="V199" s="572" t="str">
        <f t="shared" si="4"/>
        <v/>
      </c>
      <c r="W199" s="572" t="str">
        <f t="shared" si="5"/>
        <v/>
      </c>
      <c r="Z199" s="277"/>
      <c r="AA199" s="273"/>
      <c r="AB199" s="274"/>
      <c r="AC199" s="273"/>
      <c r="AD199" s="277"/>
      <c r="AE199" s="275"/>
      <c r="AF199" s="272"/>
      <c r="AG199" s="275"/>
      <c r="AH199" s="275"/>
      <c r="AI199" s="275"/>
      <c r="AJ199" s="272"/>
      <c r="AK199" s="276"/>
    </row>
    <row r="200" spans="2:37" ht="15.5" outlineLevel="2" x14ac:dyDescent="0.35">
      <c r="B200" s="269"/>
      <c r="C200" s="943"/>
      <c r="D200" s="250"/>
      <c r="E200" s="249"/>
      <c r="F200" s="909"/>
      <c r="G200" s="269"/>
      <c r="H200" s="270"/>
      <c r="I200" s="270"/>
      <c r="J200" s="271"/>
      <c r="K200" s="618"/>
      <c r="L200" s="249"/>
      <c r="M200" s="561"/>
      <c r="N200" s="982" t="str">
        <f>IFERROR(IF(E200=FAAS!$B$81,I200,VLOOKUP(E200,FAAS!$K$113:$L$134,2,FALSE)),"")</f>
        <v/>
      </c>
      <c r="O200" s="982" t="str">
        <f t="shared" si="6"/>
        <v/>
      </c>
      <c r="P200" s="982" t="str">
        <f>IFERROR(IF(VLOOKUP(B200,'Dados gerais'!$D$33:$F$35,3,FALSE)="",VLOOKUP('Outras emissões de processo'!B200,'Fatores de Emissão'!$B$12:$E$14,3, FALSE),VLOOKUP(B200,'Dados gerais'!$D$33:$F$35,3,FALSE)),"")</f>
        <v/>
      </c>
      <c r="Q200" s="270"/>
      <c r="R200" s="982" t="str">
        <f>IFERROR(IF(G200=FAAS!$K$135,'Outras emissões de processo'!I200,VLOOKUP(G200,FAAS!$B$63:$J$82,9,FALSE)),"")</f>
        <v/>
      </c>
      <c r="S200" s="982" t="str">
        <f t="shared" si="2"/>
        <v/>
      </c>
      <c r="T200" s="982" t="str">
        <f t="shared" si="3"/>
        <v/>
      </c>
      <c r="U200" s="572" t="str">
        <f>IFERROR(VLOOKUP(L200,FAAS!$A$142:$D$144,2,FALSE)*365*'Fatores de Emissão'!$E$248/1000,"")</f>
        <v/>
      </c>
      <c r="V200" s="572" t="str">
        <f t="shared" si="4"/>
        <v/>
      </c>
      <c r="W200" s="572" t="str">
        <f t="shared" si="5"/>
        <v/>
      </c>
      <c r="Z200" s="277"/>
      <c r="AA200" s="273"/>
      <c r="AB200" s="274"/>
      <c r="AC200" s="273"/>
      <c r="AD200" s="277"/>
      <c r="AE200" s="275"/>
      <c r="AF200" s="272"/>
      <c r="AG200" s="275"/>
      <c r="AH200" s="275"/>
      <c r="AI200" s="275"/>
      <c r="AJ200" s="272"/>
      <c r="AK200" s="276"/>
    </row>
    <row r="201" spans="2:37" ht="15.5" outlineLevel="2" x14ac:dyDescent="0.35">
      <c r="B201" s="269"/>
      <c r="C201" s="943"/>
      <c r="D201" s="250"/>
      <c r="E201" s="249"/>
      <c r="F201" s="909"/>
      <c r="G201" s="269"/>
      <c r="H201" s="270"/>
      <c r="I201" s="270"/>
      <c r="J201" s="271"/>
      <c r="K201" s="618"/>
      <c r="L201" s="249"/>
      <c r="M201" s="561"/>
      <c r="N201" s="982" t="str">
        <f>IFERROR(IF(E201=FAAS!$B$81,I201,VLOOKUP(E201,FAAS!$K$113:$L$134,2,FALSE)),"")</f>
        <v/>
      </c>
      <c r="O201" s="982" t="str">
        <f t="shared" si="6"/>
        <v/>
      </c>
      <c r="P201" s="982" t="str">
        <f>IFERROR(IF(VLOOKUP(B201,'Dados gerais'!$D$33:$F$35,3,FALSE)="",VLOOKUP('Outras emissões de processo'!B201,'Fatores de Emissão'!$B$12:$E$14,3, FALSE),VLOOKUP(B201,'Dados gerais'!$D$33:$F$35,3,FALSE)),"")</f>
        <v/>
      </c>
      <c r="Q201" s="270"/>
      <c r="R201" s="982" t="str">
        <f>IFERROR(IF(G201=FAAS!$K$135,'Outras emissões de processo'!I201,VLOOKUP(G201,FAAS!$B$63:$J$82,9,FALSE)),"")</f>
        <v/>
      </c>
      <c r="S201" s="982" t="str">
        <f t="shared" si="2"/>
        <v/>
      </c>
      <c r="T201" s="982" t="str">
        <f t="shared" si="3"/>
        <v/>
      </c>
      <c r="U201" s="572" t="str">
        <f>IFERROR(VLOOKUP(L201,FAAS!$A$142:$D$144,2,FALSE)*365*'Fatores de Emissão'!$E$248/1000,"")</f>
        <v/>
      </c>
      <c r="V201" s="572" t="str">
        <f t="shared" si="4"/>
        <v/>
      </c>
      <c r="W201" s="572" t="str">
        <f t="shared" si="5"/>
        <v/>
      </c>
      <c r="Z201" s="277"/>
      <c r="AA201" s="273"/>
      <c r="AB201" s="274"/>
      <c r="AC201" s="273"/>
      <c r="AD201" s="277"/>
      <c r="AE201" s="275"/>
      <c r="AF201" s="272"/>
      <c r="AG201" s="275"/>
      <c r="AH201" s="275"/>
      <c r="AI201" s="275"/>
      <c r="AJ201" s="272"/>
      <c r="AK201" s="276"/>
    </row>
    <row r="202" spans="2:37" ht="15.5" outlineLevel="2" x14ac:dyDescent="0.35">
      <c r="B202" s="269"/>
      <c r="C202" s="943"/>
      <c r="D202" s="250"/>
      <c r="E202" s="249"/>
      <c r="F202" s="909"/>
      <c r="G202" s="269"/>
      <c r="H202" s="270"/>
      <c r="I202" s="270"/>
      <c r="J202" s="271"/>
      <c r="K202" s="618"/>
      <c r="L202" s="249"/>
      <c r="M202" s="561"/>
      <c r="N202" s="982" t="str">
        <f>IFERROR(IF(E202=FAAS!$B$81,I202,VLOOKUP(E202,FAAS!$K$113:$L$134,2,FALSE)),"")</f>
        <v/>
      </c>
      <c r="O202" s="982" t="str">
        <f t="shared" si="6"/>
        <v/>
      </c>
      <c r="P202" s="982" t="str">
        <f>IFERROR(IF(VLOOKUP(B202,'Dados gerais'!$D$33:$F$35,3,FALSE)="",VLOOKUP('Outras emissões de processo'!B202,'Fatores de Emissão'!$B$12:$E$14,3, FALSE),VLOOKUP(B202,'Dados gerais'!$D$33:$F$35,3,FALSE)),"")</f>
        <v/>
      </c>
      <c r="Q202" s="270"/>
      <c r="R202" s="982" t="str">
        <f>IFERROR(IF(G202=FAAS!$K$135,'Outras emissões de processo'!I202,VLOOKUP(G202,FAAS!$B$63:$J$82,9,FALSE)),"")</f>
        <v/>
      </c>
      <c r="S202" s="982" t="str">
        <f t="shared" si="2"/>
        <v/>
      </c>
      <c r="T202" s="982" t="str">
        <f t="shared" si="3"/>
        <v/>
      </c>
      <c r="U202" s="572" t="str">
        <f>IFERROR(VLOOKUP(L202,FAAS!$A$142:$D$144,2,FALSE)*365*'Fatores de Emissão'!$E$248/1000,"")</f>
        <v/>
      </c>
      <c r="V202" s="572" t="str">
        <f t="shared" si="4"/>
        <v/>
      </c>
      <c r="W202" s="572" t="str">
        <f t="shared" si="5"/>
        <v/>
      </c>
      <c r="Z202" s="277"/>
      <c r="AA202" s="273"/>
      <c r="AB202" s="274"/>
      <c r="AC202" s="273"/>
      <c r="AD202" s="277"/>
      <c r="AE202" s="275"/>
      <c r="AF202" s="272"/>
      <c r="AG202" s="275"/>
      <c r="AH202" s="275"/>
      <c r="AI202" s="275"/>
      <c r="AJ202" s="272"/>
      <c r="AK202" s="276"/>
    </row>
    <row r="203" spans="2:37" ht="15.5" outlineLevel="2" x14ac:dyDescent="0.35">
      <c r="B203" s="269"/>
      <c r="C203" s="943"/>
      <c r="D203" s="250"/>
      <c r="E203" s="249"/>
      <c r="F203" s="909"/>
      <c r="G203" s="269"/>
      <c r="H203" s="270"/>
      <c r="I203" s="270"/>
      <c r="J203" s="271"/>
      <c r="K203" s="618"/>
      <c r="L203" s="249"/>
      <c r="M203" s="561"/>
      <c r="N203" s="982" t="str">
        <f>IFERROR(IF(E203=FAAS!$B$81,I203,VLOOKUP(E203,FAAS!$K$113:$L$134,2,FALSE)),"")</f>
        <v/>
      </c>
      <c r="O203" s="982" t="str">
        <f t="shared" si="6"/>
        <v/>
      </c>
      <c r="P203" s="982" t="str">
        <f>IFERROR(IF(VLOOKUP(B203,'Dados gerais'!$D$33:$F$35,3,FALSE)="",VLOOKUP('Outras emissões de processo'!B203,'Fatores de Emissão'!$B$12:$E$14,3, FALSE),VLOOKUP(B203,'Dados gerais'!$D$33:$F$35,3,FALSE)),"")</f>
        <v/>
      </c>
      <c r="Q203" s="270"/>
      <c r="R203" s="982" t="str">
        <f>IFERROR(IF(G203=FAAS!$K$135,'Outras emissões de processo'!I203,VLOOKUP(G203,FAAS!$B$63:$J$82,9,FALSE)),"")</f>
        <v/>
      </c>
      <c r="S203" s="982" t="str">
        <f t="shared" si="2"/>
        <v/>
      </c>
      <c r="T203" s="982" t="str">
        <f t="shared" si="3"/>
        <v/>
      </c>
      <c r="U203" s="572" t="str">
        <f>IFERROR(VLOOKUP(L203,FAAS!$A$142:$D$144,2,FALSE)*365*'Fatores de Emissão'!$E$248/1000,"")</f>
        <v/>
      </c>
      <c r="V203" s="572" t="str">
        <f t="shared" si="4"/>
        <v/>
      </c>
      <c r="W203" s="572" t="str">
        <f t="shared" si="5"/>
        <v/>
      </c>
      <c r="Z203" s="277"/>
      <c r="AA203" s="273"/>
      <c r="AB203" s="274"/>
      <c r="AC203" s="273"/>
      <c r="AD203" s="277"/>
      <c r="AE203" s="275"/>
      <c r="AF203" s="272"/>
      <c r="AG203" s="275"/>
      <c r="AH203" s="275"/>
      <c r="AI203" s="275"/>
      <c r="AJ203" s="272"/>
      <c r="AK203" s="276"/>
    </row>
    <row r="204" spans="2:37" ht="15.5" outlineLevel="2" x14ac:dyDescent="0.35">
      <c r="B204" s="269"/>
      <c r="C204" s="943"/>
      <c r="D204" s="250"/>
      <c r="E204" s="249"/>
      <c r="F204" s="909"/>
      <c r="G204" s="269"/>
      <c r="H204" s="270"/>
      <c r="I204" s="270"/>
      <c r="J204" s="271"/>
      <c r="K204" s="618"/>
      <c r="L204" s="249"/>
      <c r="M204" s="561"/>
      <c r="N204" s="982" t="str">
        <f>IFERROR(IF(E204=FAAS!$B$81,I204,VLOOKUP(E204,FAAS!$K$113:$L$134,2,FALSE)),"")</f>
        <v/>
      </c>
      <c r="O204" s="982" t="str">
        <f t="shared" si="6"/>
        <v/>
      </c>
      <c r="P204" s="982" t="str">
        <f>IFERROR(IF(VLOOKUP(B204,'Dados gerais'!$D$33:$F$35,3,FALSE)="",VLOOKUP('Outras emissões de processo'!B204,'Fatores de Emissão'!$B$12:$E$14,3, FALSE),VLOOKUP(B204,'Dados gerais'!$D$33:$F$35,3,FALSE)),"")</f>
        <v/>
      </c>
      <c r="Q204" s="270"/>
      <c r="R204" s="982" t="str">
        <f>IFERROR(IF(G204=FAAS!$K$135,'Outras emissões de processo'!I204,VLOOKUP(G204,FAAS!$B$63:$J$82,9,FALSE)),"")</f>
        <v/>
      </c>
      <c r="S204" s="982" t="str">
        <f t="shared" si="2"/>
        <v/>
      </c>
      <c r="T204" s="982" t="str">
        <f t="shared" si="3"/>
        <v/>
      </c>
      <c r="U204" s="572" t="str">
        <f>IFERROR(VLOOKUP(L204,FAAS!$A$142:$D$144,2,FALSE)*365*'Fatores de Emissão'!$E$248/1000,"")</f>
        <v/>
      </c>
      <c r="V204" s="572" t="str">
        <f t="shared" si="4"/>
        <v/>
      </c>
      <c r="W204" s="572" t="str">
        <f t="shared" si="5"/>
        <v/>
      </c>
      <c r="Z204" s="277"/>
      <c r="AA204" s="273"/>
      <c r="AB204" s="274"/>
      <c r="AC204" s="273"/>
      <c r="AD204" s="277"/>
      <c r="AE204" s="275"/>
      <c r="AF204" s="272"/>
      <c r="AG204" s="275"/>
      <c r="AH204" s="275"/>
      <c r="AI204" s="275"/>
      <c r="AJ204" s="272"/>
      <c r="AK204" s="276"/>
    </row>
    <row r="205" spans="2:37" ht="15.5" outlineLevel="2" x14ac:dyDescent="0.35">
      <c r="B205" s="269"/>
      <c r="C205" s="943"/>
      <c r="D205" s="250"/>
      <c r="E205" s="249"/>
      <c r="F205" s="909"/>
      <c r="G205" s="269"/>
      <c r="H205" s="270"/>
      <c r="I205" s="270"/>
      <c r="J205" s="271"/>
      <c r="K205" s="618"/>
      <c r="L205" s="249"/>
      <c r="M205" s="561"/>
      <c r="N205" s="982" t="str">
        <f>IFERROR(IF(E205=FAAS!$B$81,I205,VLOOKUP(E205,FAAS!$K$113:$L$134,2,FALSE)),"")</f>
        <v/>
      </c>
      <c r="O205" s="982" t="str">
        <f t="shared" si="6"/>
        <v/>
      </c>
      <c r="P205" s="982" t="str">
        <f>IFERROR(IF(VLOOKUP(B205,'Dados gerais'!$D$33:$F$35,3,FALSE)="",VLOOKUP('Outras emissões de processo'!B205,'Fatores de Emissão'!$B$12:$E$14,3, FALSE),VLOOKUP(B205,'Dados gerais'!$D$33:$F$35,3,FALSE)),"")</f>
        <v/>
      </c>
      <c r="Q205" s="270"/>
      <c r="R205" s="982" t="str">
        <f>IFERROR(IF(G205=FAAS!$K$135,'Outras emissões de processo'!I205,VLOOKUP(G205,FAAS!$B$63:$J$82,9,FALSE)),"")</f>
        <v/>
      </c>
      <c r="S205" s="982" t="str">
        <f t="shared" si="2"/>
        <v/>
      </c>
      <c r="T205" s="982" t="str">
        <f t="shared" si="3"/>
        <v/>
      </c>
      <c r="U205" s="572" t="str">
        <f>IFERROR(VLOOKUP(L205,FAAS!$A$142:$D$144,2,FALSE)*365*'Fatores de Emissão'!$E$248/1000,"")</f>
        <v/>
      </c>
      <c r="V205" s="572" t="str">
        <f t="shared" si="4"/>
        <v/>
      </c>
      <c r="W205" s="572" t="str">
        <f t="shared" si="5"/>
        <v/>
      </c>
      <c r="Z205" s="277"/>
      <c r="AA205" s="273"/>
      <c r="AB205" s="274"/>
      <c r="AC205" s="273"/>
      <c r="AD205" s="277"/>
      <c r="AE205" s="275"/>
      <c r="AF205" s="272"/>
      <c r="AG205" s="275"/>
      <c r="AH205" s="275"/>
      <c r="AI205" s="275"/>
      <c r="AJ205" s="272"/>
      <c r="AK205" s="276"/>
    </row>
    <row r="206" spans="2:37" ht="15.5" outlineLevel="2" x14ac:dyDescent="0.35">
      <c r="B206" s="269"/>
      <c r="C206" s="943"/>
      <c r="D206" s="250"/>
      <c r="E206" s="249"/>
      <c r="F206" s="909"/>
      <c r="G206" s="269"/>
      <c r="H206" s="270"/>
      <c r="I206" s="270"/>
      <c r="J206" s="271"/>
      <c r="K206" s="618"/>
      <c r="L206" s="249"/>
      <c r="M206" s="561"/>
      <c r="N206" s="982" t="str">
        <f>IFERROR(IF(E206=FAAS!$B$81,I206,VLOOKUP(E206,FAAS!$K$113:$L$134,2,FALSE)),"")</f>
        <v/>
      </c>
      <c r="O206" s="982" t="str">
        <f t="shared" si="6"/>
        <v/>
      </c>
      <c r="P206" s="982" t="str">
        <f>IFERROR(IF(VLOOKUP(B206,'Dados gerais'!$D$33:$F$35,3,FALSE)="",VLOOKUP('Outras emissões de processo'!B206,'Fatores de Emissão'!$B$12:$E$14,3, FALSE),VLOOKUP(B206,'Dados gerais'!$D$33:$F$35,3,FALSE)),"")</f>
        <v/>
      </c>
      <c r="Q206" s="270"/>
      <c r="R206" s="982" t="str">
        <f>IFERROR(IF(G206=FAAS!$K$135,'Outras emissões de processo'!I206,VLOOKUP(G206,FAAS!$B$63:$J$82,9,FALSE)),"")</f>
        <v/>
      </c>
      <c r="S206" s="982" t="str">
        <f t="shared" si="2"/>
        <v/>
      </c>
      <c r="T206" s="982" t="str">
        <f t="shared" si="3"/>
        <v/>
      </c>
      <c r="U206" s="572" t="str">
        <f>IFERROR(VLOOKUP(L206,FAAS!$A$142:$D$144,2,FALSE)*365*'Fatores de Emissão'!$E$248/1000,"")</f>
        <v/>
      </c>
      <c r="V206" s="572" t="str">
        <f t="shared" si="4"/>
        <v/>
      </c>
      <c r="W206" s="572" t="str">
        <f t="shared" si="5"/>
        <v/>
      </c>
      <c r="Z206" s="277"/>
      <c r="AA206" s="273"/>
      <c r="AB206" s="274"/>
      <c r="AC206" s="273"/>
      <c r="AD206" s="277"/>
      <c r="AE206" s="275"/>
      <c r="AF206" s="272"/>
      <c r="AG206" s="275"/>
      <c r="AH206" s="275"/>
      <c r="AI206" s="275"/>
      <c r="AJ206" s="272"/>
      <c r="AK206" s="276"/>
    </row>
    <row r="207" spans="2:37" ht="15.5" outlineLevel="2" x14ac:dyDescent="0.35">
      <c r="B207" s="269"/>
      <c r="C207" s="943"/>
      <c r="D207" s="250"/>
      <c r="E207" s="249"/>
      <c r="F207" s="909"/>
      <c r="G207" s="269"/>
      <c r="H207" s="270"/>
      <c r="I207" s="270"/>
      <c r="J207" s="271"/>
      <c r="K207" s="618"/>
      <c r="L207" s="249"/>
      <c r="M207" s="561"/>
      <c r="N207" s="982" t="str">
        <f>IFERROR(IF(E207=FAAS!$B$81,I207,VLOOKUP(E207,FAAS!$K$113:$L$134,2,FALSE)),"")</f>
        <v/>
      </c>
      <c r="O207" s="982" t="str">
        <f t="shared" si="6"/>
        <v/>
      </c>
      <c r="P207" s="982" t="str">
        <f>IFERROR(IF(VLOOKUP(B207,'Dados gerais'!$D$33:$F$35,3,FALSE)="",VLOOKUP('Outras emissões de processo'!B207,'Fatores de Emissão'!$B$12:$E$14,3, FALSE),VLOOKUP(B207,'Dados gerais'!$D$33:$F$35,3,FALSE)),"")</f>
        <v/>
      </c>
      <c r="Q207" s="270"/>
      <c r="R207" s="982" t="str">
        <f>IFERROR(IF(G207=FAAS!$K$135,'Outras emissões de processo'!I207,VLOOKUP(G207,FAAS!$B$63:$J$82,9,FALSE)),"")</f>
        <v/>
      </c>
      <c r="S207" s="982" t="str">
        <f t="shared" si="2"/>
        <v/>
      </c>
      <c r="T207" s="982" t="str">
        <f t="shared" si="3"/>
        <v/>
      </c>
      <c r="U207" s="572" t="str">
        <f>IFERROR(VLOOKUP(L207,FAAS!$A$142:$D$144,2,FALSE)*365*'Fatores de Emissão'!$E$248/1000,"")</f>
        <v/>
      </c>
      <c r="V207" s="572" t="str">
        <f t="shared" si="4"/>
        <v/>
      </c>
      <c r="W207" s="572" t="str">
        <f t="shared" si="5"/>
        <v/>
      </c>
      <c r="Z207" s="277"/>
      <c r="AA207" s="273"/>
      <c r="AB207" s="274"/>
      <c r="AC207" s="273"/>
      <c r="AD207" s="277"/>
      <c r="AE207" s="275"/>
      <c r="AF207" s="272"/>
      <c r="AG207" s="275"/>
      <c r="AH207" s="275"/>
      <c r="AI207" s="275"/>
      <c r="AJ207" s="272"/>
      <c r="AK207" s="276"/>
    </row>
    <row r="208" spans="2:37" ht="15.5" outlineLevel="2" x14ac:dyDescent="0.35">
      <c r="B208" s="269"/>
      <c r="C208" s="943"/>
      <c r="D208" s="250"/>
      <c r="E208" s="249"/>
      <c r="F208" s="909"/>
      <c r="G208" s="269"/>
      <c r="H208" s="270"/>
      <c r="I208" s="270"/>
      <c r="J208" s="271"/>
      <c r="K208" s="618"/>
      <c r="L208" s="249"/>
      <c r="M208" s="561"/>
      <c r="N208" s="982" t="str">
        <f>IFERROR(IF(E208=FAAS!$B$81,I208,VLOOKUP(E208,FAAS!$K$113:$L$134,2,FALSE)),"")</f>
        <v/>
      </c>
      <c r="O208" s="982" t="str">
        <f t="shared" si="6"/>
        <v/>
      </c>
      <c r="P208" s="982" t="str">
        <f>IFERROR(IF(VLOOKUP(B208,'Dados gerais'!$D$33:$F$35,3,FALSE)="",VLOOKUP('Outras emissões de processo'!B208,'Fatores de Emissão'!$B$12:$E$14,3, FALSE),VLOOKUP(B208,'Dados gerais'!$D$33:$F$35,3,FALSE)),"")</f>
        <v/>
      </c>
      <c r="Q208" s="270"/>
      <c r="R208" s="982" t="str">
        <f>IFERROR(IF(G208=FAAS!$K$135,'Outras emissões de processo'!I208,VLOOKUP(G208,FAAS!$B$63:$J$82,9,FALSE)),"")</f>
        <v/>
      </c>
      <c r="S208" s="982" t="str">
        <f t="shared" si="2"/>
        <v/>
      </c>
      <c r="T208" s="982" t="str">
        <f t="shared" si="3"/>
        <v/>
      </c>
      <c r="U208" s="572" t="str">
        <f>IFERROR(VLOOKUP(L208,FAAS!$A$142:$D$144,2,FALSE)*365*'Fatores de Emissão'!$E$248/1000,"")</f>
        <v/>
      </c>
      <c r="V208" s="572" t="str">
        <f t="shared" si="4"/>
        <v/>
      </c>
      <c r="W208" s="572" t="str">
        <f t="shared" si="5"/>
        <v/>
      </c>
      <c r="Z208" s="277"/>
      <c r="AA208" s="273"/>
      <c r="AB208" s="274"/>
      <c r="AC208" s="273"/>
      <c r="AD208" s="277"/>
      <c r="AE208" s="275"/>
      <c r="AF208" s="272"/>
      <c r="AG208" s="275"/>
      <c r="AH208" s="275"/>
      <c r="AI208" s="275"/>
      <c r="AJ208" s="272"/>
      <c r="AK208" s="276"/>
    </row>
    <row r="209" spans="2:37" ht="15.5" outlineLevel="2" x14ac:dyDescent="0.35">
      <c r="B209" s="269"/>
      <c r="C209" s="943"/>
      <c r="D209" s="250"/>
      <c r="E209" s="249"/>
      <c r="F209" s="909"/>
      <c r="G209" s="269"/>
      <c r="H209" s="270"/>
      <c r="I209" s="270"/>
      <c r="J209" s="271"/>
      <c r="K209" s="618"/>
      <c r="L209" s="249"/>
      <c r="M209" s="561"/>
      <c r="N209" s="982" t="str">
        <f>IFERROR(IF(E209=FAAS!$B$81,I209,VLOOKUP(E209,FAAS!$K$113:$L$134,2,FALSE)),"")</f>
        <v/>
      </c>
      <c r="O209" s="982" t="str">
        <f t="shared" si="6"/>
        <v/>
      </c>
      <c r="P209" s="982" t="str">
        <f>IFERROR(IF(VLOOKUP(B209,'Dados gerais'!$D$33:$F$35,3,FALSE)="",VLOOKUP('Outras emissões de processo'!B209,'Fatores de Emissão'!$B$12:$E$14,3, FALSE),VLOOKUP(B209,'Dados gerais'!$D$33:$F$35,3,FALSE)),"")</f>
        <v/>
      </c>
      <c r="Q209" s="270"/>
      <c r="R209" s="982" t="str">
        <f>IFERROR(IF(G209=FAAS!$K$135,'Outras emissões de processo'!I209,VLOOKUP(G209,FAAS!$B$63:$J$82,9,FALSE)),"")</f>
        <v/>
      </c>
      <c r="S209" s="982" t="str">
        <f t="shared" si="2"/>
        <v/>
      </c>
      <c r="T209" s="982" t="str">
        <f t="shared" si="3"/>
        <v/>
      </c>
      <c r="U209" s="572" t="str">
        <f>IFERROR(VLOOKUP(L209,FAAS!$A$142:$D$144,2,FALSE)*365*'Fatores de Emissão'!$E$248/1000,"")</f>
        <v/>
      </c>
      <c r="V209" s="572" t="str">
        <f t="shared" si="4"/>
        <v/>
      </c>
      <c r="W209" s="572" t="str">
        <f t="shared" si="5"/>
        <v/>
      </c>
      <c r="Z209" s="277"/>
      <c r="AA209" s="273"/>
      <c r="AB209" s="274"/>
      <c r="AC209" s="273"/>
      <c r="AD209" s="277"/>
      <c r="AE209" s="275"/>
      <c r="AF209" s="272"/>
      <c r="AG209" s="275"/>
      <c r="AH209" s="275"/>
      <c r="AI209" s="275"/>
      <c r="AJ209" s="272"/>
      <c r="AK209" s="276"/>
    </row>
    <row r="210" spans="2:37" ht="15.5" outlineLevel="2" x14ac:dyDescent="0.35">
      <c r="B210" s="269"/>
      <c r="C210" s="943"/>
      <c r="D210" s="250"/>
      <c r="E210" s="249"/>
      <c r="F210" s="909"/>
      <c r="G210" s="269"/>
      <c r="H210" s="270"/>
      <c r="I210" s="270"/>
      <c r="J210" s="271"/>
      <c r="K210" s="618"/>
      <c r="L210" s="249"/>
      <c r="M210" s="561"/>
      <c r="N210" s="982" t="str">
        <f>IFERROR(IF(E210=FAAS!$B$81,I210,VLOOKUP(E210,FAAS!$K$113:$L$134,2,FALSE)),"")</f>
        <v/>
      </c>
      <c r="O210" s="982" t="str">
        <f t="shared" si="6"/>
        <v/>
      </c>
      <c r="P210" s="982" t="str">
        <f>IFERROR(IF(VLOOKUP(B210,'Dados gerais'!$D$33:$F$35,3,FALSE)="",VLOOKUP('Outras emissões de processo'!B210,'Fatores de Emissão'!$B$12:$E$14,3, FALSE),VLOOKUP(B210,'Dados gerais'!$D$33:$F$35,3,FALSE)),"")</f>
        <v/>
      </c>
      <c r="Q210" s="270"/>
      <c r="R210" s="982" t="str">
        <f>IFERROR(IF(G210=FAAS!$K$135,'Outras emissões de processo'!I210,VLOOKUP(G210,FAAS!$B$63:$J$82,9,FALSE)),"")</f>
        <v/>
      </c>
      <c r="S210" s="982" t="str">
        <f t="shared" si="2"/>
        <v/>
      </c>
      <c r="T210" s="982" t="str">
        <f t="shared" si="3"/>
        <v/>
      </c>
      <c r="U210" s="572" t="str">
        <f>IFERROR(VLOOKUP(L210,FAAS!$A$142:$D$144,2,FALSE)*365*'Fatores de Emissão'!$E$248/1000,"")</f>
        <v/>
      </c>
      <c r="V210" s="572" t="str">
        <f t="shared" si="4"/>
        <v/>
      </c>
      <c r="W210" s="572" t="str">
        <f t="shared" si="5"/>
        <v/>
      </c>
      <c r="Z210" s="277"/>
      <c r="AA210" s="273"/>
      <c r="AB210" s="274"/>
      <c r="AC210" s="273"/>
      <c r="AD210" s="277"/>
      <c r="AE210" s="275"/>
      <c r="AF210" s="272"/>
      <c r="AG210" s="275"/>
      <c r="AH210" s="275"/>
      <c r="AI210" s="275"/>
      <c r="AJ210" s="272"/>
      <c r="AK210" s="276"/>
    </row>
    <row r="211" spans="2:37" ht="15.5" outlineLevel="2" x14ac:dyDescent="0.35">
      <c r="B211" s="269"/>
      <c r="C211" s="943"/>
      <c r="D211" s="250"/>
      <c r="E211" s="249"/>
      <c r="F211" s="909"/>
      <c r="G211" s="269"/>
      <c r="H211" s="270"/>
      <c r="I211" s="270"/>
      <c r="J211" s="271"/>
      <c r="K211" s="618"/>
      <c r="L211" s="249"/>
      <c r="M211" s="561"/>
      <c r="N211" s="982" t="str">
        <f>IFERROR(IF(E211=FAAS!$B$81,I211,VLOOKUP(E211,FAAS!$K$113:$L$134,2,FALSE)),"")</f>
        <v/>
      </c>
      <c r="O211" s="982" t="str">
        <f t="shared" si="6"/>
        <v/>
      </c>
      <c r="P211" s="982" t="str">
        <f>IFERROR(IF(VLOOKUP(B211,'Dados gerais'!$D$33:$F$35,3,FALSE)="",VLOOKUP('Outras emissões de processo'!B211,'Fatores de Emissão'!$B$12:$E$14,3, FALSE),VLOOKUP(B211,'Dados gerais'!$D$33:$F$35,3,FALSE)),"")</f>
        <v/>
      </c>
      <c r="Q211" s="270"/>
      <c r="R211" s="982" t="str">
        <f>IFERROR(IF(G211=FAAS!$K$135,'Outras emissões de processo'!I211,VLOOKUP(G211,FAAS!$B$63:$J$82,9,FALSE)),"")</f>
        <v/>
      </c>
      <c r="S211" s="982" t="str">
        <f t="shared" si="2"/>
        <v/>
      </c>
      <c r="T211" s="982" t="str">
        <f t="shared" si="3"/>
        <v/>
      </c>
      <c r="U211" s="572" t="str">
        <f>IFERROR(VLOOKUP(L211,FAAS!$A$142:$D$144,2,FALSE)*365*'Fatores de Emissão'!$E$248/1000,"")</f>
        <v/>
      </c>
      <c r="V211" s="572" t="str">
        <f t="shared" si="4"/>
        <v/>
      </c>
      <c r="W211" s="572" t="str">
        <f t="shared" si="5"/>
        <v/>
      </c>
      <c r="Z211" s="277"/>
      <c r="AA211" s="273"/>
      <c r="AB211" s="274"/>
      <c r="AC211" s="273"/>
      <c r="AD211" s="277"/>
      <c r="AE211" s="275"/>
      <c r="AF211" s="272"/>
      <c r="AG211" s="275"/>
      <c r="AH211" s="275"/>
      <c r="AI211" s="275"/>
      <c r="AJ211" s="272"/>
      <c r="AK211" s="276"/>
    </row>
    <row r="212" spans="2:37" ht="15.5" outlineLevel="2" x14ac:dyDescent="0.35">
      <c r="B212" s="269"/>
      <c r="C212" s="943"/>
      <c r="D212" s="250"/>
      <c r="E212" s="249"/>
      <c r="F212" s="909"/>
      <c r="G212" s="269"/>
      <c r="H212" s="270"/>
      <c r="I212" s="270"/>
      <c r="J212" s="271"/>
      <c r="K212" s="618"/>
      <c r="L212" s="249"/>
      <c r="M212" s="561"/>
      <c r="N212" s="982" t="str">
        <f>IFERROR(IF(E212=FAAS!$B$81,I212,VLOOKUP(E212,FAAS!$K$113:$L$134,2,FALSE)),"")</f>
        <v/>
      </c>
      <c r="O212" s="982" t="str">
        <f t="shared" si="6"/>
        <v/>
      </c>
      <c r="P212" s="982" t="str">
        <f>IFERROR(IF(VLOOKUP(B212,'Dados gerais'!$D$33:$F$35,3,FALSE)="",VLOOKUP('Outras emissões de processo'!B212,'Fatores de Emissão'!$B$12:$E$14,3, FALSE),VLOOKUP(B212,'Dados gerais'!$D$33:$F$35,3,FALSE)),"")</f>
        <v/>
      </c>
      <c r="Q212" s="270"/>
      <c r="R212" s="982" t="str">
        <f>IFERROR(IF(G212=FAAS!$K$135,'Outras emissões de processo'!I212,VLOOKUP(G212,FAAS!$B$63:$J$82,9,FALSE)),"")</f>
        <v/>
      </c>
      <c r="S212" s="982" t="str">
        <f t="shared" si="2"/>
        <v/>
      </c>
      <c r="T212" s="982" t="str">
        <f t="shared" si="3"/>
        <v/>
      </c>
      <c r="U212" s="572" t="str">
        <f>IFERROR(VLOOKUP(L212,FAAS!$A$142:$D$144,2,FALSE)*365*'Fatores de Emissão'!$E$248/1000,"")</f>
        <v/>
      </c>
      <c r="V212" s="572" t="str">
        <f t="shared" si="4"/>
        <v/>
      </c>
      <c r="W212" s="572" t="str">
        <f t="shared" si="5"/>
        <v/>
      </c>
      <c r="Z212" s="277"/>
      <c r="AA212" s="273"/>
      <c r="AB212" s="274"/>
      <c r="AC212" s="273"/>
      <c r="AD212" s="277"/>
      <c r="AE212" s="275"/>
      <c r="AF212" s="272"/>
      <c r="AG212" s="275"/>
      <c r="AH212" s="275"/>
      <c r="AI212" s="275"/>
      <c r="AJ212" s="272"/>
      <c r="AK212" s="276"/>
    </row>
    <row r="213" spans="2:37" ht="15.5" outlineLevel="2" x14ac:dyDescent="0.35">
      <c r="B213" s="269"/>
      <c r="C213" s="943"/>
      <c r="D213" s="250"/>
      <c r="E213" s="249"/>
      <c r="F213" s="909"/>
      <c r="G213" s="269"/>
      <c r="H213" s="270"/>
      <c r="I213" s="270"/>
      <c r="J213" s="271"/>
      <c r="K213" s="618"/>
      <c r="L213" s="249"/>
      <c r="M213" s="561"/>
      <c r="N213" s="982" t="str">
        <f>IFERROR(IF(E213=FAAS!$B$81,I213,VLOOKUP(E213,FAAS!$K$113:$L$134,2,FALSE)),"")</f>
        <v/>
      </c>
      <c r="O213" s="982" t="str">
        <f t="shared" si="6"/>
        <v/>
      </c>
      <c r="P213" s="982" t="str">
        <f>IFERROR(IF(VLOOKUP(B213,'Dados gerais'!$D$33:$F$35,3,FALSE)="",VLOOKUP('Outras emissões de processo'!B213,'Fatores de Emissão'!$B$12:$E$14,3, FALSE),VLOOKUP(B213,'Dados gerais'!$D$33:$F$35,3,FALSE)),"")</f>
        <v/>
      </c>
      <c r="Q213" s="270"/>
      <c r="R213" s="982" t="str">
        <f>IFERROR(IF(G213=FAAS!$K$135,'Outras emissões de processo'!I213,VLOOKUP(G213,FAAS!$B$63:$J$82,9,FALSE)),"")</f>
        <v/>
      </c>
      <c r="S213" s="982" t="str">
        <f t="shared" si="2"/>
        <v/>
      </c>
      <c r="T213" s="982" t="str">
        <f t="shared" si="3"/>
        <v/>
      </c>
      <c r="U213" s="572" t="str">
        <f>IFERROR(VLOOKUP(L213,FAAS!$A$142:$D$144,2,FALSE)*365*'Fatores de Emissão'!$E$248/1000,"")</f>
        <v/>
      </c>
      <c r="V213" s="572" t="str">
        <f t="shared" si="4"/>
        <v/>
      </c>
      <c r="W213" s="572" t="str">
        <f t="shared" si="5"/>
        <v/>
      </c>
      <c r="Z213" s="277"/>
      <c r="AA213" s="273"/>
      <c r="AB213" s="274"/>
      <c r="AC213" s="273"/>
      <c r="AD213" s="277"/>
      <c r="AE213" s="275"/>
      <c r="AF213" s="272"/>
      <c r="AG213" s="275"/>
      <c r="AH213" s="275"/>
      <c r="AI213" s="275"/>
      <c r="AJ213" s="272"/>
      <c r="AK213" s="276"/>
    </row>
    <row r="214" spans="2:37" ht="15.5" outlineLevel="2" x14ac:dyDescent="0.35">
      <c r="B214" s="269"/>
      <c r="C214" s="943"/>
      <c r="D214" s="250"/>
      <c r="E214" s="249"/>
      <c r="F214" s="909"/>
      <c r="G214" s="269"/>
      <c r="H214" s="270"/>
      <c r="I214" s="270"/>
      <c r="J214" s="271"/>
      <c r="K214" s="618"/>
      <c r="L214" s="249"/>
      <c r="M214" s="561"/>
      <c r="N214" s="982" t="str">
        <f>IFERROR(IF(E214=FAAS!$B$81,I214,VLOOKUP(E214,FAAS!$K$113:$L$134,2,FALSE)),"")</f>
        <v/>
      </c>
      <c r="O214" s="982" t="str">
        <f t="shared" si="6"/>
        <v/>
      </c>
      <c r="P214" s="982" t="str">
        <f>IFERROR(IF(VLOOKUP(B214,'Dados gerais'!$D$33:$F$35,3,FALSE)="",VLOOKUP('Outras emissões de processo'!B214,'Fatores de Emissão'!$B$12:$E$14,3, FALSE),VLOOKUP(B214,'Dados gerais'!$D$33:$F$35,3,FALSE)),"")</f>
        <v/>
      </c>
      <c r="Q214" s="270"/>
      <c r="R214" s="982" t="str">
        <f>IFERROR(IF(G214=FAAS!$K$135,'Outras emissões de processo'!I214,VLOOKUP(G214,FAAS!$B$63:$J$82,9,FALSE)),"")</f>
        <v/>
      </c>
      <c r="S214" s="982" t="str">
        <f t="shared" si="2"/>
        <v/>
      </c>
      <c r="T214" s="982" t="str">
        <f t="shared" si="3"/>
        <v/>
      </c>
      <c r="U214" s="572" t="str">
        <f>IFERROR(VLOOKUP(L214,FAAS!$A$142:$D$144,2,FALSE)*365*'Fatores de Emissão'!$E$248/1000,"")</f>
        <v/>
      </c>
      <c r="V214" s="572" t="str">
        <f t="shared" si="4"/>
        <v/>
      </c>
      <c r="W214" s="572" t="str">
        <f t="shared" si="5"/>
        <v/>
      </c>
      <c r="Z214" s="277"/>
      <c r="AA214" s="273"/>
      <c r="AB214" s="274"/>
      <c r="AC214" s="273"/>
      <c r="AD214" s="277"/>
      <c r="AE214" s="275"/>
      <c r="AF214" s="272"/>
      <c r="AG214" s="275"/>
      <c r="AH214" s="275"/>
      <c r="AI214" s="275"/>
      <c r="AJ214" s="272"/>
      <c r="AK214" s="276"/>
    </row>
    <row r="215" spans="2:37" ht="15.5" outlineLevel="2" x14ac:dyDescent="0.35">
      <c r="B215" s="269"/>
      <c r="C215" s="943"/>
      <c r="D215" s="250"/>
      <c r="E215" s="249"/>
      <c r="F215" s="909"/>
      <c r="G215" s="269"/>
      <c r="H215" s="270"/>
      <c r="I215" s="270"/>
      <c r="J215" s="271"/>
      <c r="K215" s="618"/>
      <c r="L215" s="249"/>
      <c r="M215" s="561"/>
      <c r="N215" s="982" t="str">
        <f>IFERROR(IF(E215=FAAS!$B$81,I215,VLOOKUP(E215,FAAS!$K$113:$L$134,2,FALSE)),"")</f>
        <v/>
      </c>
      <c r="O215" s="982" t="str">
        <f t="shared" si="6"/>
        <v/>
      </c>
      <c r="P215" s="982" t="str">
        <f>IFERROR(IF(VLOOKUP(B215,'Dados gerais'!$D$33:$F$35,3,FALSE)="",VLOOKUP('Outras emissões de processo'!B215,'Fatores de Emissão'!$B$12:$E$14,3, FALSE),VLOOKUP(B215,'Dados gerais'!$D$33:$F$35,3,FALSE)),"")</f>
        <v/>
      </c>
      <c r="Q215" s="270"/>
      <c r="R215" s="982" t="str">
        <f>IFERROR(IF(G215=FAAS!$K$135,'Outras emissões de processo'!I215,VLOOKUP(G215,FAAS!$B$63:$J$82,9,FALSE)),"")</f>
        <v/>
      </c>
      <c r="S215" s="982" t="str">
        <f t="shared" si="2"/>
        <v/>
      </c>
      <c r="T215" s="982" t="str">
        <f t="shared" si="3"/>
        <v/>
      </c>
      <c r="U215" s="572" t="str">
        <f>IFERROR(VLOOKUP(L215,FAAS!$A$142:$D$144,2,FALSE)*365*'Fatores de Emissão'!$E$248/1000,"")</f>
        <v/>
      </c>
      <c r="V215" s="572" t="str">
        <f t="shared" si="4"/>
        <v/>
      </c>
      <c r="W215" s="572" t="str">
        <f t="shared" si="5"/>
        <v/>
      </c>
      <c r="Z215" s="277"/>
      <c r="AA215" s="273"/>
      <c r="AB215" s="274"/>
      <c r="AC215" s="273"/>
      <c r="AD215" s="277"/>
      <c r="AE215" s="275"/>
      <c r="AF215" s="272"/>
      <c r="AG215" s="275"/>
      <c r="AH215" s="275"/>
      <c r="AI215" s="275"/>
      <c r="AJ215" s="272"/>
      <c r="AK215" s="276"/>
    </row>
    <row r="216" spans="2:37" ht="15.5" outlineLevel="2" x14ac:dyDescent="0.35">
      <c r="B216" s="269"/>
      <c r="C216" s="943"/>
      <c r="D216" s="250"/>
      <c r="E216" s="249"/>
      <c r="F216" s="909"/>
      <c r="G216" s="269"/>
      <c r="H216" s="270"/>
      <c r="I216" s="270"/>
      <c r="J216" s="271"/>
      <c r="K216" s="618"/>
      <c r="L216" s="249"/>
      <c r="M216" s="561"/>
      <c r="N216" s="982" t="str">
        <f>IFERROR(IF(E216=FAAS!$B$81,I216,VLOOKUP(E216,FAAS!$K$113:$L$134,2,FALSE)),"")</f>
        <v/>
      </c>
      <c r="O216" s="982" t="str">
        <f t="shared" si="6"/>
        <v/>
      </c>
      <c r="P216" s="982" t="str">
        <f>IFERROR(IF(VLOOKUP(B216,'Dados gerais'!$D$33:$F$35,3,FALSE)="",VLOOKUP('Outras emissões de processo'!B216,'Fatores de Emissão'!$B$12:$E$14,3, FALSE),VLOOKUP(B216,'Dados gerais'!$D$33:$F$35,3,FALSE)),"")</f>
        <v/>
      </c>
      <c r="Q216" s="270"/>
      <c r="R216" s="982" t="str">
        <f>IFERROR(IF(G216=FAAS!$K$135,'Outras emissões de processo'!I216,VLOOKUP(G216,FAAS!$B$63:$J$82,9,FALSE)),"")</f>
        <v/>
      </c>
      <c r="S216" s="982" t="str">
        <f t="shared" si="2"/>
        <v/>
      </c>
      <c r="T216" s="982" t="str">
        <f t="shared" si="3"/>
        <v/>
      </c>
      <c r="U216" s="572" t="str">
        <f>IFERROR(VLOOKUP(L216,FAAS!$A$142:$D$144,2,FALSE)*365*'Fatores de Emissão'!$E$248/1000,"")</f>
        <v/>
      </c>
      <c r="V216" s="572" t="str">
        <f t="shared" si="4"/>
        <v/>
      </c>
      <c r="W216" s="572" t="str">
        <f t="shared" si="5"/>
        <v/>
      </c>
      <c r="Z216" s="277"/>
      <c r="AA216" s="273"/>
      <c r="AB216" s="274"/>
      <c r="AC216" s="273"/>
      <c r="AD216" s="277"/>
      <c r="AE216" s="275"/>
      <c r="AF216" s="272"/>
      <c r="AG216" s="275"/>
      <c r="AH216" s="275"/>
      <c r="AI216" s="275"/>
      <c r="AJ216" s="272"/>
      <c r="AK216" s="276"/>
    </row>
    <row r="217" spans="2:37" ht="15.5" outlineLevel="2" x14ac:dyDescent="0.35">
      <c r="B217" s="269"/>
      <c r="C217" s="943"/>
      <c r="D217" s="250"/>
      <c r="E217" s="249"/>
      <c r="F217" s="909"/>
      <c r="G217" s="269"/>
      <c r="H217" s="270"/>
      <c r="I217" s="270"/>
      <c r="J217" s="271"/>
      <c r="K217" s="618"/>
      <c r="L217" s="249"/>
      <c r="M217" s="561"/>
      <c r="N217" s="982" t="str">
        <f>IFERROR(IF(E217=FAAS!$B$81,I217,VLOOKUP(E217,FAAS!$K$113:$L$134,2,FALSE)),"")</f>
        <v/>
      </c>
      <c r="O217" s="982" t="str">
        <f t="shared" si="6"/>
        <v/>
      </c>
      <c r="P217" s="982" t="str">
        <f>IFERROR(IF(VLOOKUP(B217,'Dados gerais'!$D$33:$F$35,3,FALSE)="",VLOOKUP('Outras emissões de processo'!B217,'Fatores de Emissão'!$B$12:$E$14,3, FALSE),VLOOKUP(B217,'Dados gerais'!$D$33:$F$35,3,FALSE)),"")</f>
        <v/>
      </c>
      <c r="Q217" s="270"/>
      <c r="R217" s="982" t="str">
        <f>IFERROR(IF(G217=FAAS!$K$135,'Outras emissões de processo'!I217,VLOOKUP(G217,FAAS!$B$63:$J$82,9,FALSE)),"")</f>
        <v/>
      </c>
      <c r="S217" s="982" t="str">
        <f t="shared" si="2"/>
        <v/>
      </c>
      <c r="T217" s="982" t="str">
        <f t="shared" si="3"/>
        <v/>
      </c>
      <c r="U217" s="572" t="str">
        <f>IFERROR(VLOOKUP(L217,FAAS!$A$142:$D$144,2,FALSE)*365*'Fatores de Emissão'!$E$248/1000,"")</f>
        <v/>
      </c>
      <c r="V217" s="572" t="str">
        <f t="shared" si="4"/>
        <v/>
      </c>
      <c r="W217" s="572" t="str">
        <f t="shared" si="5"/>
        <v/>
      </c>
      <c r="Z217" s="277"/>
      <c r="AA217" s="273"/>
      <c r="AB217" s="274"/>
      <c r="AC217" s="273"/>
      <c r="AD217" s="277"/>
      <c r="AE217" s="275"/>
      <c r="AF217" s="272"/>
      <c r="AG217" s="275"/>
      <c r="AH217" s="275"/>
      <c r="AI217" s="275"/>
      <c r="AJ217" s="272"/>
      <c r="AK217" s="276"/>
    </row>
    <row r="218" spans="2:37" ht="15.5" outlineLevel="2" x14ac:dyDescent="0.35">
      <c r="B218" s="269"/>
      <c r="C218" s="943"/>
      <c r="D218" s="250"/>
      <c r="E218" s="249"/>
      <c r="F218" s="909"/>
      <c r="G218" s="269"/>
      <c r="H218" s="270"/>
      <c r="I218" s="270"/>
      <c r="J218" s="271"/>
      <c r="K218" s="618"/>
      <c r="L218" s="249"/>
      <c r="M218" s="561"/>
      <c r="N218" s="982" t="str">
        <f>IFERROR(IF(E218=FAAS!$B$81,I218,VLOOKUP(E218,FAAS!$K$113:$L$134,2,FALSE)),"")</f>
        <v/>
      </c>
      <c r="O218" s="982" t="str">
        <f t="shared" si="6"/>
        <v/>
      </c>
      <c r="P218" s="982" t="str">
        <f>IFERROR(IF(VLOOKUP(B218,'Dados gerais'!$D$33:$F$35,3,FALSE)="",VLOOKUP('Outras emissões de processo'!B218,'Fatores de Emissão'!$B$12:$E$14,3, FALSE),VLOOKUP(B218,'Dados gerais'!$D$33:$F$35,3,FALSE)),"")</f>
        <v/>
      </c>
      <c r="Q218" s="270"/>
      <c r="R218" s="982" t="str">
        <f>IFERROR(IF(G218=FAAS!$K$135,'Outras emissões de processo'!I218,VLOOKUP(G218,FAAS!$B$63:$J$82,9,FALSE)),"")</f>
        <v/>
      </c>
      <c r="S218" s="982" t="str">
        <f t="shared" si="2"/>
        <v/>
      </c>
      <c r="T218" s="982" t="str">
        <f t="shared" si="3"/>
        <v/>
      </c>
      <c r="U218" s="572" t="str">
        <f>IFERROR(VLOOKUP(L218,FAAS!$A$142:$D$144,2,FALSE)*365*'Fatores de Emissão'!$E$248/1000,"")</f>
        <v/>
      </c>
      <c r="V218" s="572" t="str">
        <f t="shared" si="4"/>
        <v/>
      </c>
      <c r="W218" s="572" t="str">
        <f t="shared" si="5"/>
        <v/>
      </c>
      <c r="Z218" s="277"/>
      <c r="AA218" s="273"/>
      <c r="AB218" s="274"/>
      <c r="AC218" s="273"/>
      <c r="AD218" s="277"/>
      <c r="AE218" s="275"/>
      <c r="AF218" s="272"/>
      <c r="AG218" s="275"/>
      <c r="AH218" s="275"/>
      <c r="AI218" s="275"/>
      <c r="AJ218" s="272"/>
      <c r="AK218" s="276"/>
    </row>
    <row r="219" spans="2:37" ht="15.5" outlineLevel="2" x14ac:dyDescent="0.35">
      <c r="B219" s="269"/>
      <c r="C219" s="943"/>
      <c r="D219" s="250"/>
      <c r="E219" s="249"/>
      <c r="F219" s="909"/>
      <c r="G219" s="269"/>
      <c r="H219" s="270"/>
      <c r="I219" s="270"/>
      <c r="J219" s="271"/>
      <c r="K219" s="618"/>
      <c r="L219" s="249"/>
      <c r="M219" s="561"/>
      <c r="N219" s="982" t="str">
        <f>IFERROR(IF(E219=FAAS!$B$81,I219,VLOOKUP(E219,FAAS!$K$113:$L$134,2,FALSE)),"")</f>
        <v/>
      </c>
      <c r="O219" s="982" t="str">
        <f t="shared" si="6"/>
        <v/>
      </c>
      <c r="P219" s="982" t="str">
        <f>IFERROR(IF(VLOOKUP(B219,'Dados gerais'!$D$33:$F$35,3,FALSE)="",VLOOKUP('Outras emissões de processo'!B219,'Fatores de Emissão'!$B$12:$E$14,3, FALSE),VLOOKUP(B219,'Dados gerais'!$D$33:$F$35,3,FALSE)),"")</f>
        <v/>
      </c>
      <c r="Q219" s="270"/>
      <c r="R219" s="982" t="str">
        <f>IFERROR(IF(G219=FAAS!$K$135,'Outras emissões de processo'!I219,VLOOKUP(G219,FAAS!$B$63:$J$82,9,FALSE)),"")</f>
        <v/>
      </c>
      <c r="S219" s="982" t="str">
        <f t="shared" si="2"/>
        <v/>
      </c>
      <c r="T219" s="982" t="str">
        <f t="shared" si="3"/>
        <v/>
      </c>
      <c r="U219" s="572" t="str">
        <f>IFERROR(VLOOKUP(L219,FAAS!$A$142:$D$144,2,FALSE)*365*'Fatores de Emissão'!$E$248/1000,"")</f>
        <v/>
      </c>
      <c r="V219" s="572" t="str">
        <f t="shared" si="4"/>
        <v/>
      </c>
      <c r="W219" s="572" t="str">
        <f t="shared" si="5"/>
        <v/>
      </c>
      <c r="Z219" s="277"/>
      <c r="AA219" s="273"/>
      <c r="AB219" s="274"/>
      <c r="AC219" s="273"/>
      <c r="AD219" s="277"/>
      <c r="AE219" s="275"/>
      <c r="AF219" s="272"/>
      <c r="AG219" s="275"/>
      <c r="AH219" s="275"/>
      <c r="AI219" s="275"/>
      <c r="AJ219" s="272"/>
      <c r="AK219" s="276"/>
    </row>
    <row r="220" spans="2:37" ht="15.5" outlineLevel="2" x14ac:dyDescent="0.35">
      <c r="B220" s="269"/>
      <c r="C220" s="943"/>
      <c r="D220" s="250"/>
      <c r="E220" s="249"/>
      <c r="F220" s="909"/>
      <c r="G220" s="269"/>
      <c r="H220" s="270"/>
      <c r="I220" s="270"/>
      <c r="J220" s="271"/>
      <c r="K220" s="618"/>
      <c r="L220" s="249"/>
      <c r="M220" s="561"/>
      <c r="N220" s="982" t="str">
        <f>IFERROR(IF(E220=FAAS!$B$81,I220,VLOOKUP(E220,FAAS!$K$113:$L$134,2,FALSE)),"")</f>
        <v/>
      </c>
      <c r="O220" s="982" t="str">
        <f t="shared" si="6"/>
        <v/>
      </c>
      <c r="P220" s="982" t="str">
        <f>IFERROR(IF(VLOOKUP(B220,'Dados gerais'!$D$33:$F$35,3,FALSE)="",VLOOKUP('Outras emissões de processo'!B220,'Fatores de Emissão'!$B$12:$E$14,3, FALSE),VLOOKUP(B220,'Dados gerais'!$D$33:$F$35,3,FALSE)),"")</f>
        <v/>
      </c>
      <c r="Q220" s="270"/>
      <c r="R220" s="982" t="str">
        <f>IFERROR(IF(G220=FAAS!$K$135,'Outras emissões de processo'!I220,VLOOKUP(G220,FAAS!$B$63:$J$82,9,FALSE)),"")</f>
        <v/>
      </c>
      <c r="S220" s="982" t="str">
        <f t="shared" si="2"/>
        <v/>
      </c>
      <c r="T220" s="982" t="str">
        <f t="shared" si="3"/>
        <v/>
      </c>
      <c r="U220" s="572" t="str">
        <f>IFERROR(VLOOKUP(L220,FAAS!$A$142:$D$144,2,FALSE)*365*'Fatores de Emissão'!$E$248/1000,"")</f>
        <v/>
      </c>
      <c r="V220" s="572" t="str">
        <f t="shared" si="4"/>
        <v/>
      </c>
      <c r="W220" s="572" t="str">
        <f t="shared" si="5"/>
        <v/>
      </c>
      <c r="Z220" s="277"/>
      <c r="AA220" s="273"/>
      <c r="AB220" s="274"/>
      <c r="AC220" s="273"/>
      <c r="AD220" s="277"/>
      <c r="AE220" s="275"/>
      <c r="AF220" s="272"/>
      <c r="AG220" s="275"/>
      <c r="AH220" s="275"/>
      <c r="AI220" s="275"/>
      <c r="AJ220" s="272"/>
      <c r="AK220" s="276"/>
    </row>
    <row r="221" spans="2:37" ht="15.5" outlineLevel="2" x14ac:dyDescent="0.35">
      <c r="B221" s="269"/>
      <c r="C221" s="943"/>
      <c r="D221" s="250"/>
      <c r="E221" s="249"/>
      <c r="F221" s="909"/>
      <c r="G221" s="269"/>
      <c r="H221" s="270"/>
      <c r="I221" s="270"/>
      <c r="J221" s="271"/>
      <c r="K221" s="618"/>
      <c r="L221" s="249"/>
      <c r="M221" s="561"/>
      <c r="N221" s="982" t="str">
        <f>IFERROR(IF(E221=FAAS!$B$81,I221,VLOOKUP(E221,FAAS!$K$113:$L$134,2,FALSE)),"")</f>
        <v/>
      </c>
      <c r="O221" s="982" t="str">
        <f t="shared" si="6"/>
        <v/>
      </c>
      <c r="P221" s="982" t="str">
        <f>IFERROR(IF(VLOOKUP(B221,'Dados gerais'!$D$33:$F$35,3,FALSE)="",VLOOKUP('Outras emissões de processo'!B221,'Fatores de Emissão'!$B$12:$E$14,3, FALSE),VLOOKUP(B221,'Dados gerais'!$D$33:$F$35,3,FALSE)),"")</f>
        <v/>
      </c>
      <c r="Q221" s="270"/>
      <c r="R221" s="982" t="str">
        <f>IFERROR(IF(G221=FAAS!$K$135,'Outras emissões de processo'!I221,VLOOKUP(G221,FAAS!$B$63:$J$82,9,FALSE)),"")</f>
        <v/>
      </c>
      <c r="S221" s="982" t="str">
        <f t="shared" si="2"/>
        <v/>
      </c>
      <c r="T221" s="982" t="str">
        <f t="shared" si="3"/>
        <v/>
      </c>
      <c r="U221" s="572" t="str">
        <f>IFERROR(VLOOKUP(L221,FAAS!$A$142:$D$144,2,FALSE)*365*'Fatores de Emissão'!$E$248/1000,"")</f>
        <v/>
      </c>
      <c r="V221" s="572" t="str">
        <f t="shared" si="4"/>
        <v/>
      </c>
      <c r="W221" s="572" t="str">
        <f t="shared" si="5"/>
        <v/>
      </c>
      <c r="Z221" s="277"/>
      <c r="AA221" s="273"/>
      <c r="AB221" s="274"/>
      <c r="AC221" s="273"/>
      <c r="AD221" s="277"/>
      <c r="AE221" s="275"/>
      <c r="AF221" s="272"/>
      <c r="AG221" s="275"/>
      <c r="AH221" s="275"/>
      <c r="AI221" s="275"/>
      <c r="AJ221" s="272"/>
      <c r="AK221" s="276"/>
    </row>
    <row r="222" spans="2:37" ht="15.5" outlineLevel="2" x14ac:dyDescent="0.35">
      <c r="B222" s="269"/>
      <c r="C222" s="943"/>
      <c r="D222" s="250"/>
      <c r="E222" s="249"/>
      <c r="F222" s="909"/>
      <c r="G222" s="269"/>
      <c r="H222" s="270"/>
      <c r="I222" s="270"/>
      <c r="J222" s="271"/>
      <c r="K222" s="618"/>
      <c r="L222" s="249"/>
      <c r="M222" s="561"/>
      <c r="N222" s="982" t="str">
        <f>IFERROR(IF(E222=FAAS!$B$81,I222,VLOOKUP(E222,FAAS!$K$113:$L$134,2,FALSE)),"")</f>
        <v/>
      </c>
      <c r="O222" s="982" t="str">
        <f t="shared" si="6"/>
        <v/>
      </c>
      <c r="P222" s="982" t="str">
        <f>IFERROR(IF(VLOOKUP(B222,'Dados gerais'!$D$33:$F$35,3,FALSE)="",VLOOKUP('Outras emissões de processo'!B222,'Fatores de Emissão'!$B$12:$E$14,3, FALSE),VLOOKUP(B222,'Dados gerais'!$D$33:$F$35,3,FALSE)),"")</f>
        <v/>
      </c>
      <c r="Q222" s="270"/>
      <c r="R222" s="982" t="str">
        <f>IFERROR(IF(G222=FAAS!$K$135,'Outras emissões de processo'!I222,VLOOKUP(G222,FAAS!$B$63:$J$82,9,FALSE)),"")</f>
        <v/>
      </c>
      <c r="S222" s="982" t="str">
        <f t="shared" si="2"/>
        <v/>
      </c>
      <c r="T222" s="982" t="str">
        <f t="shared" si="3"/>
        <v/>
      </c>
      <c r="U222" s="572" t="str">
        <f>IFERROR(VLOOKUP(L222,FAAS!$A$142:$D$144,2,FALSE)*365*'Fatores de Emissão'!$E$248/1000,"")</f>
        <v/>
      </c>
      <c r="V222" s="572" t="str">
        <f t="shared" si="4"/>
        <v/>
      </c>
      <c r="W222" s="572" t="str">
        <f t="shared" si="5"/>
        <v/>
      </c>
      <c r="Z222" s="277"/>
      <c r="AA222" s="273"/>
      <c r="AB222" s="274"/>
      <c r="AC222" s="273"/>
      <c r="AD222" s="277"/>
      <c r="AE222" s="275"/>
      <c r="AF222" s="272"/>
      <c r="AG222" s="275"/>
      <c r="AH222" s="275"/>
      <c r="AI222" s="275"/>
      <c r="AJ222" s="272"/>
      <c r="AK222" s="276"/>
    </row>
    <row r="223" spans="2:37" ht="15.5" outlineLevel="2" x14ac:dyDescent="0.35">
      <c r="B223" s="269"/>
      <c r="C223" s="943"/>
      <c r="D223" s="250"/>
      <c r="E223" s="249"/>
      <c r="F223" s="909"/>
      <c r="G223" s="269"/>
      <c r="H223" s="270"/>
      <c r="I223" s="270"/>
      <c r="J223" s="271"/>
      <c r="K223" s="618"/>
      <c r="L223" s="249"/>
      <c r="M223" s="561"/>
      <c r="N223" s="982" t="str">
        <f>IFERROR(IF(E223=FAAS!$B$81,I223,VLOOKUP(E223,FAAS!$K$113:$L$134,2,FALSE)),"")</f>
        <v/>
      </c>
      <c r="O223" s="982" t="str">
        <f t="shared" si="6"/>
        <v/>
      </c>
      <c r="P223" s="982" t="str">
        <f>IFERROR(IF(VLOOKUP(B223,'Dados gerais'!$D$33:$F$35,3,FALSE)="",VLOOKUP('Outras emissões de processo'!B223,'Fatores de Emissão'!$B$12:$E$14,3, FALSE),VLOOKUP(B223,'Dados gerais'!$D$33:$F$35,3,FALSE)),"")</f>
        <v/>
      </c>
      <c r="Q223" s="270"/>
      <c r="R223" s="982" t="str">
        <f>IFERROR(IF(G223=FAAS!$K$135,'Outras emissões de processo'!I223,VLOOKUP(G223,FAAS!$B$63:$J$82,9,FALSE)),"")</f>
        <v/>
      </c>
      <c r="S223" s="982" t="str">
        <f t="shared" si="2"/>
        <v/>
      </c>
      <c r="T223" s="982" t="str">
        <f t="shared" si="3"/>
        <v/>
      </c>
      <c r="U223" s="572" t="str">
        <f>IFERROR(VLOOKUP(L223,FAAS!$A$142:$D$144,2,FALSE)*365*'Fatores de Emissão'!$E$248/1000,"")</f>
        <v/>
      </c>
      <c r="V223" s="572" t="str">
        <f t="shared" si="4"/>
        <v/>
      </c>
      <c r="W223" s="572" t="str">
        <f t="shared" si="5"/>
        <v/>
      </c>
      <c r="Z223" s="277"/>
      <c r="AA223" s="273"/>
      <c r="AB223" s="274"/>
      <c r="AC223" s="273"/>
      <c r="AD223" s="277"/>
      <c r="AE223" s="275"/>
      <c r="AF223" s="272"/>
      <c r="AG223" s="275"/>
      <c r="AH223" s="275"/>
      <c r="AI223" s="275"/>
      <c r="AJ223" s="272"/>
      <c r="AK223" s="276"/>
    </row>
    <row r="224" spans="2:37" ht="15.5" outlineLevel="2" x14ac:dyDescent="0.35">
      <c r="B224" s="269"/>
      <c r="C224" s="943"/>
      <c r="D224" s="250"/>
      <c r="E224" s="249"/>
      <c r="F224" s="909"/>
      <c r="G224" s="269"/>
      <c r="H224" s="270"/>
      <c r="I224" s="270"/>
      <c r="J224" s="271"/>
      <c r="K224" s="618"/>
      <c r="L224" s="249"/>
      <c r="M224" s="561"/>
      <c r="N224" s="982" t="str">
        <f>IFERROR(IF(E224=FAAS!$B$81,I224,VLOOKUP(E224,FAAS!$K$113:$L$134,2,FALSE)),"")</f>
        <v/>
      </c>
      <c r="O224" s="982" t="str">
        <f t="shared" si="6"/>
        <v/>
      </c>
      <c r="P224" s="982" t="str">
        <f>IFERROR(IF(VLOOKUP(B224,'Dados gerais'!$D$33:$F$35,3,FALSE)="",VLOOKUP('Outras emissões de processo'!B224,'Fatores de Emissão'!$B$12:$E$14,3, FALSE),VLOOKUP(B224,'Dados gerais'!$D$33:$F$35,3,FALSE)),"")</f>
        <v/>
      </c>
      <c r="Q224" s="270"/>
      <c r="R224" s="982" t="str">
        <f>IFERROR(IF(G224=FAAS!$K$135,'Outras emissões de processo'!I224,VLOOKUP(G224,FAAS!$B$63:$J$82,9,FALSE)),"")</f>
        <v/>
      </c>
      <c r="S224" s="982" t="str">
        <f t="shared" si="2"/>
        <v/>
      </c>
      <c r="T224" s="982" t="str">
        <f t="shared" si="3"/>
        <v/>
      </c>
      <c r="U224" s="572" t="str">
        <f>IFERROR(VLOOKUP(L224,FAAS!$A$142:$D$144,2,FALSE)*365*'Fatores de Emissão'!$E$248/1000,"")</f>
        <v/>
      </c>
      <c r="V224" s="572" t="str">
        <f t="shared" si="4"/>
        <v/>
      </c>
      <c r="W224" s="572" t="str">
        <f t="shared" si="5"/>
        <v/>
      </c>
      <c r="Z224" s="277"/>
      <c r="AA224" s="273"/>
      <c r="AB224" s="274"/>
      <c r="AC224" s="273"/>
      <c r="AD224" s="277"/>
      <c r="AE224" s="275"/>
      <c r="AF224" s="272"/>
      <c r="AG224" s="275"/>
      <c r="AH224" s="275"/>
      <c r="AI224" s="275"/>
      <c r="AJ224" s="272"/>
      <c r="AK224" s="276"/>
    </row>
    <row r="225" spans="2:37" ht="15.5" outlineLevel="2" x14ac:dyDescent="0.35">
      <c r="B225" s="269"/>
      <c r="C225" s="943"/>
      <c r="D225" s="250"/>
      <c r="E225" s="249"/>
      <c r="F225" s="909"/>
      <c r="G225" s="269"/>
      <c r="H225" s="270"/>
      <c r="I225" s="270"/>
      <c r="J225" s="271"/>
      <c r="K225" s="618"/>
      <c r="L225" s="249"/>
      <c r="M225" s="561"/>
      <c r="N225" s="982" t="str">
        <f>IFERROR(IF(E225=FAAS!$B$81,I225,VLOOKUP(E225,FAAS!$K$113:$L$134,2,FALSE)),"")</f>
        <v/>
      </c>
      <c r="O225" s="982" t="str">
        <f t="shared" si="6"/>
        <v/>
      </c>
      <c r="P225" s="982" t="str">
        <f>IFERROR(IF(VLOOKUP(B225,'Dados gerais'!$D$33:$F$35,3,FALSE)="",VLOOKUP('Outras emissões de processo'!B225,'Fatores de Emissão'!$B$12:$E$14,3, FALSE),VLOOKUP(B225,'Dados gerais'!$D$33:$F$35,3,FALSE)),"")</f>
        <v/>
      </c>
      <c r="Q225" s="270"/>
      <c r="R225" s="982" t="str">
        <f>IFERROR(IF(G225=FAAS!$K$135,'Outras emissões de processo'!I225,VLOOKUP(G225,FAAS!$B$63:$J$82,9,FALSE)),"")</f>
        <v/>
      </c>
      <c r="S225" s="982" t="str">
        <f t="shared" si="2"/>
        <v/>
      </c>
      <c r="T225" s="982" t="str">
        <f t="shared" si="3"/>
        <v/>
      </c>
      <c r="U225" s="572" t="str">
        <f>IFERROR(VLOOKUP(L225,FAAS!$A$142:$D$144,2,FALSE)*365*'Fatores de Emissão'!$E$248/1000,"")</f>
        <v/>
      </c>
      <c r="V225" s="572" t="str">
        <f t="shared" si="4"/>
        <v/>
      </c>
      <c r="W225" s="572" t="str">
        <f t="shared" si="5"/>
        <v/>
      </c>
      <c r="Z225" s="277"/>
      <c r="AA225" s="273"/>
      <c r="AB225" s="274"/>
      <c r="AC225" s="273"/>
      <c r="AD225" s="277"/>
      <c r="AE225" s="275"/>
      <c r="AF225" s="272"/>
      <c r="AG225" s="275"/>
      <c r="AH225" s="275"/>
      <c r="AI225" s="275"/>
      <c r="AJ225" s="272"/>
      <c r="AK225" s="276"/>
    </row>
    <row r="226" spans="2:37" ht="15.5" outlineLevel="2" x14ac:dyDescent="0.35">
      <c r="B226" s="269"/>
      <c r="C226" s="943"/>
      <c r="D226" s="250"/>
      <c r="E226" s="249"/>
      <c r="F226" s="909"/>
      <c r="G226" s="269"/>
      <c r="H226" s="270"/>
      <c r="I226" s="270"/>
      <c r="J226" s="271"/>
      <c r="K226" s="618"/>
      <c r="L226" s="249"/>
      <c r="M226" s="561"/>
      <c r="N226" s="982" t="str">
        <f>IFERROR(IF(E226=FAAS!$B$81,I226,VLOOKUP(E226,FAAS!$K$113:$L$134,2,FALSE)),"")</f>
        <v/>
      </c>
      <c r="O226" s="982" t="str">
        <f t="shared" si="6"/>
        <v/>
      </c>
      <c r="P226" s="982" t="str">
        <f>IFERROR(IF(VLOOKUP(B226,'Dados gerais'!$D$33:$F$35,3,FALSE)="",VLOOKUP('Outras emissões de processo'!B226,'Fatores de Emissão'!$B$12:$E$14,3, FALSE),VLOOKUP(B226,'Dados gerais'!$D$33:$F$35,3,FALSE)),"")</f>
        <v/>
      </c>
      <c r="Q226" s="270"/>
      <c r="R226" s="982" t="str">
        <f>IFERROR(IF(G226=FAAS!$K$135,'Outras emissões de processo'!I226,VLOOKUP(G226,FAAS!$B$63:$J$82,9,FALSE)),"")</f>
        <v/>
      </c>
      <c r="S226" s="982" t="str">
        <f t="shared" si="2"/>
        <v/>
      </c>
      <c r="T226" s="982" t="str">
        <f t="shared" si="3"/>
        <v/>
      </c>
      <c r="U226" s="572" t="str">
        <f>IFERROR(VLOOKUP(L226,FAAS!$A$142:$D$144,2,FALSE)*365*'Fatores de Emissão'!$E$248/1000,"")</f>
        <v/>
      </c>
      <c r="V226" s="572" t="str">
        <f t="shared" si="4"/>
        <v/>
      </c>
      <c r="W226" s="572" t="str">
        <f t="shared" si="5"/>
        <v/>
      </c>
      <c r="Z226" s="277"/>
      <c r="AA226" s="273"/>
      <c r="AB226" s="274"/>
      <c r="AC226" s="273"/>
      <c r="AD226" s="277"/>
      <c r="AE226" s="275"/>
      <c r="AF226" s="272"/>
      <c r="AG226" s="275"/>
      <c r="AH226" s="275"/>
      <c r="AI226" s="275"/>
      <c r="AJ226" s="272"/>
      <c r="AK226" s="276"/>
    </row>
    <row r="227" spans="2:37" ht="15.5" outlineLevel="2" x14ac:dyDescent="0.35">
      <c r="B227" s="269"/>
      <c r="C227" s="943"/>
      <c r="D227" s="250"/>
      <c r="E227" s="249"/>
      <c r="F227" s="909"/>
      <c r="G227" s="269"/>
      <c r="H227" s="270"/>
      <c r="I227" s="270"/>
      <c r="J227" s="271"/>
      <c r="K227" s="618"/>
      <c r="L227" s="249"/>
      <c r="M227" s="561"/>
      <c r="N227" s="982" t="str">
        <f>IFERROR(IF(E227=FAAS!$B$81,I227,VLOOKUP(E227,FAAS!$K$113:$L$134,2,FALSE)),"")</f>
        <v/>
      </c>
      <c r="O227" s="982" t="str">
        <f t="shared" si="6"/>
        <v/>
      </c>
      <c r="P227" s="982" t="str">
        <f>IFERROR(IF(VLOOKUP(B227,'Dados gerais'!$D$33:$F$35,3,FALSE)="",VLOOKUP('Outras emissões de processo'!B227,'Fatores de Emissão'!$B$12:$E$14,3, FALSE),VLOOKUP(B227,'Dados gerais'!$D$33:$F$35,3,FALSE)),"")</f>
        <v/>
      </c>
      <c r="Q227" s="270"/>
      <c r="R227" s="982" t="str">
        <f>IFERROR(IF(G227=FAAS!$K$135,'Outras emissões de processo'!I227,VLOOKUP(G227,FAAS!$B$63:$J$82,9,FALSE)),"")</f>
        <v/>
      </c>
      <c r="S227" s="982" t="str">
        <f t="shared" si="2"/>
        <v/>
      </c>
      <c r="T227" s="982" t="str">
        <f t="shared" si="3"/>
        <v/>
      </c>
      <c r="U227" s="572" t="str">
        <f>IFERROR(VLOOKUP(L227,FAAS!$A$142:$D$144,2,FALSE)*365*'Fatores de Emissão'!$E$248/1000,"")</f>
        <v/>
      </c>
      <c r="V227" s="572" t="str">
        <f t="shared" si="4"/>
        <v/>
      </c>
      <c r="W227" s="572" t="str">
        <f t="shared" si="5"/>
        <v/>
      </c>
      <c r="Z227" s="277"/>
      <c r="AA227" s="273"/>
      <c r="AB227" s="274"/>
      <c r="AC227" s="273"/>
      <c r="AD227" s="277"/>
      <c r="AE227" s="275"/>
      <c r="AF227" s="272"/>
      <c r="AG227" s="275"/>
      <c r="AH227" s="275"/>
      <c r="AI227" s="275"/>
      <c r="AJ227" s="272"/>
      <c r="AK227" s="276"/>
    </row>
    <row r="228" spans="2:37" ht="15.5" outlineLevel="2" x14ac:dyDescent="0.35">
      <c r="B228" s="269"/>
      <c r="C228" s="943"/>
      <c r="D228" s="250"/>
      <c r="E228" s="249"/>
      <c r="F228" s="909"/>
      <c r="G228" s="269"/>
      <c r="H228" s="270"/>
      <c r="I228" s="270"/>
      <c r="J228" s="271"/>
      <c r="K228" s="618"/>
      <c r="L228" s="249"/>
      <c r="M228" s="561"/>
      <c r="N228" s="982" t="str">
        <f>IFERROR(IF(E228=FAAS!$B$81,I228,VLOOKUP(E228,FAAS!$K$113:$L$134,2,FALSE)),"")</f>
        <v/>
      </c>
      <c r="O228" s="982" t="str">
        <f t="shared" si="6"/>
        <v/>
      </c>
      <c r="P228" s="982" t="str">
        <f>IFERROR(IF(VLOOKUP(B228,'Dados gerais'!$D$33:$F$35,3,FALSE)="",VLOOKUP('Outras emissões de processo'!B228,'Fatores de Emissão'!$B$12:$E$14,3, FALSE),VLOOKUP(B228,'Dados gerais'!$D$33:$F$35,3,FALSE)),"")</f>
        <v/>
      </c>
      <c r="Q228" s="270"/>
      <c r="R228" s="982" t="str">
        <f>IFERROR(IF(G228=FAAS!$K$135,'Outras emissões de processo'!I228,VLOOKUP(G228,FAAS!$B$63:$J$82,9,FALSE)),"")</f>
        <v/>
      </c>
      <c r="S228" s="982" t="str">
        <f t="shared" si="2"/>
        <v/>
      </c>
      <c r="T228" s="982" t="str">
        <f t="shared" si="3"/>
        <v/>
      </c>
      <c r="U228" s="572" t="str">
        <f>IFERROR(VLOOKUP(L228,FAAS!$A$142:$D$144,2,FALSE)*365*'Fatores de Emissão'!$E$248/1000,"")</f>
        <v/>
      </c>
      <c r="V228" s="572" t="str">
        <f t="shared" si="4"/>
        <v/>
      </c>
      <c r="W228" s="572" t="str">
        <f t="shared" si="5"/>
        <v/>
      </c>
      <c r="Z228" s="277"/>
      <c r="AA228" s="273"/>
      <c r="AB228" s="274"/>
      <c r="AC228" s="273"/>
      <c r="AD228" s="277"/>
      <c r="AE228" s="275"/>
      <c r="AF228" s="272"/>
      <c r="AG228" s="275"/>
      <c r="AH228" s="275"/>
      <c r="AI228" s="275"/>
      <c r="AJ228" s="272"/>
      <c r="AK228" s="276"/>
    </row>
    <row r="229" spans="2:37" ht="15.5" outlineLevel="2" x14ac:dyDescent="0.35">
      <c r="B229" s="269"/>
      <c r="C229" s="943"/>
      <c r="D229" s="250"/>
      <c r="E229" s="249"/>
      <c r="F229" s="909"/>
      <c r="G229" s="269"/>
      <c r="H229" s="270"/>
      <c r="I229" s="270"/>
      <c r="J229" s="271"/>
      <c r="K229" s="618"/>
      <c r="L229" s="249"/>
      <c r="M229" s="561"/>
      <c r="N229" s="982" t="str">
        <f>IFERROR(IF(E229=FAAS!$B$81,I229,VLOOKUP(E229,FAAS!$K$113:$L$134,2,FALSE)),"")</f>
        <v/>
      </c>
      <c r="O229" s="982" t="str">
        <f t="shared" si="6"/>
        <v/>
      </c>
      <c r="P229" s="982" t="str">
        <f>IFERROR(IF(VLOOKUP(B229,'Dados gerais'!$D$33:$F$35,3,FALSE)="",VLOOKUP('Outras emissões de processo'!B229,'Fatores de Emissão'!$B$12:$E$14,3, FALSE),VLOOKUP(B229,'Dados gerais'!$D$33:$F$35,3,FALSE)),"")</f>
        <v/>
      </c>
      <c r="Q229" s="270"/>
      <c r="R229" s="982" t="str">
        <f>IFERROR(IF(G229=FAAS!$K$135,'Outras emissões de processo'!I229,VLOOKUP(G229,FAAS!$B$63:$J$82,9,FALSE)),"")</f>
        <v/>
      </c>
      <c r="S229" s="982" t="str">
        <f t="shared" si="2"/>
        <v/>
      </c>
      <c r="T229" s="982" t="str">
        <f t="shared" si="3"/>
        <v/>
      </c>
      <c r="U229" s="572" t="str">
        <f>IFERROR(VLOOKUP(L229,FAAS!$A$142:$D$144,2,FALSE)*365*'Fatores de Emissão'!$E$248/1000,"")</f>
        <v/>
      </c>
      <c r="V229" s="572" t="str">
        <f t="shared" si="4"/>
        <v/>
      </c>
      <c r="W229" s="572" t="str">
        <f t="shared" si="5"/>
        <v/>
      </c>
      <c r="Z229" s="277"/>
      <c r="AA229" s="273"/>
      <c r="AB229" s="274"/>
      <c r="AC229" s="273"/>
      <c r="AD229" s="277"/>
      <c r="AE229" s="275"/>
      <c r="AF229" s="272"/>
      <c r="AG229" s="275"/>
      <c r="AH229" s="275"/>
      <c r="AI229" s="275"/>
      <c r="AJ229" s="272"/>
      <c r="AK229" s="276"/>
    </row>
    <row r="230" spans="2:37" ht="15.5" outlineLevel="2" x14ac:dyDescent="0.35">
      <c r="B230" s="269"/>
      <c r="C230" s="943"/>
      <c r="D230" s="250"/>
      <c r="E230" s="249"/>
      <c r="F230" s="909"/>
      <c r="G230" s="269"/>
      <c r="H230" s="270"/>
      <c r="I230" s="270"/>
      <c r="J230" s="271"/>
      <c r="K230" s="618"/>
      <c r="L230" s="249"/>
      <c r="M230" s="561"/>
      <c r="N230" s="982" t="str">
        <f>IFERROR(IF(E230=FAAS!$B$81,I230,VLOOKUP(E230,FAAS!$K$113:$L$134,2,FALSE)),"")</f>
        <v/>
      </c>
      <c r="O230" s="982" t="str">
        <f t="shared" si="6"/>
        <v/>
      </c>
      <c r="P230" s="982" t="str">
        <f>IFERROR(IF(VLOOKUP(B230,'Dados gerais'!$D$33:$F$35,3,FALSE)="",VLOOKUP('Outras emissões de processo'!B230,'Fatores de Emissão'!$B$12:$E$14,3, FALSE),VLOOKUP(B230,'Dados gerais'!$D$33:$F$35,3,FALSE)),"")</f>
        <v/>
      </c>
      <c r="Q230" s="270"/>
      <c r="R230" s="982" t="str">
        <f>IFERROR(IF(G230=FAAS!$K$135,'Outras emissões de processo'!I230,VLOOKUP(G230,FAAS!$B$63:$J$82,9,FALSE)),"")</f>
        <v/>
      </c>
      <c r="S230" s="982" t="str">
        <f t="shared" si="2"/>
        <v/>
      </c>
      <c r="T230" s="982" t="str">
        <f t="shared" si="3"/>
        <v/>
      </c>
      <c r="U230" s="572" t="str">
        <f>IFERROR(VLOOKUP(L230,FAAS!$A$142:$D$144,2,FALSE)*365*'Fatores de Emissão'!$E$248/1000,"")</f>
        <v/>
      </c>
      <c r="V230" s="572" t="str">
        <f t="shared" si="4"/>
        <v/>
      </c>
      <c r="W230" s="572" t="str">
        <f t="shared" si="5"/>
        <v/>
      </c>
      <c r="Z230" s="277"/>
      <c r="AA230" s="273"/>
      <c r="AB230" s="274"/>
      <c r="AC230" s="273"/>
      <c r="AD230" s="277"/>
      <c r="AE230" s="275"/>
      <c r="AF230" s="272"/>
      <c r="AG230" s="275"/>
      <c r="AH230" s="275"/>
      <c r="AI230" s="275"/>
      <c r="AJ230" s="272"/>
      <c r="AK230" s="276"/>
    </row>
    <row r="231" spans="2:37" ht="15.5" outlineLevel="2" x14ac:dyDescent="0.35">
      <c r="B231" s="269"/>
      <c r="C231" s="943"/>
      <c r="D231" s="250"/>
      <c r="E231" s="249"/>
      <c r="F231" s="909"/>
      <c r="G231" s="269"/>
      <c r="H231" s="270"/>
      <c r="I231" s="270"/>
      <c r="J231" s="271"/>
      <c r="K231" s="618"/>
      <c r="L231" s="249"/>
      <c r="M231" s="561"/>
      <c r="N231" s="982" t="str">
        <f>IFERROR(IF(E231=FAAS!$B$81,I231,VLOOKUP(E231,FAAS!$K$113:$L$134,2,FALSE)),"")</f>
        <v/>
      </c>
      <c r="O231" s="982" t="str">
        <f t="shared" si="6"/>
        <v/>
      </c>
      <c r="P231" s="982" t="str">
        <f>IFERROR(IF(VLOOKUP(B231,'Dados gerais'!$D$33:$F$35,3,FALSE)="",VLOOKUP('Outras emissões de processo'!B231,'Fatores de Emissão'!$B$12:$E$14,3, FALSE),VLOOKUP(B231,'Dados gerais'!$D$33:$F$35,3,FALSE)),"")</f>
        <v/>
      </c>
      <c r="Q231" s="270"/>
      <c r="R231" s="982" t="str">
        <f>IFERROR(IF(G231=FAAS!$K$135,'Outras emissões de processo'!I231,VLOOKUP(G231,FAAS!$B$63:$J$82,9,FALSE)),"")</f>
        <v/>
      </c>
      <c r="S231" s="982" t="str">
        <f t="shared" si="2"/>
        <v/>
      </c>
      <c r="T231" s="982" t="str">
        <f t="shared" si="3"/>
        <v/>
      </c>
      <c r="U231" s="572" t="str">
        <f>IFERROR(VLOOKUP(L231,FAAS!$A$142:$D$144,2,FALSE)*365*'Fatores de Emissão'!$E$248/1000,"")</f>
        <v/>
      </c>
      <c r="V231" s="572" t="str">
        <f t="shared" si="4"/>
        <v/>
      </c>
      <c r="W231" s="572" t="str">
        <f t="shared" si="5"/>
        <v/>
      </c>
      <c r="Z231" s="277"/>
      <c r="AA231" s="273"/>
      <c r="AB231" s="274"/>
      <c r="AC231" s="273"/>
      <c r="AD231" s="277"/>
      <c r="AE231" s="275"/>
      <c r="AF231" s="272"/>
      <c r="AG231" s="275"/>
      <c r="AH231" s="275"/>
      <c r="AI231" s="275"/>
      <c r="AJ231" s="272"/>
      <c r="AK231" s="276"/>
    </row>
    <row r="232" spans="2:37" ht="15.5" outlineLevel="2" x14ac:dyDescent="0.35">
      <c r="B232" s="269"/>
      <c r="C232" s="943"/>
      <c r="D232" s="250"/>
      <c r="E232" s="249"/>
      <c r="F232" s="909"/>
      <c r="G232" s="269"/>
      <c r="H232" s="270"/>
      <c r="I232" s="270"/>
      <c r="J232" s="271"/>
      <c r="K232" s="618"/>
      <c r="L232" s="249"/>
      <c r="M232" s="561"/>
      <c r="N232" s="982" t="str">
        <f>IFERROR(IF(E232=FAAS!$B$81,I232,VLOOKUP(E232,FAAS!$K$113:$L$134,2,FALSE)),"")</f>
        <v/>
      </c>
      <c r="O232" s="982" t="str">
        <f t="shared" si="6"/>
        <v/>
      </c>
      <c r="P232" s="982" t="str">
        <f>IFERROR(IF(VLOOKUP(B232,'Dados gerais'!$D$33:$F$35,3,FALSE)="",VLOOKUP('Outras emissões de processo'!B232,'Fatores de Emissão'!$B$12:$E$14,3, FALSE),VLOOKUP(B232,'Dados gerais'!$D$33:$F$35,3,FALSE)),"")</f>
        <v/>
      </c>
      <c r="Q232" s="270"/>
      <c r="R232" s="982" t="str">
        <f>IFERROR(IF(G232=FAAS!$K$135,'Outras emissões de processo'!I232,VLOOKUP(G232,FAAS!$B$63:$J$82,9,FALSE)),"")</f>
        <v/>
      </c>
      <c r="S232" s="982" t="str">
        <f t="shared" ref="S232:S266" si="7">IFERROR(R232*K232,"")</f>
        <v/>
      </c>
      <c r="T232" s="982" t="str">
        <f t="shared" ref="T232:T266" si="8">IFERROR(S232*P232,"")</f>
        <v/>
      </c>
      <c r="U232" s="572" t="str">
        <f>IFERROR(VLOOKUP(L232,FAAS!$A$142:$D$144,2,FALSE)*365*'Fatores de Emissão'!$E$248/1000,"")</f>
        <v/>
      </c>
      <c r="V232" s="572" t="str">
        <f t="shared" ref="V232:V266" si="9">IFERROR(U232*M232,"")</f>
        <v/>
      </c>
      <c r="W232" s="572" t="str">
        <f t="shared" ref="W232:W266" si="10">IFERROR(V232*P232,"")</f>
        <v/>
      </c>
      <c r="Z232" s="277"/>
      <c r="AA232" s="273"/>
      <c r="AB232" s="274"/>
      <c r="AC232" s="273"/>
      <c r="AD232" s="277"/>
      <c r="AE232" s="275"/>
      <c r="AF232" s="272"/>
      <c r="AG232" s="275"/>
      <c r="AH232" s="275"/>
      <c r="AI232" s="275"/>
      <c r="AJ232" s="272"/>
      <c r="AK232" s="276"/>
    </row>
    <row r="233" spans="2:37" ht="15.5" outlineLevel="2" x14ac:dyDescent="0.35">
      <c r="B233" s="269"/>
      <c r="C233" s="943"/>
      <c r="D233" s="250"/>
      <c r="E233" s="249"/>
      <c r="F233" s="909"/>
      <c r="G233" s="269"/>
      <c r="H233" s="270"/>
      <c r="I233" s="270"/>
      <c r="J233" s="271"/>
      <c r="K233" s="618"/>
      <c r="L233" s="249"/>
      <c r="M233" s="561"/>
      <c r="N233" s="982" t="str">
        <f>IFERROR(IF(E233=FAAS!$B$81,I233,VLOOKUP(E233,FAAS!$K$113:$L$134,2,FALSE)),"")</f>
        <v/>
      </c>
      <c r="O233" s="982" t="str">
        <f t="shared" ref="O233:O266" si="11">IFERROR(N233*F233,"")</f>
        <v/>
      </c>
      <c r="P233" s="982" t="str">
        <f>IFERROR(IF(VLOOKUP(B233,'Dados gerais'!$D$33:$F$35,3,FALSE)="",VLOOKUP('Outras emissões de processo'!B233,'Fatores de Emissão'!$B$12:$E$14,3, FALSE),VLOOKUP(B233,'Dados gerais'!$D$33:$F$35,3,FALSE)),"")</f>
        <v/>
      </c>
      <c r="Q233" s="270"/>
      <c r="R233" s="982" t="str">
        <f>IFERROR(IF(G233=FAAS!$K$135,'Outras emissões de processo'!I233,VLOOKUP(G233,FAAS!$B$63:$J$82,9,FALSE)),"")</f>
        <v/>
      </c>
      <c r="S233" s="982" t="str">
        <f t="shared" si="7"/>
        <v/>
      </c>
      <c r="T233" s="982" t="str">
        <f t="shared" si="8"/>
        <v/>
      </c>
      <c r="U233" s="572" t="str">
        <f>IFERROR(VLOOKUP(L233,FAAS!$A$142:$D$144,2,FALSE)*365*'Fatores de Emissão'!$E$248/1000,"")</f>
        <v/>
      </c>
      <c r="V233" s="572" t="str">
        <f t="shared" si="9"/>
        <v/>
      </c>
      <c r="W233" s="572" t="str">
        <f t="shared" si="10"/>
        <v/>
      </c>
      <c r="Z233" s="277"/>
      <c r="AA233" s="273"/>
      <c r="AB233" s="274"/>
      <c r="AC233" s="273"/>
      <c r="AD233" s="277"/>
      <c r="AE233" s="275"/>
      <c r="AF233" s="272"/>
      <c r="AG233" s="275"/>
      <c r="AH233" s="275"/>
      <c r="AI233" s="275"/>
      <c r="AJ233" s="272"/>
      <c r="AK233" s="276"/>
    </row>
    <row r="234" spans="2:37" ht="15.5" outlineLevel="2" x14ac:dyDescent="0.35">
      <c r="B234" s="269"/>
      <c r="C234" s="943"/>
      <c r="D234" s="250"/>
      <c r="E234" s="249"/>
      <c r="F234" s="909"/>
      <c r="G234" s="269"/>
      <c r="H234" s="270"/>
      <c r="I234" s="270"/>
      <c r="J234" s="271"/>
      <c r="K234" s="618"/>
      <c r="L234" s="249"/>
      <c r="M234" s="561"/>
      <c r="N234" s="982" t="str">
        <f>IFERROR(IF(E234=FAAS!$B$81,I234,VLOOKUP(E234,FAAS!$K$113:$L$134,2,FALSE)),"")</f>
        <v/>
      </c>
      <c r="O234" s="982" t="str">
        <f t="shared" si="11"/>
        <v/>
      </c>
      <c r="P234" s="982" t="str">
        <f>IFERROR(IF(VLOOKUP(B234,'Dados gerais'!$D$33:$F$35,3,FALSE)="",VLOOKUP('Outras emissões de processo'!B234,'Fatores de Emissão'!$B$12:$E$14,3, FALSE),VLOOKUP(B234,'Dados gerais'!$D$33:$F$35,3,FALSE)),"")</f>
        <v/>
      </c>
      <c r="Q234" s="270"/>
      <c r="R234" s="982" t="str">
        <f>IFERROR(IF(G234=FAAS!$K$135,'Outras emissões de processo'!I234,VLOOKUP(G234,FAAS!$B$63:$J$82,9,FALSE)),"")</f>
        <v/>
      </c>
      <c r="S234" s="982" t="str">
        <f t="shared" si="7"/>
        <v/>
      </c>
      <c r="T234" s="982" t="str">
        <f t="shared" si="8"/>
        <v/>
      </c>
      <c r="U234" s="572" t="str">
        <f>IFERROR(VLOOKUP(L234,FAAS!$A$142:$D$144,2,FALSE)*365*'Fatores de Emissão'!$E$248/1000,"")</f>
        <v/>
      </c>
      <c r="V234" s="572" t="str">
        <f t="shared" si="9"/>
        <v/>
      </c>
      <c r="W234" s="572" t="str">
        <f t="shared" si="10"/>
        <v/>
      </c>
      <c r="Z234" s="277"/>
      <c r="AA234" s="273"/>
      <c r="AB234" s="274"/>
      <c r="AC234" s="273"/>
      <c r="AD234" s="277"/>
      <c r="AE234" s="275"/>
      <c r="AF234" s="272"/>
      <c r="AG234" s="275"/>
      <c r="AH234" s="275"/>
      <c r="AI234" s="275"/>
      <c r="AJ234" s="272"/>
      <c r="AK234" s="276"/>
    </row>
    <row r="235" spans="2:37" ht="15.5" outlineLevel="2" x14ac:dyDescent="0.35">
      <c r="B235" s="269"/>
      <c r="C235" s="943"/>
      <c r="D235" s="250"/>
      <c r="E235" s="249"/>
      <c r="F235" s="909"/>
      <c r="G235" s="269"/>
      <c r="H235" s="270"/>
      <c r="I235" s="270"/>
      <c r="J235" s="271"/>
      <c r="K235" s="618"/>
      <c r="L235" s="249"/>
      <c r="M235" s="561"/>
      <c r="N235" s="982" t="str">
        <f>IFERROR(IF(E235=FAAS!$B$81,I235,VLOOKUP(E235,FAAS!$K$113:$L$134,2,FALSE)),"")</f>
        <v/>
      </c>
      <c r="O235" s="982" t="str">
        <f t="shared" si="11"/>
        <v/>
      </c>
      <c r="P235" s="982" t="str">
        <f>IFERROR(IF(VLOOKUP(B235,'Dados gerais'!$D$33:$F$35,3,FALSE)="",VLOOKUP('Outras emissões de processo'!B235,'Fatores de Emissão'!$B$12:$E$14,3, FALSE),VLOOKUP(B235,'Dados gerais'!$D$33:$F$35,3,FALSE)),"")</f>
        <v/>
      </c>
      <c r="Q235" s="270"/>
      <c r="R235" s="982" t="str">
        <f>IFERROR(IF(G235=FAAS!$K$135,'Outras emissões de processo'!I235,VLOOKUP(G235,FAAS!$B$63:$J$82,9,FALSE)),"")</f>
        <v/>
      </c>
      <c r="S235" s="982" t="str">
        <f t="shared" si="7"/>
        <v/>
      </c>
      <c r="T235" s="982" t="str">
        <f t="shared" si="8"/>
        <v/>
      </c>
      <c r="U235" s="572" t="str">
        <f>IFERROR(VLOOKUP(L235,FAAS!$A$142:$D$144,2,FALSE)*365*'Fatores de Emissão'!$E$248/1000,"")</f>
        <v/>
      </c>
      <c r="V235" s="572" t="str">
        <f t="shared" si="9"/>
        <v/>
      </c>
      <c r="W235" s="572" t="str">
        <f t="shared" si="10"/>
        <v/>
      </c>
      <c r="Z235" s="277"/>
      <c r="AA235" s="273"/>
      <c r="AB235" s="274"/>
      <c r="AC235" s="273"/>
      <c r="AD235" s="277"/>
      <c r="AE235" s="275"/>
      <c r="AF235" s="272"/>
      <c r="AG235" s="275"/>
      <c r="AH235" s="275"/>
      <c r="AI235" s="275"/>
      <c r="AJ235" s="272"/>
      <c r="AK235" s="276"/>
    </row>
    <row r="236" spans="2:37" ht="15.5" outlineLevel="2" x14ac:dyDescent="0.35">
      <c r="B236" s="269"/>
      <c r="C236" s="943"/>
      <c r="D236" s="250"/>
      <c r="E236" s="249"/>
      <c r="F236" s="909"/>
      <c r="G236" s="269"/>
      <c r="H236" s="270"/>
      <c r="I236" s="270"/>
      <c r="J236" s="271"/>
      <c r="K236" s="618"/>
      <c r="L236" s="249"/>
      <c r="M236" s="561"/>
      <c r="N236" s="982" t="str">
        <f>IFERROR(IF(E236=FAAS!$B$81,I236,VLOOKUP(E236,FAAS!$K$113:$L$134,2,FALSE)),"")</f>
        <v/>
      </c>
      <c r="O236" s="982" t="str">
        <f t="shared" si="11"/>
        <v/>
      </c>
      <c r="P236" s="982" t="str">
        <f>IFERROR(IF(VLOOKUP(B236,'Dados gerais'!$D$33:$F$35,3,FALSE)="",VLOOKUP('Outras emissões de processo'!B236,'Fatores de Emissão'!$B$12:$E$14,3, FALSE),VLOOKUP(B236,'Dados gerais'!$D$33:$F$35,3,FALSE)),"")</f>
        <v/>
      </c>
      <c r="Q236" s="270"/>
      <c r="R236" s="982" t="str">
        <f>IFERROR(IF(G236=FAAS!$K$135,'Outras emissões de processo'!I236,VLOOKUP(G236,FAAS!$B$63:$J$82,9,FALSE)),"")</f>
        <v/>
      </c>
      <c r="S236" s="982" t="str">
        <f t="shared" si="7"/>
        <v/>
      </c>
      <c r="T236" s="982" t="str">
        <f t="shared" si="8"/>
        <v/>
      </c>
      <c r="U236" s="572" t="str">
        <f>IFERROR(VLOOKUP(L236,FAAS!$A$142:$D$144,2,FALSE)*365*'Fatores de Emissão'!$E$248/1000,"")</f>
        <v/>
      </c>
      <c r="V236" s="572" t="str">
        <f t="shared" si="9"/>
        <v/>
      </c>
      <c r="W236" s="572" t="str">
        <f t="shared" si="10"/>
        <v/>
      </c>
      <c r="Z236" s="277"/>
      <c r="AA236" s="273"/>
      <c r="AB236" s="274"/>
      <c r="AC236" s="273"/>
      <c r="AD236" s="277"/>
      <c r="AE236" s="275"/>
      <c r="AF236" s="272"/>
      <c r="AG236" s="275"/>
      <c r="AH236" s="275"/>
      <c r="AI236" s="275"/>
      <c r="AJ236" s="272"/>
      <c r="AK236" s="276"/>
    </row>
    <row r="237" spans="2:37" ht="15.5" outlineLevel="2" x14ac:dyDescent="0.35">
      <c r="B237" s="269"/>
      <c r="C237" s="943"/>
      <c r="D237" s="250"/>
      <c r="E237" s="249"/>
      <c r="F237" s="909"/>
      <c r="G237" s="269"/>
      <c r="H237" s="270"/>
      <c r="I237" s="270"/>
      <c r="J237" s="271"/>
      <c r="K237" s="618"/>
      <c r="L237" s="249"/>
      <c r="M237" s="561"/>
      <c r="N237" s="982" t="str">
        <f>IFERROR(IF(E237=FAAS!$B$81,I237,VLOOKUP(E237,FAAS!$K$113:$L$134,2,FALSE)),"")</f>
        <v/>
      </c>
      <c r="O237" s="982" t="str">
        <f t="shared" si="11"/>
        <v/>
      </c>
      <c r="P237" s="982" t="str">
        <f>IFERROR(IF(VLOOKUP(B237,'Dados gerais'!$D$33:$F$35,3,FALSE)="",VLOOKUP('Outras emissões de processo'!B237,'Fatores de Emissão'!$B$12:$E$14,3, FALSE),VLOOKUP(B237,'Dados gerais'!$D$33:$F$35,3,FALSE)),"")</f>
        <v/>
      </c>
      <c r="Q237" s="270"/>
      <c r="R237" s="982" t="str">
        <f>IFERROR(IF(G237=FAAS!$K$135,'Outras emissões de processo'!I237,VLOOKUP(G237,FAAS!$B$63:$J$82,9,FALSE)),"")</f>
        <v/>
      </c>
      <c r="S237" s="982" t="str">
        <f t="shared" si="7"/>
        <v/>
      </c>
      <c r="T237" s="982" t="str">
        <f t="shared" si="8"/>
        <v/>
      </c>
      <c r="U237" s="572" t="str">
        <f>IFERROR(VLOOKUP(L237,FAAS!$A$142:$D$144,2,FALSE)*365*'Fatores de Emissão'!$E$248/1000,"")</f>
        <v/>
      </c>
      <c r="V237" s="572" t="str">
        <f t="shared" si="9"/>
        <v/>
      </c>
      <c r="W237" s="572" t="str">
        <f t="shared" si="10"/>
        <v/>
      </c>
      <c r="Z237" s="277"/>
      <c r="AA237" s="273"/>
      <c r="AB237" s="274"/>
      <c r="AC237" s="273"/>
      <c r="AD237" s="277"/>
      <c r="AE237" s="275"/>
      <c r="AF237" s="272"/>
      <c r="AG237" s="275"/>
      <c r="AH237" s="275"/>
      <c r="AI237" s="275"/>
      <c r="AJ237" s="272"/>
      <c r="AK237" s="276"/>
    </row>
    <row r="238" spans="2:37" ht="15.5" outlineLevel="2" x14ac:dyDescent="0.35">
      <c r="B238" s="269"/>
      <c r="C238" s="943"/>
      <c r="D238" s="250"/>
      <c r="E238" s="249"/>
      <c r="F238" s="909"/>
      <c r="G238" s="269"/>
      <c r="H238" s="270"/>
      <c r="I238" s="270"/>
      <c r="J238" s="271"/>
      <c r="K238" s="618"/>
      <c r="L238" s="249"/>
      <c r="M238" s="561"/>
      <c r="N238" s="982" t="str">
        <f>IFERROR(IF(E238=FAAS!$B$81,I238,VLOOKUP(E238,FAAS!$K$113:$L$134,2,FALSE)),"")</f>
        <v/>
      </c>
      <c r="O238" s="982" t="str">
        <f t="shared" si="11"/>
        <v/>
      </c>
      <c r="P238" s="982" t="str">
        <f>IFERROR(IF(VLOOKUP(B238,'Dados gerais'!$D$33:$F$35,3,FALSE)="",VLOOKUP('Outras emissões de processo'!B238,'Fatores de Emissão'!$B$12:$E$14,3, FALSE),VLOOKUP(B238,'Dados gerais'!$D$33:$F$35,3,FALSE)),"")</f>
        <v/>
      </c>
      <c r="Q238" s="270"/>
      <c r="R238" s="982" t="str">
        <f>IFERROR(IF(G238=FAAS!$K$135,'Outras emissões de processo'!I238,VLOOKUP(G238,FAAS!$B$63:$J$82,9,FALSE)),"")</f>
        <v/>
      </c>
      <c r="S238" s="982" t="str">
        <f t="shared" si="7"/>
        <v/>
      </c>
      <c r="T238" s="982" t="str">
        <f t="shared" si="8"/>
        <v/>
      </c>
      <c r="U238" s="572" t="str">
        <f>IFERROR(VLOOKUP(L238,FAAS!$A$142:$D$144,2,FALSE)*365*'Fatores de Emissão'!$E$248/1000,"")</f>
        <v/>
      </c>
      <c r="V238" s="572" t="str">
        <f t="shared" si="9"/>
        <v/>
      </c>
      <c r="W238" s="572" t="str">
        <f t="shared" si="10"/>
        <v/>
      </c>
      <c r="Z238" s="277"/>
      <c r="AA238" s="273"/>
      <c r="AB238" s="274"/>
      <c r="AC238" s="273"/>
      <c r="AD238" s="277"/>
      <c r="AE238" s="275"/>
      <c r="AF238" s="272"/>
      <c r="AG238" s="275"/>
      <c r="AH238" s="275"/>
      <c r="AI238" s="275"/>
      <c r="AJ238" s="272"/>
      <c r="AK238" s="276"/>
    </row>
    <row r="239" spans="2:37" ht="15.5" outlineLevel="2" x14ac:dyDescent="0.35">
      <c r="B239" s="269"/>
      <c r="C239" s="943"/>
      <c r="D239" s="250"/>
      <c r="E239" s="249"/>
      <c r="F239" s="909"/>
      <c r="G239" s="269"/>
      <c r="H239" s="270"/>
      <c r="I239" s="270"/>
      <c r="J239" s="271"/>
      <c r="K239" s="618"/>
      <c r="L239" s="249"/>
      <c r="M239" s="561"/>
      <c r="N239" s="982" t="str">
        <f>IFERROR(IF(E239=FAAS!$B$81,I239,VLOOKUP(E239,FAAS!$K$113:$L$134,2,FALSE)),"")</f>
        <v/>
      </c>
      <c r="O239" s="982" t="str">
        <f t="shared" si="11"/>
        <v/>
      </c>
      <c r="P239" s="982" t="str">
        <f>IFERROR(IF(VLOOKUP(B239,'Dados gerais'!$D$33:$F$35,3,FALSE)="",VLOOKUP('Outras emissões de processo'!B239,'Fatores de Emissão'!$B$12:$E$14,3, FALSE),VLOOKUP(B239,'Dados gerais'!$D$33:$F$35,3,FALSE)),"")</f>
        <v/>
      </c>
      <c r="Q239" s="270"/>
      <c r="R239" s="982" t="str">
        <f>IFERROR(IF(G239=FAAS!$K$135,'Outras emissões de processo'!I239,VLOOKUP(G239,FAAS!$B$63:$J$82,9,FALSE)),"")</f>
        <v/>
      </c>
      <c r="S239" s="982" t="str">
        <f t="shared" si="7"/>
        <v/>
      </c>
      <c r="T239" s="982" t="str">
        <f t="shared" si="8"/>
        <v/>
      </c>
      <c r="U239" s="572" t="str">
        <f>IFERROR(VLOOKUP(L239,FAAS!$A$142:$D$144,2,FALSE)*365*'Fatores de Emissão'!$E$248/1000,"")</f>
        <v/>
      </c>
      <c r="V239" s="572" t="str">
        <f t="shared" si="9"/>
        <v/>
      </c>
      <c r="W239" s="572" t="str">
        <f t="shared" si="10"/>
        <v/>
      </c>
      <c r="Z239" s="277"/>
      <c r="AA239" s="273"/>
      <c r="AB239" s="274"/>
      <c r="AC239" s="273"/>
      <c r="AD239" s="277"/>
      <c r="AE239" s="275"/>
      <c r="AF239" s="272"/>
      <c r="AG239" s="275"/>
      <c r="AH239" s="275"/>
      <c r="AI239" s="275"/>
      <c r="AJ239" s="272"/>
      <c r="AK239" s="276"/>
    </row>
    <row r="240" spans="2:37" ht="15.5" outlineLevel="2" x14ac:dyDescent="0.35">
      <c r="B240" s="269"/>
      <c r="C240" s="943"/>
      <c r="D240" s="250"/>
      <c r="E240" s="249"/>
      <c r="F240" s="909"/>
      <c r="G240" s="269"/>
      <c r="H240" s="270"/>
      <c r="I240" s="270"/>
      <c r="J240" s="271"/>
      <c r="K240" s="618"/>
      <c r="L240" s="249"/>
      <c r="M240" s="561"/>
      <c r="N240" s="982" t="str">
        <f>IFERROR(IF(E240=FAAS!$B$81,I240,VLOOKUP(E240,FAAS!$K$113:$L$134,2,FALSE)),"")</f>
        <v/>
      </c>
      <c r="O240" s="982" t="str">
        <f t="shared" si="11"/>
        <v/>
      </c>
      <c r="P240" s="982" t="str">
        <f>IFERROR(IF(VLOOKUP(B240,'Dados gerais'!$D$33:$F$35,3,FALSE)="",VLOOKUP('Outras emissões de processo'!B240,'Fatores de Emissão'!$B$12:$E$14,3, FALSE),VLOOKUP(B240,'Dados gerais'!$D$33:$F$35,3,FALSE)),"")</f>
        <v/>
      </c>
      <c r="Q240" s="270"/>
      <c r="R240" s="982" t="str">
        <f>IFERROR(IF(G240=FAAS!$K$135,'Outras emissões de processo'!I240,VLOOKUP(G240,FAAS!$B$63:$J$82,9,FALSE)),"")</f>
        <v/>
      </c>
      <c r="S240" s="982" t="str">
        <f t="shared" si="7"/>
        <v/>
      </c>
      <c r="T240" s="982" t="str">
        <f t="shared" si="8"/>
        <v/>
      </c>
      <c r="U240" s="572" t="str">
        <f>IFERROR(VLOOKUP(L240,FAAS!$A$142:$D$144,2,FALSE)*365*'Fatores de Emissão'!$E$248/1000,"")</f>
        <v/>
      </c>
      <c r="V240" s="572" t="str">
        <f t="shared" si="9"/>
        <v/>
      </c>
      <c r="W240" s="572" t="str">
        <f t="shared" si="10"/>
        <v/>
      </c>
      <c r="Z240" s="277"/>
      <c r="AA240" s="273"/>
      <c r="AB240" s="274"/>
      <c r="AC240" s="273"/>
      <c r="AD240" s="277"/>
      <c r="AE240" s="275"/>
      <c r="AF240" s="272"/>
      <c r="AG240" s="275"/>
      <c r="AH240" s="275"/>
      <c r="AI240" s="275"/>
      <c r="AJ240" s="272"/>
      <c r="AK240" s="276"/>
    </row>
    <row r="241" spans="2:37" ht="15.5" outlineLevel="2" x14ac:dyDescent="0.35">
      <c r="B241" s="269"/>
      <c r="C241" s="943"/>
      <c r="D241" s="250"/>
      <c r="E241" s="249"/>
      <c r="F241" s="909"/>
      <c r="G241" s="269"/>
      <c r="H241" s="270"/>
      <c r="I241" s="270"/>
      <c r="J241" s="271"/>
      <c r="K241" s="618"/>
      <c r="L241" s="249"/>
      <c r="M241" s="561"/>
      <c r="N241" s="982" t="str">
        <f>IFERROR(IF(E241=FAAS!$B$81,I241,VLOOKUP(E241,FAAS!$K$113:$L$134,2,FALSE)),"")</f>
        <v/>
      </c>
      <c r="O241" s="982" t="str">
        <f t="shared" si="11"/>
        <v/>
      </c>
      <c r="P241" s="982" t="str">
        <f>IFERROR(IF(VLOOKUP(B241,'Dados gerais'!$D$33:$F$35,3,FALSE)="",VLOOKUP('Outras emissões de processo'!B241,'Fatores de Emissão'!$B$12:$E$14,3, FALSE),VLOOKUP(B241,'Dados gerais'!$D$33:$F$35,3,FALSE)),"")</f>
        <v/>
      </c>
      <c r="Q241" s="270"/>
      <c r="R241" s="982" t="str">
        <f>IFERROR(IF(G241=FAAS!$K$135,'Outras emissões de processo'!I241,VLOOKUP(G241,FAAS!$B$63:$J$82,9,FALSE)),"")</f>
        <v/>
      </c>
      <c r="S241" s="982" t="str">
        <f t="shared" si="7"/>
        <v/>
      </c>
      <c r="T241" s="982" t="str">
        <f t="shared" si="8"/>
        <v/>
      </c>
      <c r="U241" s="572" t="str">
        <f>IFERROR(VLOOKUP(L241,FAAS!$A$142:$D$144,2,FALSE)*365*'Fatores de Emissão'!$E$248/1000,"")</f>
        <v/>
      </c>
      <c r="V241" s="572" t="str">
        <f t="shared" si="9"/>
        <v/>
      </c>
      <c r="W241" s="572" t="str">
        <f t="shared" si="10"/>
        <v/>
      </c>
      <c r="Z241" s="277"/>
      <c r="AA241" s="273"/>
      <c r="AB241" s="274"/>
      <c r="AC241" s="273"/>
      <c r="AD241" s="277"/>
      <c r="AE241" s="275"/>
      <c r="AF241" s="272"/>
      <c r="AG241" s="275"/>
      <c r="AH241" s="275"/>
      <c r="AI241" s="275"/>
      <c r="AJ241" s="272"/>
      <c r="AK241" s="276"/>
    </row>
    <row r="242" spans="2:37" ht="15.5" outlineLevel="2" x14ac:dyDescent="0.35">
      <c r="B242" s="269"/>
      <c r="C242" s="943"/>
      <c r="D242" s="250"/>
      <c r="E242" s="249"/>
      <c r="F242" s="909"/>
      <c r="G242" s="269"/>
      <c r="H242" s="270"/>
      <c r="I242" s="270"/>
      <c r="J242" s="271"/>
      <c r="K242" s="618"/>
      <c r="L242" s="249"/>
      <c r="M242" s="561"/>
      <c r="N242" s="982" t="str">
        <f>IFERROR(IF(E242=FAAS!$B$81,I242,VLOOKUP(E242,FAAS!$K$113:$L$134,2,FALSE)),"")</f>
        <v/>
      </c>
      <c r="O242" s="982" t="str">
        <f t="shared" si="11"/>
        <v/>
      </c>
      <c r="P242" s="982" t="str">
        <f>IFERROR(IF(VLOOKUP(B242,'Dados gerais'!$D$33:$F$35,3,FALSE)="",VLOOKUP('Outras emissões de processo'!B242,'Fatores de Emissão'!$B$12:$E$14,3, FALSE),VLOOKUP(B242,'Dados gerais'!$D$33:$F$35,3,FALSE)),"")</f>
        <v/>
      </c>
      <c r="Q242" s="270"/>
      <c r="R242" s="982" t="str">
        <f>IFERROR(IF(G242=FAAS!$K$135,'Outras emissões de processo'!I242,VLOOKUP(G242,FAAS!$B$63:$J$82,9,FALSE)),"")</f>
        <v/>
      </c>
      <c r="S242" s="982" t="str">
        <f t="shared" si="7"/>
        <v/>
      </c>
      <c r="T242" s="982" t="str">
        <f t="shared" si="8"/>
        <v/>
      </c>
      <c r="U242" s="572" t="str">
        <f>IFERROR(VLOOKUP(L242,FAAS!$A$142:$D$144,2,FALSE)*365*'Fatores de Emissão'!$E$248/1000,"")</f>
        <v/>
      </c>
      <c r="V242" s="572" t="str">
        <f t="shared" si="9"/>
        <v/>
      </c>
      <c r="W242" s="572" t="str">
        <f t="shared" si="10"/>
        <v/>
      </c>
      <c r="Z242" s="277"/>
      <c r="AA242" s="273"/>
      <c r="AB242" s="274"/>
      <c r="AC242" s="273"/>
      <c r="AD242" s="277"/>
      <c r="AE242" s="275"/>
      <c r="AF242" s="272"/>
      <c r="AG242" s="275"/>
      <c r="AH242" s="275"/>
      <c r="AI242" s="275"/>
      <c r="AJ242" s="272"/>
      <c r="AK242" s="276"/>
    </row>
    <row r="243" spans="2:37" ht="15.5" outlineLevel="2" x14ac:dyDescent="0.35">
      <c r="B243" s="269"/>
      <c r="C243" s="943"/>
      <c r="D243" s="250"/>
      <c r="E243" s="249"/>
      <c r="F243" s="909"/>
      <c r="G243" s="269"/>
      <c r="H243" s="270"/>
      <c r="I243" s="270"/>
      <c r="J243" s="271"/>
      <c r="K243" s="618"/>
      <c r="L243" s="249"/>
      <c r="M243" s="561"/>
      <c r="N243" s="982" t="str">
        <f>IFERROR(IF(E243=FAAS!$B$81,I243,VLOOKUP(E243,FAAS!$K$113:$L$134,2,FALSE)),"")</f>
        <v/>
      </c>
      <c r="O243" s="982" t="str">
        <f t="shared" si="11"/>
        <v/>
      </c>
      <c r="P243" s="982" t="str">
        <f>IFERROR(IF(VLOOKUP(B243,'Dados gerais'!$D$33:$F$35,3,FALSE)="",VLOOKUP('Outras emissões de processo'!B243,'Fatores de Emissão'!$B$12:$E$14,3, FALSE),VLOOKUP(B243,'Dados gerais'!$D$33:$F$35,3,FALSE)),"")</f>
        <v/>
      </c>
      <c r="Q243" s="270"/>
      <c r="R243" s="982" t="str">
        <f>IFERROR(IF(G243=FAAS!$K$135,'Outras emissões de processo'!I243,VLOOKUP(G243,FAAS!$B$63:$J$82,9,FALSE)),"")</f>
        <v/>
      </c>
      <c r="S243" s="982" t="str">
        <f t="shared" si="7"/>
        <v/>
      </c>
      <c r="T243" s="982" t="str">
        <f t="shared" si="8"/>
        <v/>
      </c>
      <c r="U243" s="572" t="str">
        <f>IFERROR(VLOOKUP(L243,FAAS!$A$142:$D$144,2,FALSE)*365*'Fatores de Emissão'!$E$248/1000,"")</f>
        <v/>
      </c>
      <c r="V243" s="572" t="str">
        <f t="shared" si="9"/>
        <v/>
      </c>
      <c r="W243" s="572" t="str">
        <f t="shared" si="10"/>
        <v/>
      </c>
      <c r="Z243" s="277"/>
      <c r="AA243" s="273"/>
      <c r="AB243" s="274"/>
      <c r="AC243" s="273"/>
      <c r="AD243" s="277"/>
      <c r="AE243" s="275"/>
      <c r="AF243" s="272"/>
      <c r="AG243" s="275"/>
      <c r="AH243" s="275"/>
      <c r="AI243" s="275"/>
      <c r="AJ243" s="272"/>
      <c r="AK243" s="276"/>
    </row>
    <row r="244" spans="2:37" ht="15.5" outlineLevel="2" x14ac:dyDescent="0.35">
      <c r="B244" s="269"/>
      <c r="C244" s="943"/>
      <c r="D244" s="250"/>
      <c r="E244" s="249"/>
      <c r="F244" s="909"/>
      <c r="G244" s="269"/>
      <c r="H244" s="270"/>
      <c r="I244" s="270"/>
      <c r="J244" s="271"/>
      <c r="K244" s="618"/>
      <c r="L244" s="249"/>
      <c r="M244" s="561"/>
      <c r="N244" s="982" t="str">
        <f>IFERROR(IF(E244=FAAS!$B$81,I244,VLOOKUP(E244,FAAS!$K$113:$L$134,2,FALSE)),"")</f>
        <v/>
      </c>
      <c r="O244" s="982" t="str">
        <f t="shared" si="11"/>
        <v/>
      </c>
      <c r="P244" s="982" t="str">
        <f>IFERROR(IF(VLOOKUP(B244,'Dados gerais'!$D$33:$F$35,3,FALSE)="",VLOOKUP('Outras emissões de processo'!B244,'Fatores de Emissão'!$B$12:$E$14,3, FALSE),VLOOKUP(B244,'Dados gerais'!$D$33:$F$35,3,FALSE)),"")</f>
        <v/>
      </c>
      <c r="Q244" s="270"/>
      <c r="R244" s="982" t="str">
        <f>IFERROR(IF(G244=FAAS!$K$135,'Outras emissões de processo'!I244,VLOOKUP(G244,FAAS!$B$63:$J$82,9,FALSE)),"")</f>
        <v/>
      </c>
      <c r="S244" s="982" t="str">
        <f t="shared" si="7"/>
        <v/>
      </c>
      <c r="T244" s="982" t="str">
        <f t="shared" si="8"/>
        <v/>
      </c>
      <c r="U244" s="572" t="str">
        <f>IFERROR(VLOOKUP(L244,FAAS!$A$142:$D$144,2,FALSE)*365*'Fatores de Emissão'!$E$248/1000,"")</f>
        <v/>
      </c>
      <c r="V244" s="572" t="str">
        <f t="shared" si="9"/>
        <v/>
      </c>
      <c r="W244" s="572" t="str">
        <f t="shared" si="10"/>
        <v/>
      </c>
      <c r="Z244" s="277"/>
      <c r="AA244" s="273"/>
      <c r="AB244" s="274"/>
      <c r="AC244" s="273"/>
      <c r="AD244" s="277"/>
      <c r="AE244" s="275"/>
      <c r="AF244" s="272"/>
      <c r="AG244" s="275"/>
      <c r="AH244" s="275"/>
      <c r="AI244" s="275"/>
      <c r="AJ244" s="272"/>
      <c r="AK244" s="276"/>
    </row>
    <row r="245" spans="2:37" ht="15.5" outlineLevel="2" x14ac:dyDescent="0.35">
      <c r="B245" s="269"/>
      <c r="C245" s="943"/>
      <c r="D245" s="250"/>
      <c r="E245" s="249"/>
      <c r="F245" s="909"/>
      <c r="G245" s="269"/>
      <c r="H245" s="270"/>
      <c r="I245" s="270"/>
      <c r="J245" s="271"/>
      <c r="K245" s="618"/>
      <c r="L245" s="249"/>
      <c r="M245" s="561"/>
      <c r="N245" s="982" t="str">
        <f>IFERROR(IF(E245=FAAS!$B$81,I245,VLOOKUP(E245,FAAS!$K$113:$L$134,2,FALSE)),"")</f>
        <v/>
      </c>
      <c r="O245" s="982" t="str">
        <f t="shared" si="11"/>
        <v/>
      </c>
      <c r="P245" s="982" t="str">
        <f>IFERROR(IF(VLOOKUP(B245,'Dados gerais'!$D$33:$F$35,3,FALSE)="",VLOOKUP('Outras emissões de processo'!B245,'Fatores de Emissão'!$B$12:$E$14,3, FALSE),VLOOKUP(B245,'Dados gerais'!$D$33:$F$35,3,FALSE)),"")</f>
        <v/>
      </c>
      <c r="Q245" s="270"/>
      <c r="R245" s="982" t="str">
        <f>IFERROR(IF(G245=FAAS!$K$135,'Outras emissões de processo'!I245,VLOOKUP(G245,FAAS!$B$63:$J$82,9,FALSE)),"")</f>
        <v/>
      </c>
      <c r="S245" s="982" t="str">
        <f t="shared" si="7"/>
        <v/>
      </c>
      <c r="T245" s="982" t="str">
        <f t="shared" si="8"/>
        <v/>
      </c>
      <c r="U245" s="572" t="str">
        <f>IFERROR(VLOOKUP(L245,FAAS!$A$142:$D$144,2,FALSE)*365*'Fatores de Emissão'!$E$248/1000,"")</f>
        <v/>
      </c>
      <c r="V245" s="572" t="str">
        <f t="shared" si="9"/>
        <v/>
      </c>
      <c r="W245" s="572" t="str">
        <f t="shared" si="10"/>
        <v/>
      </c>
      <c r="Z245" s="277"/>
      <c r="AA245" s="273"/>
      <c r="AB245" s="274"/>
      <c r="AC245" s="273"/>
      <c r="AD245" s="277"/>
      <c r="AE245" s="275"/>
      <c r="AF245" s="272"/>
      <c r="AG245" s="275"/>
      <c r="AH245" s="275"/>
      <c r="AI245" s="275"/>
      <c r="AJ245" s="272"/>
      <c r="AK245" s="276"/>
    </row>
    <row r="246" spans="2:37" ht="15.5" outlineLevel="2" x14ac:dyDescent="0.35">
      <c r="B246" s="269"/>
      <c r="C246" s="943"/>
      <c r="D246" s="250"/>
      <c r="E246" s="249"/>
      <c r="F246" s="909"/>
      <c r="G246" s="269"/>
      <c r="H246" s="270"/>
      <c r="I246" s="270"/>
      <c r="J246" s="271"/>
      <c r="K246" s="618"/>
      <c r="L246" s="249"/>
      <c r="M246" s="561"/>
      <c r="N246" s="982" t="str">
        <f>IFERROR(IF(E246=FAAS!$B$81,I246,VLOOKUP(E246,FAAS!$K$113:$L$134,2,FALSE)),"")</f>
        <v/>
      </c>
      <c r="O246" s="982" t="str">
        <f t="shared" si="11"/>
        <v/>
      </c>
      <c r="P246" s="982" t="str">
        <f>IFERROR(IF(VLOOKUP(B246,'Dados gerais'!$D$33:$F$35,3,FALSE)="",VLOOKUP('Outras emissões de processo'!B246,'Fatores de Emissão'!$B$12:$E$14,3, FALSE),VLOOKUP(B246,'Dados gerais'!$D$33:$F$35,3,FALSE)),"")</f>
        <v/>
      </c>
      <c r="Q246" s="270"/>
      <c r="R246" s="982" t="str">
        <f>IFERROR(IF(G246=FAAS!$K$135,'Outras emissões de processo'!I246,VLOOKUP(G246,FAAS!$B$63:$J$82,9,FALSE)),"")</f>
        <v/>
      </c>
      <c r="S246" s="982" t="str">
        <f t="shared" si="7"/>
        <v/>
      </c>
      <c r="T246" s="982" t="str">
        <f t="shared" si="8"/>
        <v/>
      </c>
      <c r="U246" s="572" t="str">
        <f>IFERROR(VLOOKUP(L246,FAAS!$A$142:$D$144,2,FALSE)*365*'Fatores de Emissão'!$E$248/1000,"")</f>
        <v/>
      </c>
      <c r="V246" s="572" t="str">
        <f t="shared" si="9"/>
        <v/>
      </c>
      <c r="W246" s="572" t="str">
        <f t="shared" si="10"/>
        <v/>
      </c>
      <c r="Z246" s="277"/>
      <c r="AA246" s="273"/>
      <c r="AB246" s="274"/>
      <c r="AC246" s="273"/>
      <c r="AD246" s="277"/>
      <c r="AE246" s="275"/>
      <c r="AF246" s="272"/>
      <c r="AG246" s="275"/>
      <c r="AH246" s="275"/>
      <c r="AI246" s="275"/>
      <c r="AJ246" s="272"/>
      <c r="AK246" s="276"/>
    </row>
    <row r="247" spans="2:37" ht="15.5" outlineLevel="2" x14ac:dyDescent="0.35">
      <c r="B247" s="269"/>
      <c r="C247" s="943"/>
      <c r="D247" s="250"/>
      <c r="E247" s="249"/>
      <c r="F247" s="909"/>
      <c r="G247" s="269"/>
      <c r="H247" s="270"/>
      <c r="I247" s="270"/>
      <c r="J247" s="271"/>
      <c r="K247" s="618"/>
      <c r="L247" s="249"/>
      <c r="M247" s="561"/>
      <c r="N247" s="982" t="str">
        <f>IFERROR(IF(E247=FAAS!$B$81,I247,VLOOKUP(E247,FAAS!$K$113:$L$134,2,FALSE)),"")</f>
        <v/>
      </c>
      <c r="O247" s="982" t="str">
        <f t="shared" si="11"/>
        <v/>
      </c>
      <c r="P247" s="982" t="str">
        <f>IFERROR(IF(VLOOKUP(B247,'Dados gerais'!$D$33:$F$35,3,FALSE)="",VLOOKUP('Outras emissões de processo'!B247,'Fatores de Emissão'!$B$12:$E$14,3, FALSE),VLOOKUP(B247,'Dados gerais'!$D$33:$F$35,3,FALSE)),"")</f>
        <v/>
      </c>
      <c r="Q247" s="270"/>
      <c r="R247" s="982" t="str">
        <f>IFERROR(IF(G247=FAAS!$K$135,'Outras emissões de processo'!I247,VLOOKUP(G247,FAAS!$B$63:$J$82,9,FALSE)),"")</f>
        <v/>
      </c>
      <c r="S247" s="982" t="str">
        <f t="shared" si="7"/>
        <v/>
      </c>
      <c r="T247" s="982" t="str">
        <f t="shared" si="8"/>
        <v/>
      </c>
      <c r="U247" s="572" t="str">
        <f>IFERROR(VLOOKUP(L247,FAAS!$A$142:$D$144,2,FALSE)*365*'Fatores de Emissão'!$E$248/1000,"")</f>
        <v/>
      </c>
      <c r="V247" s="572" t="str">
        <f t="shared" si="9"/>
        <v/>
      </c>
      <c r="W247" s="572" t="str">
        <f t="shared" si="10"/>
        <v/>
      </c>
      <c r="Z247" s="277"/>
      <c r="AA247" s="273"/>
      <c r="AB247" s="274"/>
      <c r="AC247" s="273"/>
      <c r="AD247" s="277"/>
      <c r="AE247" s="275"/>
      <c r="AF247" s="272"/>
      <c r="AG247" s="275"/>
      <c r="AH247" s="275"/>
      <c r="AI247" s="275"/>
      <c r="AJ247" s="272"/>
      <c r="AK247" s="276"/>
    </row>
    <row r="248" spans="2:37" ht="15.5" outlineLevel="2" x14ac:dyDescent="0.35">
      <c r="B248" s="269"/>
      <c r="C248" s="943"/>
      <c r="D248" s="250"/>
      <c r="E248" s="249"/>
      <c r="F248" s="909"/>
      <c r="G248" s="269"/>
      <c r="H248" s="270"/>
      <c r="I248" s="270"/>
      <c r="J248" s="271"/>
      <c r="K248" s="618"/>
      <c r="L248" s="249"/>
      <c r="M248" s="561"/>
      <c r="N248" s="982" t="str">
        <f>IFERROR(IF(E248=FAAS!$B$81,I248,VLOOKUP(E248,FAAS!$K$113:$L$134,2,FALSE)),"")</f>
        <v/>
      </c>
      <c r="O248" s="982" t="str">
        <f t="shared" si="11"/>
        <v/>
      </c>
      <c r="P248" s="982" t="str">
        <f>IFERROR(IF(VLOOKUP(B248,'Dados gerais'!$D$33:$F$35,3,FALSE)="",VLOOKUP('Outras emissões de processo'!B248,'Fatores de Emissão'!$B$12:$E$14,3, FALSE),VLOOKUP(B248,'Dados gerais'!$D$33:$F$35,3,FALSE)),"")</f>
        <v/>
      </c>
      <c r="Q248" s="270"/>
      <c r="R248" s="982" t="str">
        <f>IFERROR(IF(G248=FAAS!$K$135,'Outras emissões de processo'!I248,VLOOKUP(G248,FAAS!$B$63:$J$82,9,FALSE)),"")</f>
        <v/>
      </c>
      <c r="S248" s="982" t="str">
        <f t="shared" si="7"/>
        <v/>
      </c>
      <c r="T248" s="982" t="str">
        <f t="shared" si="8"/>
        <v/>
      </c>
      <c r="U248" s="572" t="str">
        <f>IFERROR(VLOOKUP(L248,FAAS!$A$142:$D$144,2,FALSE)*365*'Fatores de Emissão'!$E$248/1000,"")</f>
        <v/>
      </c>
      <c r="V248" s="572" t="str">
        <f t="shared" si="9"/>
        <v/>
      </c>
      <c r="W248" s="572" t="str">
        <f t="shared" si="10"/>
        <v/>
      </c>
      <c r="Z248" s="277"/>
      <c r="AA248" s="273"/>
      <c r="AB248" s="274"/>
      <c r="AC248" s="273"/>
      <c r="AD248" s="277"/>
      <c r="AE248" s="275"/>
      <c r="AF248" s="272"/>
      <c r="AG248" s="275"/>
      <c r="AH248" s="275"/>
      <c r="AI248" s="275"/>
      <c r="AJ248" s="272"/>
      <c r="AK248" s="276"/>
    </row>
    <row r="249" spans="2:37" ht="15.5" outlineLevel="2" x14ac:dyDescent="0.35">
      <c r="B249" s="269"/>
      <c r="C249" s="943"/>
      <c r="D249" s="250"/>
      <c r="E249" s="249"/>
      <c r="F249" s="909"/>
      <c r="G249" s="269"/>
      <c r="H249" s="270"/>
      <c r="I249" s="270"/>
      <c r="J249" s="271"/>
      <c r="K249" s="618"/>
      <c r="L249" s="249"/>
      <c r="M249" s="561"/>
      <c r="N249" s="982" t="str">
        <f>IFERROR(IF(E249=FAAS!$B$81,I249,VLOOKUP(E249,FAAS!$K$113:$L$134,2,FALSE)),"")</f>
        <v/>
      </c>
      <c r="O249" s="982" t="str">
        <f t="shared" si="11"/>
        <v/>
      </c>
      <c r="P249" s="982" t="str">
        <f>IFERROR(IF(VLOOKUP(B249,'Dados gerais'!$D$33:$F$35,3,FALSE)="",VLOOKUP('Outras emissões de processo'!B249,'Fatores de Emissão'!$B$12:$E$14,3, FALSE),VLOOKUP(B249,'Dados gerais'!$D$33:$F$35,3,FALSE)),"")</f>
        <v/>
      </c>
      <c r="Q249" s="270"/>
      <c r="R249" s="982" t="str">
        <f>IFERROR(IF(G249=FAAS!$K$135,'Outras emissões de processo'!I249,VLOOKUP(G249,FAAS!$B$63:$J$82,9,FALSE)),"")</f>
        <v/>
      </c>
      <c r="S249" s="982" t="str">
        <f t="shared" si="7"/>
        <v/>
      </c>
      <c r="T249" s="982" t="str">
        <f t="shared" si="8"/>
        <v/>
      </c>
      <c r="U249" s="572" t="str">
        <f>IFERROR(VLOOKUP(L249,FAAS!$A$142:$D$144,2,FALSE)*365*'Fatores de Emissão'!$E$248/1000,"")</f>
        <v/>
      </c>
      <c r="V249" s="572" t="str">
        <f t="shared" si="9"/>
        <v/>
      </c>
      <c r="W249" s="572" t="str">
        <f t="shared" si="10"/>
        <v/>
      </c>
      <c r="Z249" s="277"/>
      <c r="AA249" s="273"/>
      <c r="AB249" s="274"/>
      <c r="AC249" s="273"/>
      <c r="AD249" s="277"/>
      <c r="AE249" s="275"/>
      <c r="AF249" s="272"/>
      <c r="AG249" s="275"/>
      <c r="AH249" s="275"/>
      <c r="AI249" s="275"/>
      <c r="AJ249" s="272"/>
      <c r="AK249" s="276"/>
    </row>
    <row r="250" spans="2:37" ht="15.5" outlineLevel="2" x14ac:dyDescent="0.35">
      <c r="B250" s="269"/>
      <c r="C250" s="943"/>
      <c r="D250" s="250"/>
      <c r="E250" s="249"/>
      <c r="F250" s="909"/>
      <c r="G250" s="269"/>
      <c r="H250" s="270"/>
      <c r="I250" s="270"/>
      <c r="J250" s="271"/>
      <c r="K250" s="618"/>
      <c r="L250" s="249"/>
      <c r="M250" s="561"/>
      <c r="N250" s="982" t="str">
        <f>IFERROR(IF(E250=FAAS!$B$81,I250,VLOOKUP(E250,FAAS!$K$113:$L$134,2,FALSE)),"")</f>
        <v/>
      </c>
      <c r="O250" s="982" t="str">
        <f t="shared" si="11"/>
        <v/>
      </c>
      <c r="P250" s="982" t="str">
        <f>IFERROR(IF(VLOOKUP(B250,'Dados gerais'!$D$33:$F$35,3,FALSE)="",VLOOKUP('Outras emissões de processo'!B250,'Fatores de Emissão'!$B$12:$E$14,3, FALSE),VLOOKUP(B250,'Dados gerais'!$D$33:$F$35,3,FALSE)),"")</f>
        <v/>
      </c>
      <c r="Q250" s="270"/>
      <c r="R250" s="982" t="str">
        <f>IFERROR(IF(G250=FAAS!$K$135,'Outras emissões de processo'!I250,VLOOKUP(G250,FAAS!$B$63:$J$82,9,FALSE)),"")</f>
        <v/>
      </c>
      <c r="S250" s="982" t="str">
        <f t="shared" si="7"/>
        <v/>
      </c>
      <c r="T250" s="982" t="str">
        <f t="shared" si="8"/>
        <v/>
      </c>
      <c r="U250" s="572" t="str">
        <f>IFERROR(VLOOKUP(L250,FAAS!$A$142:$D$144,2,FALSE)*365*'Fatores de Emissão'!$E$248/1000,"")</f>
        <v/>
      </c>
      <c r="V250" s="572" t="str">
        <f t="shared" si="9"/>
        <v/>
      </c>
      <c r="W250" s="572" t="str">
        <f t="shared" si="10"/>
        <v/>
      </c>
      <c r="Z250" s="277"/>
      <c r="AA250" s="273"/>
      <c r="AB250" s="274"/>
      <c r="AC250" s="273"/>
      <c r="AD250" s="277"/>
      <c r="AE250" s="275"/>
      <c r="AF250" s="272"/>
      <c r="AG250" s="275"/>
      <c r="AH250" s="275"/>
      <c r="AI250" s="275"/>
      <c r="AJ250" s="272"/>
      <c r="AK250" s="276"/>
    </row>
    <row r="251" spans="2:37" ht="15.5" outlineLevel="2" x14ac:dyDescent="0.35">
      <c r="B251" s="269"/>
      <c r="C251" s="943"/>
      <c r="D251" s="250"/>
      <c r="E251" s="249"/>
      <c r="F251" s="909"/>
      <c r="G251" s="269"/>
      <c r="H251" s="270"/>
      <c r="I251" s="270"/>
      <c r="J251" s="271"/>
      <c r="K251" s="618"/>
      <c r="L251" s="249"/>
      <c r="M251" s="561"/>
      <c r="N251" s="982" t="str">
        <f>IFERROR(IF(E251=FAAS!$B$81,I251,VLOOKUP(E251,FAAS!$K$113:$L$134,2,FALSE)),"")</f>
        <v/>
      </c>
      <c r="O251" s="982" t="str">
        <f t="shared" si="11"/>
        <v/>
      </c>
      <c r="P251" s="982" t="str">
        <f>IFERROR(IF(VLOOKUP(B251,'Dados gerais'!$D$33:$F$35,3,FALSE)="",VLOOKUP('Outras emissões de processo'!B251,'Fatores de Emissão'!$B$12:$E$14,3, FALSE),VLOOKUP(B251,'Dados gerais'!$D$33:$F$35,3,FALSE)),"")</f>
        <v/>
      </c>
      <c r="Q251" s="270"/>
      <c r="R251" s="982" t="str">
        <f>IFERROR(IF(G251=FAAS!$K$135,'Outras emissões de processo'!I251,VLOOKUP(G251,FAAS!$B$63:$J$82,9,FALSE)),"")</f>
        <v/>
      </c>
      <c r="S251" s="982" t="str">
        <f t="shared" si="7"/>
        <v/>
      </c>
      <c r="T251" s="982" t="str">
        <f t="shared" si="8"/>
        <v/>
      </c>
      <c r="U251" s="572" t="str">
        <f>IFERROR(VLOOKUP(L251,FAAS!$A$142:$D$144,2,FALSE)*365*'Fatores de Emissão'!$E$248/1000,"")</f>
        <v/>
      </c>
      <c r="V251" s="572" t="str">
        <f t="shared" si="9"/>
        <v/>
      </c>
      <c r="W251" s="572" t="str">
        <f t="shared" si="10"/>
        <v/>
      </c>
      <c r="Z251" s="277"/>
      <c r="AA251" s="273"/>
      <c r="AB251" s="274"/>
      <c r="AC251" s="273"/>
      <c r="AD251" s="277"/>
      <c r="AE251" s="275"/>
      <c r="AF251" s="272"/>
      <c r="AG251" s="275"/>
      <c r="AH251" s="275"/>
      <c r="AI251" s="275"/>
      <c r="AJ251" s="272"/>
      <c r="AK251" s="276"/>
    </row>
    <row r="252" spans="2:37" ht="15.5" outlineLevel="2" x14ac:dyDescent="0.35">
      <c r="B252" s="269"/>
      <c r="C252" s="943"/>
      <c r="D252" s="250"/>
      <c r="E252" s="249"/>
      <c r="F252" s="909"/>
      <c r="G252" s="269"/>
      <c r="H252" s="270"/>
      <c r="I252" s="270"/>
      <c r="J252" s="271"/>
      <c r="K252" s="618"/>
      <c r="L252" s="249"/>
      <c r="M252" s="561"/>
      <c r="N252" s="982" t="str">
        <f>IFERROR(IF(E252=FAAS!$B$81,I252,VLOOKUP(E252,FAAS!$K$113:$L$134,2,FALSE)),"")</f>
        <v/>
      </c>
      <c r="O252" s="982" t="str">
        <f t="shared" si="11"/>
        <v/>
      </c>
      <c r="P252" s="982" t="str">
        <f>IFERROR(IF(VLOOKUP(B252,'Dados gerais'!$D$33:$F$35,3,FALSE)="",VLOOKUP('Outras emissões de processo'!B252,'Fatores de Emissão'!$B$12:$E$14,3, FALSE),VLOOKUP(B252,'Dados gerais'!$D$33:$F$35,3,FALSE)),"")</f>
        <v/>
      </c>
      <c r="Q252" s="270"/>
      <c r="R252" s="982" t="str">
        <f>IFERROR(IF(G252=FAAS!$K$135,'Outras emissões de processo'!I252,VLOOKUP(G252,FAAS!$B$63:$J$82,9,FALSE)),"")</f>
        <v/>
      </c>
      <c r="S252" s="982" t="str">
        <f t="shared" si="7"/>
        <v/>
      </c>
      <c r="T252" s="982" t="str">
        <f t="shared" si="8"/>
        <v/>
      </c>
      <c r="U252" s="572" t="str">
        <f>IFERROR(VLOOKUP(L252,FAAS!$A$142:$D$144,2,FALSE)*365*'Fatores de Emissão'!$E$248/1000,"")</f>
        <v/>
      </c>
      <c r="V252" s="572" t="str">
        <f t="shared" si="9"/>
        <v/>
      </c>
      <c r="W252" s="572" t="str">
        <f t="shared" si="10"/>
        <v/>
      </c>
      <c r="Z252" s="277"/>
      <c r="AA252" s="273"/>
      <c r="AB252" s="274"/>
      <c r="AC252" s="273"/>
      <c r="AD252" s="277"/>
      <c r="AE252" s="275"/>
      <c r="AF252" s="272"/>
      <c r="AG252" s="275"/>
      <c r="AH252" s="275"/>
      <c r="AI252" s="275"/>
      <c r="AJ252" s="272"/>
      <c r="AK252" s="276"/>
    </row>
    <row r="253" spans="2:37" ht="15.5" outlineLevel="2" x14ac:dyDescent="0.35">
      <c r="B253" s="269"/>
      <c r="C253" s="943"/>
      <c r="D253" s="250"/>
      <c r="E253" s="249"/>
      <c r="F253" s="909"/>
      <c r="G253" s="269"/>
      <c r="H253" s="270"/>
      <c r="I253" s="270"/>
      <c r="J253" s="271"/>
      <c r="K253" s="618"/>
      <c r="L253" s="249"/>
      <c r="M253" s="561"/>
      <c r="N253" s="982" t="str">
        <f>IFERROR(IF(E253=FAAS!$B$81,I253,VLOOKUP(E253,FAAS!$K$113:$L$134,2,FALSE)),"")</f>
        <v/>
      </c>
      <c r="O253" s="982" t="str">
        <f t="shared" si="11"/>
        <v/>
      </c>
      <c r="P253" s="982" t="str">
        <f>IFERROR(IF(VLOOKUP(B253,'Dados gerais'!$D$33:$F$35,3,FALSE)="",VLOOKUP('Outras emissões de processo'!B253,'Fatores de Emissão'!$B$12:$E$14,3, FALSE),VLOOKUP(B253,'Dados gerais'!$D$33:$F$35,3,FALSE)),"")</f>
        <v/>
      </c>
      <c r="Q253" s="270"/>
      <c r="R253" s="982" t="str">
        <f>IFERROR(IF(G253=FAAS!$K$135,'Outras emissões de processo'!I253,VLOOKUP(G253,FAAS!$B$63:$J$82,9,FALSE)),"")</f>
        <v/>
      </c>
      <c r="S253" s="982" t="str">
        <f t="shared" si="7"/>
        <v/>
      </c>
      <c r="T253" s="982" t="str">
        <f t="shared" si="8"/>
        <v/>
      </c>
      <c r="U253" s="572" t="str">
        <f>IFERROR(VLOOKUP(L253,FAAS!$A$142:$D$144,2,FALSE)*365*'Fatores de Emissão'!$E$248/1000,"")</f>
        <v/>
      </c>
      <c r="V253" s="572" t="str">
        <f t="shared" si="9"/>
        <v/>
      </c>
      <c r="W253" s="572" t="str">
        <f t="shared" si="10"/>
        <v/>
      </c>
      <c r="Z253" s="277"/>
      <c r="AA253" s="273"/>
      <c r="AB253" s="274"/>
      <c r="AC253" s="273"/>
      <c r="AD253" s="277"/>
      <c r="AE253" s="275"/>
      <c r="AF253" s="272"/>
      <c r="AG253" s="275"/>
      <c r="AH253" s="275"/>
      <c r="AI253" s="275"/>
      <c r="AJ253" s="272"/>
      <c r="AK253" s="276"/>
    </row>
    <row r="254" spans="2:37" ht="15.5" outlineLevel="2" x14ac:dyDescent="0.35">
      <c r="B254" s="269"/>
      <c r="C254" s="943"/>
      <c r="D254" s="250"/>
      <c r="E254" s="249"/>
      <c r="F254" s="909"/>
      <c r="G254" s="269"/>
      <c r="H254" s="270"/>
      <c r="I254" s="270"/>
      <c r="J254" s="271"/>
      <c r="K254" s="618"/>
      <c r="L254" s="249"/>
      <c r="M254" s="561"/>
      <c r="N254" s="982" t="str">
        <f>IFERROR(IF(E254=FAAS!$B$81,I254,VLOOKUP(E254,FAAS!$K$113:$L$134,2,FALSE)),"")</f>
        <v/>
      </c>
      <c r="O254" s="982" t="str">
        <f t="shared" si="11"/>
        <v/>
      </c>
      <c r="P254" s="982" t="str">
        <f>IFERROR(IF(VLOOKUP(B254,'Dados gerais'!$D$33:$F$35,3,FALSE)="",VLOOKUP('Outras emissões de processo'!B254,'Fatores de Emissão'!$B$12:$E$14,3, FALSE),VLOOKUP(B254,'Dados gerais'!$D$33:$F$35,3,FALSE)),"")</f>
        <v/>
      </c>
      <c r="Q254" s="270"/>
      <c r="R254" s="982" t="str">
        <f>IFERROR(IF(G254=FAAS!$K$135,'Outras emissões de processo'!I254,VLOOKUP(G254,FAAS!$B$63:$J$82,9,FALSE)),"")</f>
        <v/>
      </c>
      <c r="S254" s="982" t="str">
        <f t="shared" si="7"/>
        <v/>
      </c>
      <c r="T254" s="982" t="str">
        <f t="shared" si="8"/>
        <v/>
      </c>
      <c r="U254" s="572" t="str">
        <f>IFERROR(VLOOKUP(L254,FAAS!$A$142:$D$144,2,FALSE)*365*'Fatores de Emissão'!$E$248/1000,"")</f>
        <v/>
      </c>
      <c r="V254" s="572" t="str">
        <f t="shared" si="9"/>
        <v/>
      </c>
      <c r="W254" s="572" t="str">
        <f t="shared" si="10"/>
        <v/>
      </c>
      <c r="Z254" s="277"/>
      <c r="AA254" s="273"/>
      <c r="AB254" s="274"/>
      <c r="AC254" s="273"/>
      <c r="AD254" s="277"/>
      <c r="AE254" s="275"/>
      <c r="AF254" s="272"/>
      <c r="AG254" s="275"/>
      <c r="AH254" s="275"/>
      <c r="AI254" s="275"/>
      <c r="AJ254" s="272"/>
      <c r="AK254" s="276"/>
    </row>
    <row r="255" spans="2:37" ht="15.5" outlineLevel="2" x14ac:dyDescent="0.35">
      <c r="B255" s="269"/>
      <c r="C255" s="943"/>
      <c r="D255" s="250"/>
      <c r="E255" s="249"/>
      <c r="F255" s="909"/>
      <c r="G255" s="269"/>
      <c r="H255" s="270"/>
      <c r="I255" s="270"/>
      <c r="J255" s="271"/>
      <c r="K255" s="618"/>
      <c r="L255" s="249"/>
      <c r="M255" s="561"/>
      <c r="N255" s="982" t="str">
        <f>IFERROR(IF(E255=FAAS!$B$81,I255,VLOOKUP(E255,FAAS!$K$113:$L$134,2,FALSE)),"")</f>
        <v/>
      </c>
      <c r="O255" s="982" t="str">
        <f t="shared" si="11"/>
        <v/>
      </c>
      <c r="P255" s="982" t="str">
        <f>IFERROR(IF(VLOOKUP(B255,'Dados gerais'!$D$33:$F$35,3,FALSE)="",VLOOKUP('Outras emissões de processo'!B255,'Fatores de Emissão'!$B$12:$E$14,3, FALSE),VLOOKUP(B255,'Dados gerais'!$D$33:$F$35,3,FALSE)),"")</f>
        <v/>
      </c>
      <c r="Q255" s="270"/>
      <c r="R255" s="982" t="str">
        <f>IFERROR(IF(G255=FAAS!$K$135,'Outras emissões de processo'!I255,VLOOKUP(G255,FAAS!$B$63:$J$82,9,FALSE)),"")</f>
        <v/>
      </c>
      <c r="S255" s="982" t="str">
        <f t="shared" si="7"/>
        <v/>
      </c>
      <c r="T255" s="982" t="str">
        <f t="shared" si="8"/>
        <v/>
      </c>
      <c r="U255" s="572" t="str">
        <f>IFERROR(VLOOKUP(L255,FAAS!$A$142:$D$144,2,FALSE)*365*'Fatores de Emissão'!$E$248/1000,"")</f>
        <v/>
      </c>
      <c r="V255" s="572" t="str">
        <f t="shared" si="9"/>
        <v/>
      </c>
      <c r="W255" s="572" t="str">
        <f t="shared" si="10"/>
        <v/>
      </c>
      <c r="Z255" s="277"/>
      <c r="AA255" s="273"/>
      <c r="AB255" s="274"/>
      <c r="AC255" s="273"/>
      <c r="AD255" s="277"/>
      <c r="AE255" s="275"/>
      <c r="AF255" s="272"/>
      <c r="AG255" s="275"/>
      <c r="AH255" s="275"/>
      <c r="AI255" s="275"/>
      <c r="AJ255" s="272"/>
      <c r="AK255" s="276"/>
    </row>
    <row r="256" spans="2:37" ht="15.5" outlineLevel="2" x14ac:dyDescent="0.35">
      <c r="B256" s="269"/>
      <c r="C256" s="943"/>
      <c r="D256" s="250"/>
      <c r="E256" s="249"/>
      <c r="F256" s="909"/>
      <c r="G256" s="269"/>
      <c r="H256" s="270"/>
      <c r="I256" s="270"/>
      <c r="J256" s="271"/>
      <c r="K256" s="618"/>
      <c r="L256" s="249"/>
      <c r="M256" s="561"/>
      <c r="N256" s="982" t="str">
        <f>IFERROR(IF(E256=FAAS!$B$81,I256,VLOOKUP(E256,FAAS!$K$113:$L$134,2,FALSE)),"")</f>
        <v/>
      </c>
      <c r="O256" s="982" t="str">
        <f t="shared" si="11"/>
        <v/>
      </c>
      <c r="P256" s="982" t="str">
        <f>IFERROR(IF(VLOOKUP(B256,'Dados gerais'!$D$33:$F$35,3,FALSE)="",VLOOKUP('Outras emissões de processo'!B256,'Fatores de Emissão'!$B$12:$E$14,3, FALSE),VLOOKUP(B256,'Dados gerais'!$D$33:$F$35,3,FALSE)),"")</f>
        <v/>
      </c>
      <c r="Q256" s="270"/>
      <c r="R256" s="982" t="str">
        <f>IFERROR(IF(G256=FAAS!$K$135,'Outras emissões de processo'!I256,VLOOKUP(G256,FAAS!$B$63:$J$82,9,FALSE)),"")</f>
        <v/>
      </c>
      <c r="S256" s="982" t="str">
        <f t="shared" si="7"/>
        <v/>
      </c>
      <c r="T256" s="982" t="str">
        <f t="shared" si="8"/>
        <v/>
      </c>
      <c r="U256" s="572" t="str">
        <f>IFERROR(VLOOKUP(L256,FAAS!$A$142:$D$144,2,FALSE)*365*'Fatores de Emissão'!$E$248/1000,"")</f>
        <v/>
      </c>
      <c r="V256" s="572" t="str">
        <f t="shared" si="9"/>
        <v/>
      </c>
      <c r="W256" s="572" t="str">
        <f t="shared" si="10"/>
        <v/>
      </c>
      <c r="Z256" s="277"/>
      <c r="AA256" s="273"/>
      <c r="AB256" s="274"/>
      <c r="AC256" s="273"/>
      <c r="AD256" s="277"/>
      <c r="AE256" s="275"/>
      <c r="AF256" s="272"/>
      <c r="AG256" s="275"/>
      <c r="AH256" s="275"/>
      <c r="AI256" s="275"/>
      <c r="AJ256" s="272"/>
      <c r="AK256" s="276"/>
    </row>
    <row r="257" spans="2:37" ht="15.5" outlineLevel="2" x14ac:dyDescent="0.35">
      <c r="B257" s="269"/>
      <c r="C257" s="943"/>
      <c r="D257" s="250"/>
      <c r="E257" s="249"/>
      <c r="F257" s="909"/>
      <c r="G257" s="269"/>
      <c r="H257" s="270"/>
      <c r="I257" s="270"/>
      <c r="J257" s="271"/>
      <c r="K257" s="618"/>
      <c r="L257" s="249"/>
      <c r="M257" s="561"/>
      <c r="N257" s="982" t="str">
        <f>IFERROR(IF(E257=FAAS!$B$81,I257,VLOOKUP(E257,FAAS!$K$113:$L$134,2,FALSE)),"")</f>
        <v/>
      </c>
      <c r="O257" s="982" t="str">
        <f t="shared" si="11"/>
        <v/>
      </c>
      <c r="P257" s="982" t="str">
        <f>IFERROR(IF(VLOOKUP(B257,'Dados gerais'!$D$33:$F$35,3,FALSE)="",VLOOKUP('Outras emissões de processo'!B257,'Fatores de Emissão'!$B$12:$E$14,3, FALSE),VLOOKUP(B257,'Dados gerais'!$D$33:$F$35,3,FALSE)),"")</f>
        <v/>
      </c>
      <c r="Q257" s="270"/>
      <c r="R257" s="982" t="str">
        <f>IFERROR(IF(G257=FAAS!$K$135,'Outras emissões de processo'!I257,VLOOKUP(G257,FAAS!$B$63:$J$82,9,FALSE)),"")</f>
        <v/>
      </c>
      <c r="S257" s="982" t="str">
        <f t="shared" si="7"/>
        <v/>
      </c>
      <c r="T257" s="982" t="str">
        <f t="shared" si="8"/>
        <v/>
      </c>
      <c r="U257" s="572" t="str">
        <f>IFERROR(VLOOKUP(L257,FAAS!$A$142:$D$144,2,FALSE)*365*'Fatores de Emissão'!$E$248/1000,"")</f>
        <v/>
      </c>
      <c r="V257" s="572" t="str">
        <f t="shared" si="9"/>
        <v/>
      </c>
      <c r="W257" s="572" t="str">
        <f t="shared" si="10"/>
        <v/>
      </c>
      <c r="Z257" s="277"/>
      <c r="AA257" s="273"/>
      <c r="AB257" s="274"/>
      <c r="AC257" s="273"/>
      <c r="AD257" s="277"/>
      <c r="AE257" s="275"/>
      <c r="AF257" s="272"/>
      <c r="AG257" s="275"/>
      <c r="AH257" s="275"/>
      <c r="AI257" s="275"/>
      <c r="AJ257" s="272"/>
      <c r="AK257" s="276"/>
    </row>
    <row r="258" spans="2:37" ht="15.5" outlineLevel="2" x14ac:dyDescent="0.35">
      <c r="B258" s="269"/>
      <c r="C258" s="943"/>
      <c r="D258" s="250"/>
      <c r="E258" s="249"/>
      <c r="F258" s="909"/>
      <c r="G258" s="269"/>
      <c r="H258" s="270"/>
      <c r="I258" s="270"/>
      <c r="J258" s="271"/>
      <c r="K258" s="618"/>
      <c r="L258" s="249"/>
      <c r="M258" s="561"/>
      <c r="N258" s="982" t="str">
        <f>IFERROR(IF(E258=FAAS!$B$81,I258,VLOOKUP(E258,FAAS!$K$113:$L$134,2,FALSE)),"")</f>
        <v/>
      </c>
      <c r="O258" s="982" t="str">
        <f t="shared" si="11"/>
        <v/>
      </c>
      <c r="P258" s="982" t="str">
        <f>IFERROR(IF(VLOOKUP(B258,'Dados gerais'!$D$33:$F$35,3,FALSE)="",VLOOKUP('Outras emissões de processo'!B258,'Fatores de Emissão'!$B$12:$E$14,3, FALSE),VLOOKUP(B258,'Dados gerais'!$D$33:$F$35,3,FALSE)),"")</f>
        <v/>
      </c>
      <c r="Q258" s="270"/>
      <c r="R258" s="982" t="str">
        <f>IFERROR(IF(G258=FAAS!$K$135,'Outras emissões de processo'!I258,VLOOKUP(G258,FAAS!$B$63:$J$82,9,FALSE)),"")</f>
        <v/>
      </c>
      <c r="S258" s="982" t="str">
        <f t="shared" si="7"/>
        <v/>
      </c>
      <c r="T258" s="982" t="str">
        <f t="shared" si="8"/>
        <v/>
      </c>
      <c r="U258" s="572" t="str">
        <f>IFERROR(VLOOKUP(L258,FAAS!$A$142:$D$144,2,FALSE)*365*'Fatores de Emissão'!$E$248/1000,"")</f>
        <v/>
      </c>
      <c r="V258" s="572" t="str">
        <f t="shared" si="9"/>
        <v/>
      </c>
      <c r="W258" s="572" t="str">
        <f t="shared" si="10"/>
        <v/>
      </c>
      <c r="Z258" s="277"/>
      <c r="AA258" s="273"/>
      <c r="AB258" s="274"/>
      <c r="AC258" s="273"/>
      <c r="AD258" s="277"/>
      <c r="AE258" s="275"/>
      <c r="AF258" s="272"/>
      <c r="AG258" s="275"/>
      <c r="AH258" s="275"/>
      <c r="AI258" s="275"/>
      <c r="AJ258" s="272"/>
      <c r="AK258" s="276"/>
    </row>
    <row r="259" spans="2:37" ht="15.5" outlineLevel="2" x14ac:dyDescent="0.35">
      <c r="B259" s="269"/>
      <c r="C259" s="943"/>
      <c r="D259" s="250"/>
      <c r="E259" s="249"/>
      <c r="F259" s="909"/>
      <c r="G259" s="269"/>
      <c r="H259" s="270"/>
      <c r="I259" s="270"/>
      <c r="J259" s="271"/>
      <c r="K259" s="618"/>
      <c r="L259" s="249"/>
      <c r="M259" s="561"/>
      <c r="N259" s="982" t="str">
        <f>IFERROR(IF(E259=FAAS!$B$81,I259,VLOOKUP(E259,FAAS!$K$113:$L$134,2,FALSE)),"")</f>
        <v/>
      </c>
      <c r="O259" s="982" t="str">
        <f t="shared" si="11"/>
        <v/>
      </c>
      <c r="P259" s="982" t="str">
        <f>IFERROR(IF(VLOOKUP(B259,'Dados gerais'!$D$33:$F$35,3,FALSE)="",VLOOKUP('Outras emissões de processo'!B259,'Fatores de Emissão'!$B$12:$E$14,3, FALSE),VLOOKUP(B259,'Dados gerais'!$D$33:$F$35,3,FALSE)),"")</f>
        <v/>
      </c>
      <c r="Q259" s="270"/>
      <c r="R259" s="982" t="str">
        <f>IFERROR(IF(G259=FAAS!$K$135,'Outras emissões de processo'!I259,VLOOKUP(G259,FAAS!$B$63:$J$82,9,FALSE)),"")</f>
        <v/>
      </c>
      <c r="S259" s="982" t="str">
        <f t="shared" si="7"/>
        <v/>
      </c>
      <c r="T259" s="982" t="str">
        <f t="shared" si="8"/>
        <v/>
      </c>
      <c r="U259" s="572" t="str">
        <f>IFERROR(VLOOKUP(L259,FAAS!$A$142:$D$144,2,FALSE)*365*'Fatores de Emissão'!$E$248/1000,"")</f>
        <v/>
      </c>
      <c r="V259" s="572" t="str">
        <f t="shared" si="9"/>
        <v/>
      </c>
      <c r="W259" s="572" t="str">
        <f t="shared" si="10"/>
        <v/>
      </c>
      <c r="Z259" s="277"/>
      <c r="AA259" s="273"/>
      <c r="AB259" s="274"/>
      <c r="AC259" s="273"/>
      <c r="AD259" s="277"/>
      <c r="AE259" s="275"/>
      <c r="AF259" s="272"/>
      <c r="AG259" s="275"/>
      <c r="AH259" s="275"/>
      <c r="AI259" s="275"/>
      <c r="AJ259" s="272"/>
      <c r="AK259" s="276"/>
    </row>
    <row r="260" spans="2:37" ht="15.5" outlineLevel="2" x14ac:dyDescent="0.35">
      <c r="B260" s="269"/>
      <c r="C260" s="943"/>
      <c r="D260" s="250"/>
      <c r="E260" s="249"/>
      <c r="F260" s="909"/>
      <c r="G260" s="269"/>
      <c r="H260" s="270"/>
      <c r="I260" s="270"/>
      <c r="J260" s="271"/>
      <c r="K260" s="618"/>
      <c r="L260" s="249"/>
      <c r="M260" s="561"/>
      <c r="N260" s="982" t="str">
        <f>IFERROR(IF(E260=FAAS!$B$81,I260,VLOOKUP(E260,FAAS!$K$113:$L$134,2,FALSE)),"")</f>
        <v/>
      </c>
      <c r="O260" s="982" t="str">
        <f t="shared" si="11"/>
        <v/>
      </c>
      <c r="P260" s="982" t="str">
        <f>IFERROR(IF(VLOOKUP(B260,'Dados gerais'!$D$33:$F$35,3,FALSE)="",VLOOKUP('Outras emissões de processo'!B260,'Fatores de Emissão'!$B$12:$E$14,3, FALSE),VLOOKUP(B260,'Dados gerais'!$D$33:$F$35,3,FALSE)),"")</f>
        <v/>
      </c>
      <c r="Q260" s="270"/>
      <c r="R260" s="982" t="str">
        <f>IFERROR(IF(G260=FAAS!$K$135,'Outras emissões de processo'!I260,VLOOKUP(G260,FAAS!$B$63:$J$82,9,FALSE)),"")</f>
        <v/>
      </c>
      <c r="S260" s="982" t="str">
        <f t="shared" si="7"/>
        <v/>
      </c>
      <c r="T260" s="982" t="str">
        <f t="shared" si="8"/>
        <v/>
      </c>
      <c r="U260" s="572" t="str">
        <f>IFERROR(VLOOKUP(L260,FAAS!$A$142:$D$144,2,FALSE)*365*'Fatores de Emissão'!$E$248/1000,"")</f>
        <v/>
      </c>
      <c r="V260" s="572" t="str">
        <f t="shared" si="9"/>
        <v/>
      </c>
      <c r="W260" s="572" t="str">
        <f t="shared" si="10"/>
        <v/>
      </c>
      <c r="Z260" s="277"/>
      <c r="AA260" s="273"/>
      <c r="AB260" s="274"/>
      <c r="AC260" s="273"/>
      <c r="AD260" s="277"/>
      <c r="AE260" s="275"/>
      <c r="AF260" s="272"/>
      <c r="AG260" s="275"/>
      <c r="AH260" s="275"/>
      <c r="AI260" s="275"/>
      <c r="AJ260" s="272"/>
      <c r="AK260" s="276"/>
    </row>
    <row r="261" spans="2:37" ht="15.5" outlineLevel="2" x14ac:dyDescent="0.35">
      <c r="B261" s="269"/>
      <c r="C261" s="943"/>
      <c r="D261" s="250"/>
      <c r="E261" s="249"/>
      <c r="F261" s="909"/>
      <c r="G261" s="269"/>
      <c r="H261" s="270"/>
      <c r="I261" s="270"/>
      <c r="J261" s="271"/>
      <c r="K261" s="618"/>
      <c r="L261" s="249"/>
      <c r="M261" s="561"/>
      <c r="N261" s="982" t="str">
        <f>IFERROR(IF(E261=FAAS!$B$81,I261,VLOOKUP(E261,FAAS!$K$113:$L$134,2,FALSE)),"")</f>
        <v/>
      </c>
      <c r="O261" s="982" t="str">
        <f t="shared" si="11"/>
        <v/>
      </c>
      <c r="P261" s="982" t="str">
        <f>IFERROR(IF(VLOOKUP(B261,'Dados gerais'!$D$33:$F$35,3,FALSE)="",VLOOKUP('Outras emissões de processo'!B261,'Fatores de Emissão'!$B$12:$E$14,3, FALSE),VLOOKUP(B261,'Dados gerais'!$D$33:$F$35,3,FALSE)),"")</f>
        <v/>
      </c>
      <c r="Q261" s="270"/>
      <c r="R261" s="982" t="str">
        <f>IFERROR(IF(G261=FAAS!$K$135,'Outras emissões de processo'!I261,VLOOKUP(G261,FAAS!$B$63:$J$82,9,FALSE)),"")</f>
        <v/>
      </c>
      <c r="S261" s="982" t="str">
        <f t="shared" si="7"/>
        <v/>
      </c>
      <c r="T261" s="982" t="str">
        <f t="shared" si="8"/>
        <v/>
      </c>
      <c r="U261" s="572" t="str">
        <f>IFERROR(VLOOKUP(L261,FAAS!$A$142:$D$144,2,FALSE)*365*'Fatores de Emissão'!$E$248/1000,"")</f>
        <v/>
      </c>
      <c r="V261" s="572" t="str">
        <f t="shared" si="9"/>
        <v/>
      </c>
      <c r="W261" s="572" t="str">
        <f t="shared" si="10"/>
        <v/>
      </c>
      <c r="Z261" s="277"/>
      <c r="AA261" s="273"/>
      <c r="AB261" s="274"/>
      <c r="AC261" s="273"/>
      <c r="AD261" s="277"/>
      <c r="AE261" s="275"/>
      <c r="AF261" s="272"/>
      <c r="AG261" s="275"/>
      <c r="AH261" s="275"/>
      <c r="AI261" s="275"/>
      <c r="AJ261" s="272"/>
      <c r="AK261" s="276"/>
    </row>
    <row r="262" spans="2:37" ht="15.5" outlineLevel="2" x14ac:dyDescent="0.35">
      <c r="B262" s="269"/>
      <c r="C262" s="943"/>
      <c r="D262" s="250"/>
      <c r="E262" s="249"/>
      <c r="F262" s="909"/>
      <c r="G262" s="269"/>
      <c r="H262" s="270"/>
      <c r="I262" s="270"/>
      <c r="J262" s="271"/>
      <c r="K262" s="618"/>
      <c r="L262" s="249"/>
      <c r="M262" s="561"/>
      <c r="N262" s="982" t="str">
        <f>IFERROR(IF(E262=FAAS!$B$81,I262,VLOOKUP(E262,FAAS!$K$113:$L$134,2,FALSE)),"")</f>
        <v/>
      </c>
      <c r="O262" s="982" t="str">
        <f t="shared" si="11"/>
        <v/>
      </c>
      <c r="P262" s="982" t="str">
        <f>IFERROR(IF(VLOOKUP(B262,'Dados gerais'!$D$33:$F$35,3,FALSE)="",VLOOKUP('Outras emissões de processo'!B262,'Fatores de Emissão'!$B$12:$E$14,3, FALSE),VLOOKUP(B262,'Dados gerais'!$D$33:$F$35,3,FALSE)),"")</f>
        <v/>
      </c>
      <c r="Q262" s="270"/>
      <c r="R262" s="982" t="str">
        <f>IFERROR(IF(G262=FAAS!$K$135,'Outras emissões de processo'!I262,VLOOKUP(G262,FAAS!$B$63:$J$82,9,FALSE)),"")</f>
        <v/>
      </c>
      <c r="S262" s="982" t="str">
        <f t="shared" si="7"/>
        <v/>
      </c>
      <c r="T262" s="982" t="str">
        <f t="shared" si="8"/>
        <v/>
      </c>
      <c r="U262" s="572" t="str">
        <f>IFERROR(VLOOKUP(L262,FAAS!$A$142:$D$144,2,FALSE)*365*'Fatores de Emissão'!$E$248/1000,"")</f>
        <v/>
      </c>
      <c r="V262" s="572" t="str">
        <f t="shared" si="9"/>
        <v/>
      </c>
      <c r="W262" s="572" t="str">
        <f t="shared" si="10"/>
        <v/>
      </c>
      <c r="Z262" s="277"/>
      <c r="AA262" s="273"/>
      <c r="AB262" s="274"/>
      <c r="AC262" s="273"/>
      <c r="AD262" s="277"/>
      <c r="AE262" s="275"/>
      <c r="AF262" s="272"/>
      <c r="AG262" s="275"/>
      <c r="AH262" s="275"/>
      <c r="AI262" s="275"/>
      <c r="AJ262" s="272"/>
      <c r="AK262" s="276"/>
    </row>
    <row r="263" spans="2:37" ht="15.5" outlineLevel="2" x14ac:dyDescent="0.35">
      <c r="B263" s="269"/>
      <c r="C263" s="943"/>
      <c r="D263" s="250"/>
      <c r="E263" s="249"/>
      <c r="F263" s="909"/>
      <c r="G263" s="269"/>
      <c r="H263" s="270"/>
      <c r="I263" s="270"/>
      <c r="J263" s="271"/>
      <c r="K263" s="618"/>
      <c r="L263" s="249"/>
      <c r="M263" s="561"/>
      <c r="N263" s="982" t="str">
        <f>IFERROR(IF(E263=FAAS!$B$81,I263,VLOOKUP(E263,FAAS!$K$113:$L$134,2,FALSE)),"")</f>
        <v/>
      </c>
      <c r="O263" s="982" t="str">
        <f t="shared" si="11"/>
        <v/>
      </c>
      <c r="P263" s="982" t="str">
        <f>IFERROR(IF(VLOOKUP(B263,'Dados gerais'!$D$33:$F$35,3,FALSE)="",VLOOKUP('Outras emissões de processo'!B263,'Fatores de Emissão'!$B$12:$E$14,3, FALSE),VLOOKUP(B263,'Dados gerais'!$D$33:$F$35,3,FALSE)),"")</f>
        <v/>
      </c>
      <c r="Q263" s="270"/>
      <c r="R263" s="982" t="str">
        <f>IFERROR(IF(G263=FAAS!$K$135,'Outras emissões de processo'!I263,VLOOKUP(G263,FAAS!$B$63:$J$82,9,FALSE)),"")</f>
        <v/>
      </c>
      <c r="S263" s="982" t="str">
        <f t="shared" si="7"/>
        <v/>
      </c>
      <c r="T263" s="982" t="str">
        <f t="shared" si="8"/>
        <v/>
      </c>
      <c r="U263" s="572" t="str">
        <f>IFERROR(VLOOKUP(L263,FAAS!$A$142:$D$144,2,FALSE)*365*'Fatores de Emissão'!$E$248/1000,"")</f>
        <v/>
      </c>
      <c r="V263" s="572" t="str">
        <f t="shared" si="9"/>
        <v/>
      </c>
      <c r="W263" s="572" t="str">
        <f t="shared" si="10"/>
        <v/>
      </c>
      <c r="Z263" s="277"/>
      <c r="AA263" s="273"/>
      <c r="AB263" s="274"/>
      <c r="AC263" s="273"/>
      <c r="AD263" s="277"/>
      <c r="AE263" s="275"/>
      <c r="AF263" s="272"/>
      <c r="AG263" s="275"/>
      <c r="AH263" s="275"/>
      <c r="AI263" s="275"/>
      <c r="AJ263" s="272"/>
      <c r="AK263" s="276"/>
    </row>
    <row r="264" spans="2:37" ht="15.5" outlineLevel="2" x14ac:dyDescent="0.35">
      <c r="B264" s="269"/>
      <c r="C264" s="943"/>
      <c r="D264" s="250"/>
      <c r="E264" s="249"/>
      <c r="F264" s="909"/>
      <c r="G264" s="269"/>
      <c r="H264" s="270"/>
      <c r="I264" s="270"/>
      <c r="J264" s="271"/>
      <c r="K264" s="618"/>
      <c r="L264" s="249"/>
      <c r="M264" s="561"/>
      <c r="N264" s="982" t="str">
        <f>IFERROR(IF(E264=FAAS!$B$81,I264,VLOOKUP(E264,FAAS!$K$113:$L$134,2,FALSE)),"")</f>
        <v/>
      </c>
      <c r="O264" s="982" t="str">
        <f t="shared" si="11"/>
        <v/>
      </c>
      <c r="P264" s="982" t="str">
        <f>IFERROR(IF(VLOOKUP(B264,'Dados gerais'!$D$33:$F$35,3,FALSE)="",VLOOKUP('Outras emissões de processo'!B264,'Fatores de Emissão'!$B$12:$E$14,3, FALSE),VLOOKUP(B264,'Dados gerais'!$D$33:$F$35,3,FALSE)),"")</f>
        <v/>
      </c>
      <c r="Q264" s="270"/>
      <c r="R264" s="982" t="str">
        <f>IFERROR(IF(G264=FAAS!$K$135,'Outras emissões de processo'!I264,VLOOKUP(G264,FAAS!$B$63:$J$82,9,FALSE)),"")</f>
        <v/>
      </c>
      <c r="S264" s="982" t="str">
        <f t="shared" si="7"/>
        <v/>
      </c>
      <c r="T264" s="982" t="str">
        <f t="shared" si="8"/>
        <v/>
      </c>
      <c r="U264" s="572" t="str">
        <f>IFERROR(VLOOKUP(L264,FAAS!$A$142:$D$144,2,FALSE)*365*'Fatores de Emissão'!$E$248/1000,"")</f>
        <v/>
      </c>
      <c r="V264" s="572" t="str">
        <f t="shared" si="9"/>
        <v/>
      </c>
      <c r="W264" s="572" t="str">
        <f t="shared" si="10"/>
        <v/>
      </c>
      <c r="Z264" s="277"/>
      <c r="AA264" s="273"/>
      <c r="AB264" s="274"/>
      <c r="AC264" s="273"/>
      <c r="AD264" s="277"/>
      <c r="AE264" s="275"/>
      <c r="AF264" s="272"/>
      <c r="AG264" s="275"/>
      <c r="AH264" s="275"/>
      <c r="AI264" s="275"/>
      <c r="AJ264" s="272"/>
      <c r="AK264" s="276"/>
    </row>
    <row r="265" spans="2:37" ht="15.5" outlineLevel="2" x14ac:dyDescent="0.35">
      <c r="B265" s="269"/>
      <c r="C265" s="943"/>
      <c r="D265" s="250"/>
      <c r="E265" s="249"/>
      <c r="F265" s="909"/>
      <c r="G265" s="269"/>
      <c r="H265" s="270"/>
      <c r="I265" s="270"/>
      <c r="J265" s="271"/>
      <c r="K265" s="618"/>
      <c r="L265" s="249"/>
      <c r="M265" s="561"/>
      <c r="N265" s="982" t="str">
        <f>IFERROR(IF(E265=FAAS!$B$81,I265,VLOOKUP(E265,FAAS!$K$113:$L$134,2,FALSE)),"")</f>
        <v/>
      </c>
      <c r="O265" s="982" t="str">
        <f t="shared" si="11"/>
        <v/>
      </c>
      <c r="P265" s="982" t="str">
        <f>IFERROR(IF(VLOOKUP(B265,'Dados gerais'!$D$33:$F$35,3,FALSE)="",VLOOKUP('Outras emissões de processo'!B265,'Fatores de Emissão'!$B$12:$E$14,3, FALSE),VLOOKUP(B265,'Dados gerais'!$D$33:$F$35,3,FALSE)),"")</f>
        <v/>
      </c>
      <c r="Q265" s="270"/>
      <c r="R265" s="982" t="str">
        <f>IFERROR(IF(G265=FAAS!$K$135,'Outras emissões de processo'!I265,VLOOKUP(G265,FAAS!$B$63:$J$82,9,FALSE)),"")</f>
        <v/>
      </c>
      <c r="S265" s="982" t="str">
        <f t="shared" si="7"/>
        <v/>
      </c>
      <c r="T265" s="982" t="str">
        <f t="shared" si="8"/>
        <v/>
      </c>
      <c r="U265" s="572" t="str">
        <f>IFERROR(VLOOKUP(L265,FAAS!$A$142:$D$144,2,FALSE)*365*'Fatores de Emissão'!$E$248/1000,"")</f>
        <v/>
      </c>
      <c r="V265" s="572" t="str">
        <f t="shared" si="9"/>
        <v/>
      </c>
      <c r="W265" s="572" t="str">
        <f t="shared" si="10"/>
        <v/>
      </c>
      <c r="Z265" s="277"/>
      <c r="AA265" s="273"/>
      <c r="AB265" s="274"/>
      <c r="AC265" s="273"/>
      <c r="AD265" s="277"/>
      <c r="AE265" s="275"/>
      <c r="AF265" s="272"/>
      <c r="AG265" s="275"/>
      <c r="AH265" s="275"/>
      <c r="AI265" s="275"/>
      <c r="AJ265" s="272"/>
      <c r="AK265" s="276"/>
    </row>
    <row r="266" spans="2:37" ht="15.5" outlineLevel="2" x14ac:dyDescent="0.35">
      <c r="B266" s="269"/>
      <c r="C266" s="943"/>
      <c r="D266" s="250"/>
      <c r="E266" s="249"/>
      <c r="F266" s="909"/>
      <c r="G266" s="269"/>
      <c r="H266" s="270"/>
      <c r="I266" s="270"/>
      <c r="J266" s="271"/>
      <c r="K266" s="618"/>
      <c r="L266" s="249"/>
      <c r="M266" s="561"/>
      <c r="N266" s="982" t="str">
        <f>IFERROR(IF(E266=FAAS!$B$81,I266,VLOOKUP(E266,FAAS!$K$113:$L$134,2,FALSE)),"")</f>
        <v/>
      </c>
      <c r="O266" s="982" t="str">
        <f t="shared" si="11"/>
        <v/>
      </c>
      <c r="P266" s="982" t="str">
        <f>IFERROR(IF(VLOOKUP(B266,'Dados gerais'!$D$33:$F$35,3,FALSE)="",VLOOKUP('Outras emissões de processo'!B266,'Fatores de Emissão'!$B$12:$E$14,3, FALSE),VLOOKUP(B266,'Dados gerais'!$D$33:$F$35,3,FALSE)),"")</f>
        <v/>
      </c>
      <c r="Q266" s="270"/>
      <c r="R266" s="982" t="str">
        <f>IFERROR(IF(G266=FAAS!$K$135,'Outras emissões de processo'!I266,VLOOKUP(G266,FAAS!$B$63:$J$82,9,FALSE)),"")</f>
        <v/>
      </c>
      <c r="S266" s="982" t="str">
        <f t="shared" si="7"/>
        <v/>
      </c>
      <c r="T266" s="982" t="str">
        <f t="shared" si="8"/>
        <v/>
      </c>
      <c r="U266" s="572" t="str">
        <f>IFERROR(VLOOKUP(L266,FAAS!$A$142:$D$144,2,FALSE)*365*'Fatores de Emissão'!$E$248/1000,"")</f>
        <v/>
      </c>
      <c r="V266" s="572" t="str">
        <f t="shared" si="9"/>
        <v/>
      </c>
      <c r="W266" s="572" t="str">
        <f t="shared" si="10"/>
        <v/>
      </c>
      <c r="Z266" s="277"/>
      <c r="AA266" s="273"/>
      <c r="AB266" s="274"/>
      <c r="AC266" s="273"/>
      <c r="AD266" s="277"/>
      <c r="AE266" s="275"/>
      <c r="AF266" s="272"/>
      <c r="AG266" s="275"/>
      <c r="AH266" s="275"/>
      <c r="AI266" s="275"/>
      <c r="AJ266" s="272"/>
      <c r="AK266" s="276"/>
    </row>
    <row r="267" spans="2:37" ht="24.65" customHeight="1" outlineLevel="1" x14ac:dyDescent="0.35">
      <c r="B267" s="278" t="s">
        <v>40</v>
      </c>
      <c r="C267" s="279"/>
      <c r="D267" s="279"/>
      <c r="E267" s="279"/>
      <c r="F267" s="825">
        <f>SUM(F167:F266)</f>
        <v>0</v>
      </c>
      <c r="G267" s="279"/>
      <c r="H267" s="279"/>
      <c r="I267" s="279"/>
      <c r="J267" s="280"/>
      <c r="K267" s="339">
        <f>SUM(K167:K266)</f>
        <v>500</v>
      </c>
      <c r="L267" s="279"/>
      <c r="M267" s="339">
        <f>SUM(M167:M266)</f>
        <v>0</v>
      </c>
      <c r="N267" s="983">
        <f>SUM(N167:N266)</f>
        <v>0</v>
      </c>
      <c r="O267" s="983">
        <f>SUM(O167:O266)</f>
        <v>0</v>
      </c>
      <c r="P267" s="984"/>
      <c r="Q267" s="270"/>
      <c r="R267" s="983">
        <f t="shared" ref="R267:W267" si="12">SUM(R167:R266)</f>
        <v>0</v>
      </c>
      <c r="S267" s="983">
        <f t="shared" si="12"/>
        <v>0</v>
      </c>
      <c r="T267" s="983">
        <f t="shared" si="12"/>
        <v>0</v>
      </c>
      <c r="U267" s="982">
        <f t="shared" si="12"/>
        <v>0</v>
      </c>
      <c r="V267" s="982">
        <f t="shared" si="12"/>
        <v>0</v>
      </c>
      <c r="W267" s="982">
        <f t="shared" si="12"/>
        <v>0</v>
      </c>
    </row>
    <row r="268" spans="2:37" s="171" customFormat="1" ht="24.65" customHeight="1" outlineLevel="1" x14ac:dyDescent="0.35">
      <c r="B268" s="253" t="s">
        <v>1415</v>
      </c>
      <c r="C268" s="254"/>
      <c r="D268" s="254"/>
      <c r="E268" s="254"/>
      <c r="F268" s="254"/>
      <c r="G268" s="254"/>
      <c r="H268" s="255"/>
      <c r="I268" s="255"/>
      <c r="J268" s="255"/>
    </row>
    <row r="269" spans="2:37" s="171" customFormat="1" ht="24.65" customHeight="1" x14ac:dyDescent="0.35">
      <c r="B269" s="253"/>
      <c r="C269" s="254"/>
      <c r="D269" s="254"/>
      <c r="E269" s="254"/>
      <c r="F269" s="254"/>
      <c r="G269" s="254"/>
      <c r="H269" s="255"/>
      <c r="I269" s="255"/>
      <c r="J269" s="255"/>
    </row>
    <row r="270" spans="2:37" s="171" customFormat="1" ht="24.65" customHeight="1" x14ac:dyDescent="0.35">
      <c r="B270" s="253"/>
      <c r="C270" s="254"/>
      <c r="D270" s="254"/>
      <c r="E270" s="254"/>
      <c r="F270" s="254"/>
      <c r="G270" s="254"/>
      <c r="H270" s="255"/>
      <c r="I270" s="255"/>
      <c r="J270" s="255"/>
    </row>
    <row r="271" spans="2:37" s="296" customFormat="1" ht="30" customHeight="1" x14ac:dyDescent="0.35">
      <c r="B271" s="296" t="s">
        <v>1098</v>
      </c>
    </row>
    <row r="272" spans="2:37" ht="15.5" x14ac:dyDescent="0.35"/>
    <row r="273" spans="2:27" ht="15.5" x14ac:dyDescent="0.35"/>
    <row r="274" spans="2:27" ht="15.5" x14ac:dyDescent="0.35">
      <c r="B274" s="167" t="s">
        <v>0</v>
      </c>
      <c r="C274" s="172"/>
      <c r="D274" s="172"/>
      <c r="E274" s="172"/>
      <c r="F274" s="172"/>
      <c r="G274" s="172"/>
      <c r="H274" s="172"/>
      <c r="I274" s="172"/>
      <c r="J274" s="172"/>
      <c r="K274" s="172"/>
      <c r="L274" s="172"/>
      <c r="M274" s="172"/>
      <c r="N274" s="172"/>
      <c r="O274" s="172"/>
      <c r="P274" s="172"/>
      <c r="Q274" s="172"/>
      <c r="R274" s="172"/>
      <c r="S274" s="172"/>
    </row>
    <row r="275" spans="2:27" ht="15.5" x14ac:dyDescent="0.35">
      <c r="B275" s="345" t="s">
        <v>1104</v>
      </c>
      <c r="C275" s="172"/>
      <c r="D275" s="172"/>
      <c r="E275" s="172"/>
      <c r="F275" s="172"/>
      <c r="G275" s="172"/>
      <c r="H275" s="172"/>
      <c r="I275" s="172"/>
      <c r="J275" s="172"/>
      <c r="K275" s="172"/>
      <c r="L275" s="172"/>
      <c r="M275" s="172"/>
      <c r="N275" s="172"/>
      <c r="O275" s="172"/>
      <c r="P275" s="172"/>
      <c r="Q275" s="172"/>
      <c r="R275" s="172"/>
      <c r="S275" s="172"/>
    </row>
    <row r="276" spans="2:27" ht="19.899999999999999" customHeight="1" x14ac:dyDescent="0.35">
      <c r="B276" s="172" t="s">
        <v>1105</v>
      </c>
      <c r="C276" s="229"/>
      <c r="D276" s="229"/>
      <c r="E276" s="229"/>
      <c r="F276" s="229"/>
      <c r="G276" s="229"/>
      <c r="H276" s="229"/>
      <c r="I276" s="229"/>
      <c r="J276" s="229"/>
      <c r="K276" s="229"/>
      <c r="L276" s="229"/>
      <c r="M276" s="229"/>
      <c r="N276" s="229"/>
      <c r="O276" s="229"/>
      <c r="P276" s="230"/>
      <c r="Q276" s="230"/>
      <c r="R276" s="231"/>
      <c r="S276" s="231"/>
      <c r="T276" s="232"/>
      <c r="U276" s="232"/>
      <c r="V276" s="232"/>
      <c r="W276" s="232"/>
      <c r="X276" s="232"/>
      <c r="Y276" s="232"/>
      <c r="Z276" s="232"/>
      <c r="AA276" s="233"/>
    </row>
    <row r="277" spans="2:27" ht="19.899999999999999" customHeight="1" x14ac:dyDescent="0.35">
      <c r="B277" s="172" t="s">
        <v>907</v>
      </c>
      <c r="C277" s="229"/>
      <c r="D277" s="229"/>
      <c r="E277" s="229"/>
      <c r="F277" s="229"/>
      <c r="G277" s="229"/>
      <c r="H277" s="229"/>
      <c r="I277" s="229"/>
      <c r="J277" s="229"/>
      <c r="K277" s="229"/>
      <c r="L277" s="229"/>
      <c r="M277" s="229"/>
      <c r="N277" s="229"/>
      <c r="O277" s="229"/>
      <c r="P277" s="230"/>
      <c r="Q277" s="230"/>
      <c r="R277" s="231"/>
      <c r="S277" s="231"/>
      <c r="T277" s="232"/>
      <c r="U277" s="232"/>
      <c r="V277" s="232"/>
      <c r="W277" s="232"/>
      <c r="X277" s="232"/>
      <c r="Y277" s="232"/>
      <c r="Z277" s="232"/>
      <c r="AA277" s="233"/>
    </row>
    <row r="278" spans="2:27" ht="19.899999999999999" customHeight="1" x14ac:dyDescent="0.35">
      <c r="B278" s="172" t="s">
        <v>1147</v>
      </c>
      <c r="C278" s="229"/>
      <c r="D278" s="229"/>
      <c r="E278" s="229"/>
      <c r="F278" s="229"/>
      <c r="G278" s="229"/>
      <c r="H278" s="229"/>
      <c r="I278" s="229"/>
      <c r="J278" s="229"/>
      <c r="K278" s="229"/>
      <c r="L278" s="229"/>
      <c r="M278" s="229"/>
      <c r="N278" s="229"/>
      <c r="O278" s="229"/>
      <c r="P278" s="229"/>
      <c r="Q278" s="230"/>
      <c r="R278" s="231"/>
      <c r="S278" s="231"/>
      <c r="T278" s="232"/>
      <c r="U278" s="232"/>
      <c r="V278" s="232"/>
      <c r="W278" s="232"/>
      <c r="X278" s="232"/>
      <c r="Y278" s="232"/>
      <c r="Z278" s="232"/>
      <c r="AA278" s="233"/>
    </row>
    <row r="279" spans="2:27" ht="19.899999999999999" customHeight="1" x14ac:dyDescent="0.35">
      <c r="B279" s="172" t="s">
        <v>1491</v>
      </c>
      <c r="C279" s="229"/>
      <c r="D279" s="229"/>
      <c r="E279" s="229"/>
      <c r="F279" s="229"/>
      <c r="G279" s="229"/>
      <c r="H279" s="229"/>
      <c r="I279" s="229"/>
      <c r="J279" s="229"/>
      <c r="K279" s="229"/>
      <c r="L279" s="229"/>
      <c r="M279" s="229"/>
      <c r="N279" s="229"/>
      <c r="O279" s="229"/>
      <c r="P279" s="229"/>
      <c r="Q279" s="230"/>
      <c r="R279" s="231"/>
      <c r="S279" s="231"/>
      <c r="T279" s="232"/>
      <c r="U279" s="232"/>
      <c r="V279" s="232"/>
      <c r="W279" s="232"/>
      <c r="X279" s="232"/>
      <c r="Y279" s="232"/>
      <c r="Z279" s="232"/>
      <c r="AA279" s="233"/>
    </row>
    <row r="280" spans="2:27" ht="17.5" x14ac:dyDescent="0.45">
      <c r="B280" s="172" t="s">
        <v>1492</v>
      </c>
      <c r="C280" s="229"/>
      <c r="D280" s="229"/>
      <c r="E280" s="229"/>
      <c r="F280" s="229"/>
      <c r="G280" s="229"/>
      <c r="H280" s="229"/>
      <c r="I280" s="229"/>
      <c r="J280" s="229"/>
      <c r="K280" s="229"/>
      <c r="L280" s="229"/>
      <c r="M280" s="229"/>
      <c r="N280" s="229"/>
      <c r="O280" s="229"/>
      <c r="P280" s="229"/>
      <c r="Q280" s="230"/>
      <c r="R280" s="230"/>
      <c r="S280" s="230"/>
      <c r="T280" s="234"/>
      <c r="U280" s="234"/>
      <c r="V280" s="234"/>
      <c r="W280" s="234"/>
      <c r="X280" s="234"/>
      <c r="Y280" s="234"/>
      <c r="Z280" s="234"/>
      <c r="AA280" s="234"/>
    </row>
    <row r="281" spans="2:27" ht="19.899999999999999" customHeight="1" x14ac:dyDescent="0.35">
      <c r="B281" s="1162" t="s">
        <v>1493</v>
      </c>
      <c r="C281" s="1162"/>
      <c r="D281" s="1162"/>
      <c r="E281" s="1162"/>
      <c r="F281" s="1162"/>
      <c r="G281" s="1162"/>
      <c r="H281" s="1162"/>
      <c r="I281" s="1162"/>
      <c r="J281" s="1162"/>
      <c r="K281" s="1162"/>
      <c r="L281" s="1162"/>
      <c r="M281" s="1162"/>
      <c r="N281" s="1162"/>
      <c r="O281" s="1162"/>
      <c r="P281" s="1162"/>
      <c r="Q281" s="230"/>
      <c r="R281" s="230"/>
      <c r="S281" s="230"/>
      <c r="T281" s="234"/>
      <c r="U281" s="234"/>
      <c r="V281" s="234"/>
      <c r="W281" s="234"/>
      <c r="X281" s="234"/>
      <c r="Y281" s="234"/>
      <c r="Z281" s="234"/>
      <c r="AA281" s="234"/>
    </row>
    <row r="282" spans="2:27" ht="19.899999999999999" customHeight="1" x14ac:dyDescent="0.35">
      <c r="B282" s="1222" t="s">
        <v>1494</v>
      </c>
      <c r="C282" s="1222"/>
      <c r="D282" s="1222"/>
      <c r="E282" s="1222"/>
      <c r="F282" s="1222"/>
      <c r="G282" s="1222"/>
      <c r="H282" s="1222"/>
      <c r="I282" s="1222"/>
      <c r="J282" s="1222"/>
      <c r="K282" s="1222"/>
      <c r="L282" s="1222"/>
      <c r="M282" s="1222"/>
      <c r="N282" s="1222"/>
      <c r="O282" s="1222"/>
      <c r="P282" s="1222"/>
      <c r="Q282" s="230"/>
      <c r="R282" s="230"/>
      <c r="S282" s="230"/>
      <c r="T282" s="234"/>
      <c r="U282" s="234"/>
      <c r="V282" s="234"/>
      <c r="W282" s="234"/>
      <c r="X282" s="234"/>
      <c r="Y282" s="234"/>
      <c r="Z282" s="234"/>
      <c r="AA282" s="234"/>
    </row>
    <row r="283" spans="2:27" ht="15.5" x14ac:dyDescent="0.35"/>
    <row r="284" spans="2:27" ht="15.5" x14ac:dyDescent="0.35">
      <c r="I284" s="183"/>
    </row>
    <row r="285" spans="2:27" ht="15.5" x14ac:dyDescent="0.35">
      <c r="B285" s="236" t="s">
        <v>1135</v>
      </c>
    </row>
    <row r="286" spans="2:27" ht="38.5" customHeight="1" x14ac:dyDescent="0.35">
      <c r="B286" s="1089" t="s">
        <v>868</v>
      </c>
      <c r="C286" s="1089" t="s">
        <v>869</v>
      </c>
      <c r="D286" s="1089" t="s">
        <v>1146</v>
      </c>
      <c r="E286" s="1089" t="s">
        <v>1217</v>
      </c>
      <c r="F286" s="1206" t="s">
        <v>1508</v>
      </c>
      <c r="G286" s="1207"/>
      <c r="H286" s="1207"/>
      <c r="I286" s="1208"/>
      <c r="J286" s="1206" t="s">
        <v>920</v>
      </c>
      <c r="K286" s="1207"/>
      <c r="L286" s="1207"/>
      <c r="M286" s="1207"/>
      <c r="N286" s="1207"/>
      <c r="O286" s="1207"/>
      <c r="P286" s="1207"/>
      <c r="Q286" s="1207"/>
      <c r="R286" s="1208"/>
      <c r="S286" s="1089" t="s">
        <v>1107</v>
      </c>
    </row>
    <row r="287" spans="2:27" ht="30.65" customHeight="1" x14ac:dyDescent="0.35">
      <c r="B287" s="1090"/>
      <c r="C287" s="1090"/>
      <c r="D287" s="1090"/>
      <c r="E287" s="1090"/>
      <c r="F287" s="1158" t="s">
        <v>1507</v>
      </c>
      <c r="G287" s="1157" t="s">
        <v>29</v>
      </c>
      <c r="H287" s="1157" t="s">
        <v>928</v>
      </c>
      <c r="I287" s="1157" t="s">
        <v>921</v>
      </c>
      <c r="J287" s="1212" t="s">
        <v>954</v>
      </c>
      <c r="K287" s="1213"/>
      <c r="L287" s="1214"/>
      <c r="M287" s="1220" t="s">
        <v>1108</v>
      </c>
      <c r="N287" s="1221"/>
      <c r="O287" s="1209" t="s">
        <v>953</v>
      </c>
      <c r="P287" s="1210"/>
      <c r="Q287" s="1210"/>
      <c r="R287" s="1210"/>
      <c r="S287" s="1090"/>
    </row>
    <row r="288" spans="2:27" ht="62" x14ac:dyDescent="0.35">
      <c r="B288" s="1100"/>
      <c r="C288" s="1100"/>
      <c r="D288" s="1100"/>
      <c r="E288" s="1100"/>
      <c r="F288" s="1158"/>
      <c r="G288" s="1157"/>
      <c r="H288" s="1157"/>
      <c r="I288" s="1157"/>
      <c r="J288" s="238" t="s">
        <v>1560</v>
      </c>
      <c r="K288" s="257" t="s">
        <v>32</v>
      </c>
      <c r="L288" s="238" t="s">
        <v>930</v>
      </c>
      <c r="M288" s="240" t="s">
        <v>1120</v>
      </c>
      <c r="N288" s="238" t="s">
        <v>909</v>
      </c>
      <c r="O288" s="237" t="s">
        <v>1150</v>
      </c>
      <c r="P288" s="237" t="s">
        <v>1148</v>
      </c>
      <c r="Q288" s="237" t="s">
        <v>1149</v>
      </c>
      <c r="R288" s="239" t="s">
        <v>909</v>
      </c>
      <c r="S288" s="1100"/>
    </row>
    <row r="289" spans="1:21" s="248" customFormat="1" ht="49.9" customHeight="1" x14ac:dyDescent="0.35">
      <c r="A289" s="241" t="s">
        <v>39</v>
      </c>
      <c r="B289" s="242" t="s">
        <v>36</v>
      </c>
      <c r="C289" s="242" t="s">
        <v>873</v>
      </c>
      <c r="D289" s="426" t="s">
        <v>961</v>
      </c>
      <c r="E289" s="242" t="s">
        <v>541</v>
      </c>
      <c r="F289" s="335">
        <v>365</v>
      </c>
      <c r="G289" s="427" t="s">
        <v>950</v>
      </c>
      <c r="H289" s="243"/>
      <c r="I289" s="247" t="s">
        <v>1463</v>
      </c>
      <c r="J289" s="826"/>
      <c r="K289" s="451"/>
      <c r="L289" s="244"/>
      <c r="M289" s="829"/>
      <c r="N289" s="246"/>
      <c r="O289" s="829"/>
      <c r="P289" s="829"/>
      <c r="Q289" s="829"/>
      <c r="R289" s="246"/>
      <c r="S289" s="976">
        <v>8.7016000000000003E-3</v>
      </c>
    </row>
    <row r="290" spans="1:21" ht="54.65" customHeight="1" x14ac:dyDescent="0.35">
      <c r="B290" s="269"/>
      <c r="C290" s="249"/>
      <c r="D290" s="250"/>
      <c r="E290" s="249"/>
      <c r="F290" s="336"/>
      <c r="G290" s="567"/>
      <c r="H290" s="251"/>
      <c r="I290" s="252"/>
      <c r="J290" s="827"/>
      <c r="K290" s="617" t="str">
        <f>IFERROR(IF(VLOOKUP('Outras emissões de processo'!D290,FAOEP!$D$37:$G$42,4,FALSE)&gt;0,"",IF(D290="","",IF(H290="","kgCO2e/"&amp;G290,"kgCO2e/"&amp;H290))),"")</f>
        <v/>
      </c>
      <c r="L290" s="569"/>
      <c r="M290" s="827"/>
      <c r="N290" s="252"/>
      <c r="O290" s="827"/>
      <c r="P290" s="827"/>
      <c r="Q290" s="827"/>
      <c r="R290" s="252"/>
      <c r="S290" s="980" t="str">
        <f>IFERROR(IF(VLOOKUP(D290,'Fatores de Emissão'!$B$222:$C$227,2,FALSE)="",IF(J290="",IF(M290="",(O290+(P290*'Fatores de Emissão'!$E$248+Q290*'Fatores de Emissão'!$E$249)/1000)/1000,M290/1000),J290*F290/1000),VLOOKUP(D290,'Fatores de Emissão'!$B$220:$C$225,2,FALSE)*F290/1000),"")</f>
        <v/>
      </c>
      <c r="T290" s="570" t="str">
        <f>IF(COUNT(J290,M290,O290)&gt;1,"ERRO: PREENCHA APENAS UMA DAS TRÊS OPÇÕES","")</f>
        <v/>
      </c>
      <c r="U290" s="169">
        <f>COUNT(J290,M290,O290:Q290)</f>
        <v>0</v>
      </c>
    </row>
    <row r="291" spans="1:21" ht="15.5" x14ac:dyDescent="0.35">
      <c r="B291" s="269"/>
      <c r="C291" s="249"/>
      <c r="D291" s="250"/>
      <c r="E291" s="249"/>
      <c r="F291" s="561"/>
      <c r="G291" s="567"/>
      <c r="H291" s="251"/>
      <c r="I291" s="252"/>
      <c r="J291" s="827"/>
      <c r="K291" s="617" t="str">
        <f>IFERROR(IF(VLOOKUP('Outras emissões de processo'!D291,FAOEP!$D$37:$G$42,4,FALSE)&gt;0,"",IF(D291="","",IF(H291="","kgCO2e/"&amp;G291,"kgCO2e/"&amp;H291))),"")</f>
        <v/>
      </c>
      <c r="L291" s="252"/>
      <c r="M291" s="827"/>
      <c r="N291" s="252"/>
      <c r="O291" s="827"/>
      <c r="P291" s="827"/>
      <c r="Q291" s="827"/>
      <c r="R291" s="252"/>
      <c r="S291" s="980" t="str">
        <f>IFERROR(IF(VLOOKUP(D291,'Fatores de Emissão'!$B$222:$C$227,2,FALSE)="",IF(J291="",IF(M291="",(O291+(P291*'Fatores de Emissão'!$E$248+Q291*'Fatores de Emissão'!$E$249)/1000)/1000,M291/1000),J291*F291/1000),VLOOKUP(D291,'Fatores de Emissão'!$B$220:$C$225,2,FALSE)*F291/1000),"")</f>
        <v/>
      </c>
      <c r="T291" s="570" t="str">
        <f t="shared" ref="T291:T354" si="13">IF(COUNT(J291,M291,O291)&gt;1,"ERRO: PREENCHA APENAS UMA DAS TRÊS OPÇÕES","")</f>
        <v/>
      </c>
    </row>
    <row r="292" spans="1:21" ht="15.5" x14ac:dyDescent="0.35">
      <c r="B292" s="269"/>
      <c r="C292" s="249"/>
      <c r="D292" s="250"/>
      <c r="E292" s="249"/>
      <c r="F292" s="561"/>
      <c r="G292" s="567"/>
      <c r="H292" s="251"/>
      <c r="I292" s="252"/>
      <c r="J292" s="827"/>
      <c r="K292" s="617" t="str">
        <f>IFERROR(IF(VLOOKUP('Outras emissões de processo'!D292,FAOEP!$D$37:$G$42,4,FALSE)&gt;0,"",IF(D292="","",IF(H292="","kgCO2e/"&amp;G292,"kgCO2e/"&amp;H292))),"")</f>
        <v/>
      </c>
      <c r="L292" s="252"/>
      <c r="M292" s="827"/>
      <c r="N292" s="252"/>
      <c r="O292" s="827"/>
      <c r="P292" s="827"/>
      <c r="Q292" s="827"/>
      <c r="R292" s="252"/>
      <c r="S292" s="980" t="str">
        <f>IFERROR(IF(VLOOKUP(D292,'Fatores de Emissão'!$B$222:$C$227,2,FALSE)="",IF(J292="",IF(M292="",(O292+(P292*'Fatores de Emissão'!$E$248+Q292*'Fatores de Emissão'!$E$249)/1000)/1000,M292/1000),J292*F292/1000),VLOOKUP(D292,'Fatores de Emissão'!$B$220:$C$225,2,FALSE)*F292/1000),"")</f>
        <v/>
      </c>
      <c r="T292" s="570" t="str">
        <f t="shared" si="13"/>
        <v/>
      </c>
    </row>
    <row r="293" spans="1:21" ht="15.5" x14ac:dyDescent="0.35">
      <c r="B293" s="269"/>
      <c r="C293" s="249"/>
      <c r="D293" s="250"/>
      <c r="E293" s="249"/>
      <c r="F293" s="336"/>
      <c r="G293" s="567"/>
      <c r="H293" s="251"/>
      <c r="I293" s="252"/>
      <c r="J293" s="827"/>
      <c r="K293" s="617" t="str">
        <f>IFERROR(IF(VLOOKUP('Outras emissões de processo'!D293,FAOEP!$D$37:$G$42,4,FALSE)&gt;0,"",IF(D293="","",IF(H293="","kgCO2e/"&amp;G293,"kgCO2e/"&amp;H293))),"")</f>
        <v/>
      </c>
      <c r="L293" s="252"/>
      <c r="M293" s="827"/>
      <c r="N293" s="252"/>
      <c r="O293" s="827"/>
      <c r="P293" s="827"/>
      <c r="Q293" s="827"/>
      <c r="R293" s="252"/>
      <c r="S293" s="980" t="str">
        <f>IFERROR(IF(VLOOKUP(D293,'Fatores de Emissão'!$B$222:$C$227,2,FALSE)="",IF(J293="",IF(M293="",(O293+(P293*'Fatores de Emissão'!$E$248+Q293*'Fatores de Emissão'!$E$249)/1000)/1000,M293/1000),J293*F293/1000),VLOOKUP(D293,'Fatores de Emissão'!$B$220:$C$225,2,FALSE)*F293/1000),"")</f>
        <v/>
      </c>
      <c r="T293" s="570" t="str">
        <f t="shared" si="13"/>
        <v/>
      </c>
    </row>
    <row r="294" spans="1:21" ht="15.5" x14ac:dyDescent="0.35">
      <c r="B294" s="269"/>
      <c r="C294" s="249"/>
      <c r="D294" s="250"/>
      <c r="E294" s="249"/>
      <c r="F294" s="336"/>
      <c r="G294" s="567"/>
      <c r="H294" s="251"/>
      <c r="I294" s="252"/>
      <c r="J294" s="827"/>
      <c r="K294" s="617" t="str">
        <f>IFERROR(IF(VLOOKUP('Outras emissões de processo'!D294,FAOEP!$D$37:$G$42,4,FALSE)&gt;0,"",IF(D294="","",IF(H294="","kgCO2e/"&amp;G294,"kgCO2e/"&amp;H294))),"")</f>
        <v/>
      </c>
      <c r="L294" s="252"/>
      <c r="M294" s="827"/>
      <c r="N294" s="252"/>
      <c r="O294" s="827"/>
      <c r="P294" s="827"/>
      <c r="Q294" s="827"/>
      <c r="R294" s="252"/>
      <c r="S294" s="980" t="str">
        <f>IFERROR(IF(VLOOKUP(D294,'Fatores de Emissão'!$B$222:$C$227,2,FALSE)="",IF(J294="",IF(M294="",(O294+(P294*'Fatores de Emissão'!$E$248+Q294*'Fatores de Emissão'!$E$249)/1000)/1000,M294/1000),J294*F294/1000),VLOOKUP(D294,'Fatores de Emissão'!$B$220:$C$225,2,FALSE)*F294/1000),"")</f>
        <v/>
      </c>
      <c r="T294" s="570" t="str">
        <f t="shared" si="13"/>
        <v/>
      </c>
    </row>
    <row r="295" spans="1:21" ht="15.5" x14ac:dyDescent="0.35">
      <c r="B295" s="269"/>
      <c r="C295" s="249"/>
      <c r="D295" s="250"/>
      <c r="E295" s="249"/>
      <c r="F295" s="336"/>
      <c r="G295" s="567"/>
      <c r="H295" s="251"/>
      <c r="I295" s="252"/>
      <c r="J295" s="827"/>
      <c r="K295" s="617" t="str">
        <f>IFERROR(IF(VLOOKUP('Outras emissões de processo'!D295,FAOEP!$D$37:$G$42,4,FALSE)&gt;0,"",IF(D295="","",IF(H295="","kgCO2e/"&amp;G295,"kgCO2e/"&amp;H295))),"")</f>
        <v/>
      </c>
      <c r="L295" s="252"/>
      <c r="M295" s="827"/>
      <c r="N295" s="252"/>
      <c r="O295" s="827"/>
      <c r="P295" s="827"/>
      <c r="Q295" s="827"/>
      <c r="R295" s="252"/>
      <c r="S295" s="980" t="str">
        <f>IFERROR(IF(VLOOKUP(D295,'Fatores de Emissão'!$B$222:$C$227,2,FALSE)="",IF(J295="",IF(M295="",(O295+(P295*'Fatores de Emissão'!$E$248+Q295*'Fatores de Emissão'!$E$249)/1000)/1000,M295/1000),J295*F295/1000),VLOOKUP(D295,'Fatores de Emissão'!$B$220:$C$225,2,FALSE)*F295/1000),"")</f>
        <v/>
      </c>
      <c r="T295" s="570" t="str">
        <f t="shared" si="13"/>
        <v/>
      </c>
    </row>
    <row r="296" spans="1:21" ht="15.5" x14ac:dyDescent="0.35">
      <c r="B296" s="269"/>
      <c r="C296" s="249"/>
      <c r="D296" s="250"/>
      <c r="E296" s="249"/>
      <c r="F296" s="336"/>
      <c r="G296" s="567"/>
      <c r="H296" s="251"/>
      <c r="I296" s="252"/>
      <c r="J296" s="827"/>
      <c r="K296" s="617" t="str">
        <f>IFERROR(IF(VLOOKUP('Outras emissões de processo'!D296,FAOEP!$D$37:$G$42,4,FALSE)&gt;0,"",IF(D296="","",IF(H296="","kgCO2e/"&amp;G296,"kgCO2e/"&amp;H296))),"")</f>
        <v/>
      </c>
      <c r="L296" s="252"/>
      <c r="M296" s="827"/>
      <c r="N296" s="252"/>
      <c r="O296" s="827"/>
      <c r="P296" s="827"/>
      <c r="Q296" s="827"/>
      <c r="R296" s="252"/>
      <c r="S296" s="980" t="str">
        <f>IFERROR(IF(VLOOKUP(D296,'Fatores de Emissão'!$B$222:$C$227,2,FALSE)="",IF(J296="",IF(M296="",(O296+(P296*'Fatores de Emissão'!$E$248+Q296*'Fatores de Emissão'!$E$249)/1000)/1000,M296/1000),J296*F296/1000),VLOOKUP(D296,'Fatores de Emissão'!$B$220:$C$225,2,FALSE)*F296/1000),"")</f>
        <v/>
      </c>
      <c r="T296" s="570" t="str">
        <f t="shared" si="13"/>
        <v/>
      </c>
    </row>
    <row r="297" spans="1:21" ht="15.5" x14ac:dyDescent="0.35">
      <c r="B297" s="269"/>
      <c r="C297" s="249"/>
      <c r="D297" s="250"/>
      <c r="E297" s="249"/>
      <c r="F297" s="336"/>
      <c r="G297" s="567"/>
      <c r="H297" s="251"/>
      <c r="I297" s="252"/>
      <c r="J297" s="827"/>
      <c r="K297" s="617" t="str">
        <f>IFERROR(IF(VLOOKUP('Outras emissões de processo'!D297,FAOEP!$D$37:$G$42,4,FALSE)&gt;0,"",IF(D297="","",IF(H297="","kgCO2e/"&amp;G297,"kgCO2e/"&amp;H297))),"")</f>
        <v/>
      </c>
      <c r="L297" s="252"/>
      <c r="M297" s="827"/>
      <c r="N297" s="252"/>
      <c r="O297" s="827"/>
      <c r="P297" s="827"/>
      <c r="Q297" s="827"/>
      <c r="R297" s="252"/>
      <c r="S297" s="980" t="str">
        <f>IFERROR(IF(VLOOKUP(D297,'Fatores de Emissão'!$B$222:$C$227,2,FALSE)="",IF(J297="",IF(M297="",(O297+(P297*'Fatores de Emissão'!$E$248+Q297*'Fatores de Emissão'!$E$249)/1000)/1000,M297/1000),J297*F297/1000),VLOOKUP(D297,'Fatores de Emissão'!$B$220:$C$225,2,FALSE)*F297/1000),"")</f>
        <v/>
      </c>
      <c r="T297" s="570" t="str">
        <f t="shared" si="13"/>
        <v/>
      </c>
    </row>
    <row r="298" spans="1:21" ht="15.5" x14ac:dyDescent="0.35">
      <c r="B298" s="269"/>
      <c r="C298" s="249"/>
      <c r="D298" s="250"/>
      <c r="E298" s="249"/>
      <c r="F298" s="336"/>
      <c r="G298" s="567"/>
      <c r="H298" s="251"/>
      <c r="I298" s="252"/>
      <c r="J298" s="827"/>
      <c r="K298" s="617" t="str">
        <f>IFERROR(IF(VLOOKUP('Outras emissões de processo'!D298,FAOEP!$D$37:$G$42,4,FALSE)&gt;0,"",IF(D298="","",IF(H298="","kgCO2e/"&amp;G298,"kgCO2e/"&amp;H298))),"")</f>
        <v/>
      </c>
      <c r="L298" s="252"/>
      <c r="M298" s="827"/>
      <c r="N298" s="252"/>
      <c r="O298" s="827"/>
      <c r="P298" s="827"/>
      <c r="Q298" s="827"/>
      <c r="R298" s="252"/>
      <c r="S298" s="980" t="str">
        <f>IFERROR(IF(VLOOKUP(D298,'Fatores de Emissão'!$B$222:$C$227,2,FALSE)="",IF(J298="",IF(M298="",(O298+(P298*'Fatores de Emissão'!$E$248+Q298*'Fatores de Emissão'!$E$249)/1000)/1000,M298/1000),J298*F298/1000),VLOOKUP(D298,'Fatores de Emissão'!$B$220:$C$225,2,FALSE)*F298/1000),"")</f>
        <v/>
      </c>
      <c r="T298" s="570" t="str">
        <f t="shared" si="13"/>
        <v/>
      </c>
    </row>
    <row r="299" spans="1:21" ht="14.5" customHeight="1" x14ac:dyDescent="0.35">
      <c r="B299" s="269"/>
      <c r="C299" s="249"/>
      <c r="D299" s="250"/>
      <c r="E299" s="249"/>
      <c r="F299" s="336"/>
      <c r="G299" s="567" t="str">
        <f>IFERROR(VLOOKUP(D299,FAOEP!$D$37:$F$42,2,FALSE),"")</f>
        <v/>
      </c>
      <c r="H299" s="251"/>
      <c r="I299" s="252"/>
      <c r="J299" s="827"/>
      <c r="K299" s="617" t="str">
        <f>IFERROR(IF(VLOOKUP('Outras emissões de processo'!D299,FAOEP!$D$37:$G$42,4,FALSE)&gt;0,"",IF(D299="","",IF(H299="","kgCO2e/"&amp;G299,"kgCO2e/"&amp;H299))),"")</f>
        <v/>
      </c>
      <c r="L299" s="252"/>
      <c r="M299" s="827"/>
      <c r="N299" s="252"/>
      <c r="O299" s="827"/>
      <c r="P299" s="827"/>
      <c r="Q299" s="827"/>
      <c r="R299" s="252"/>
      <c r="S299" s="980" t="str">
        <f>IFERROR(IF(VLOOKUP(D299,'Fatores de Emissão'!$B$222:$C$227,2,FALSE)="",IF(J299="",IF(M299="",(O299+(P299*'Fatores de Emissão'!$E$248+Q299*'Fatores de Emissão'!$E$249)/1000)/1000,M299/1000),J299*F299/1000),VLOOKUP(D299,'Fatores de Emissão'!$B$220:$C$225,2,FALSE)*F299/1000),"")</f>
        <v/>
      </c>
      <c r="T299" s="570" t="str">
        <f t="shared" si="13"/>
        <v/>
      </c>
    </row>
    <row r="300" spans="1:21" ht="15.5" x14ac:dyDescent="0.35">
      <c r="B300" s="269"/>
      <c r="C300" s="249"/>
      <c r="D300" s="250"/>
      <c r="E300" s="249"/>
      <c r="F300" s="336"/>
      <c r="G300" s="567" t="str">
        <f>IFERROR(VLOOKUP(D300,FAOEP!$D$37:$F$42,2,FALSE),"")</f>
        <v/>
      </c>
      <c r="H300" s="251"/>
      <c r="I300" s="252"/>
      <c r="J300" s="827"/>
      <c r="K300" s="617" t="str">
        <f>IFERROR(IF(VLOOKUP('Outras emissões de processo'!D300,FAOEP!$D$37:$G$42,4,FALSE)&gt;0,"",IF(D300="","",IF(H300="","kgCO2e/"&amp;G300,"kgCO2e/"&amp;H300))),"")</f>
        <v/>
      </c>
      <c r="L300" s="252"/>
      <c r="M300" s="827"/>
      <c r="N300" s="252"/>
      <c r="O300" s="827"/>
      <c r="P300" s="827"/>
      <c r="Q300" s="827"/>
      <c r="R300" s="252"/>
      <c r="S300" s="980" t="str">
        <f>IFERROR(IF(VLOOKUP(D300,'Fatores de Emissão'!$B$222:$C$227,2,FALSE)="",IF(J300="",IF(M300="",(O300+(P300*'Fatores de Emissão'!$E$248+Q300*'Fatores de Emissão'!$E$249)/1000)/1000,M300/1000),J300*F300/1000),VLOOKUP(D300,'Fatores de Emissão'!$B$220:$C$225,2,FALSE)*F300/1000),"")</f>
        <v/>
      </c>
      <c r="T300" s="570" t="str">
        <f t="shared" si="13"/>
        <v/>
      </c>
    </row>
    <row r="301" spans="1:21" ht="35.5" hidden="1" customHeight="1" outlineLevel="1" x14ac:dyDescent="0.35">
      <c r="B301" s="269"/>
      <c r="C301" s="249"/>
      <c r="D301" s="250"/>
      <c r="E301" s="249"/>
      <c r="F301" s="336"/>
      <c r="G301" s="567" t="str">
        <f>IFERROR(VLOOKUP(D301,FAOEP!$D$37:$F$42,2,FALSE),"")</f>
        <v/>
      </c>
      <c r="H301" s="251"/>
      <c r="I301" s="252"/>
      <c r="J301" s="827"/>
      <c r="K301" s="617" t="str">
        <f>IFERROR(IF(VLOOKUP(D53,FAOEP!$D$16:$F$27,3,FALSE)=FAOEP!$F$26,"kgCO2e/"&amp;'Outras emissões de processo'!H53,VLOOKUP(D53,FAOEP!$D$16:$F$27,3,FALSE)),"")</f>
        <v/>
      </c>
      <c r="L301" s="252"/>
      <c r="M301" s="563"/>
      <c r="N301" s="252"/>
      <c r="O301" s="563"/>
      <c r="P301" s="563"/>
      <c r="Q301" s="563"/>
      <c r="R301" s="252"/>
      <c r="S301" s="980" t="str">
        <f>IFERROR(IF(VLOOKUP(D301,'Fatores de Emissão'!$B$222:$C$227,2,FALSE)="",IF(J301="",IF(M301="",(O301+(P301*'Fatores de Emissão'!$E$248+Q301*'Fatores de Emissão'!$E$249)/1000)/1000,M301/1000),J301*F301/1000),VLOOKUP(D301,'Fatores de Emissão'!$B$220:$C$225,2,FALSE)*F301/1000),"")</f>
        <v/>
      </c>
      <c r="T301" s="570" t="str">
        <f t="shared" si="13"/>
        <v/>
      </c>
    </row>
    <row r="302" spans="1:21" ht="15.5" hidden="1" outlineLevel="1" x14ac:dyDescent="0.35">
      <c r="B302" s="269"/>
      <c r="C302" s="249"/>
      <c r="D302" s="250"/>
      <c r="E302" s="249"/>
      <c r="F302" s="336"/>
      <c r="G302" s="567" t="str">
        <f>IFERROR(VLOOKUP(D302,FAOEP!$D$37:$F$42,2,FALSE),"")</f>
        <v/>
      </c>
      <c r="H302" s="251"/>
      <c r="I302" s="252"/>
      <c r="J302" s="827"/>
      <c r="K302" s="617" t="str">
        <f>IFERROR(IF(VLOOKUP(D54,FAOEP!$D$16:$F$27,3,FALSE)=FAOEP!$F$26,"kgCO2e/"&amp;'Outras emissões de processo'!H54,VLOOKUP(D54,FAOEP!$D$16:$F$27,3,FALSE)),"")</f>
        <v/>
      </c>
      <c r="L302" s="252"/>
      <c r="M302" s="563"/>
      <c r="N302" s="252"/>
      <c r="O302" s="563"/>
      <c r="P302" s="563"/>
      <c r="Q302" s="563"/>
      <c r="R302" s="252"/>
      <c r="S302" s="980" t="str">
        <f>IFERROR(IF(VLOOKUP(D302,'Fatores de Emissão'!$B$222:$C$227,2,FALSE)="",IF(J302="",IF(M302="",(O302+(P302*'Fatores de Emissão'!$E$248+Q302*'Fatores de Emissão'!$E$249)/1000)/1000,M302/1000),J302*F302/1000),VLOOKUP(D302,'Fatores de Emissão'!$B$220:$C$225,2,FALSE)*F302/1000),"")</f>
        <v/>
      </c>
      <c r="T302" s="570" t="str">
        <f t="shared" si="13"/>
        <v/>
      </c>
    </row>
    <row r="303" spans="1:21" ht="15.5" hidden="1" outlineLevel="1" x14ac:dyDescent="0.35">
      <c r="B303" s="269"/>
      <c r="C303" s="249"/>
      <c r="D303" s="250"/>
      <c r="E303" s="249"/>
      <c r="F303" s="336"/>
      <c r="G303" s="567" t="str">
        <f>IFERROR(VLOOKUP(D303,FAOEP!$D$37:$F$42,2,FALSE),"")</f>
        <v/>
      </c>
      <c r="H303" s="251"/>
      <c r="I303" s="252"/>
      <c r="J303" s="827"/>
      <c r="K303" s="617" t="str">
        <f>IFERROR(IF(VLOOKUP(D55,FAOEP!$D$16:$F$27,3,FALSE)=FAOEP!$F$26,"kgCO2e/"&amp;'Outras emissões de processo'!H55,VLOOKUP(D55,FAOEP!$D$16:$F$27,3,FALSE)),"")</f>
        <v/>
      </c>
      <c r="L303" s="252"/>
      <c r="M303" s="563"/>
      <c r="N303" s="252"/>
      <c r="O303" s="563"/>
      <c r="P303" s="563"/>
      <c r="Q303" s="563"/>
      <c r="R303" s="252"/>
      <c r="S303" s="980" t="str">
        <f>IFERROR(IF(VLOOKUP(D303,'Fatores de Emissão'!$B$222:$C$227,2,FALSE)="",IF(J303="",IF(M303="",(O303+(P303*'Fatores de Emissão'!$E$248+Q303*'Fatores de Emissão'!$E$249)/1000)/1000,M303/1000),J303*F303/1000),VLOOKUP(D303,'Fatores de Emissão'!$B$220:$C$225,2,FALSE)*F303/1000),"")</f>
        <v/>
      </c>
      <c r="T303" s="570" t="str">
        <f t="shared" si="13"/>
        <v/>
      </c>
    </row>
    <row r="304" spans="1:21" ht="15.5" hidden="1" outlineLevel="1" x14ac:dyDescent="0.35">
      <c r="B304" s="269"/>
      <c r="C304" s="249"/>
      <c r="D304" s="250"/>
      <c r="E304" s="249"/>
      <c r="F304" s="336"/>
      <c r="G304" s="567" t="str">
        <f>IFERROR(VLOOKUP(D304,FAOEP!$D$37:$F$42,2,FALSE),"")</f>
        <v/>
      </c>
      <c r="H304" s="251"/>
      <c r="I304" s="252"/>
      <c r="J304" s="827"/>
      <c r="K304" s="617" t="str">
        <f>IFERROR(IF(VLOOKUP(D56,FAOEP!$D$16:$F$27,3,FALSE)=FAOEP!$F$26,"kgCO2e/"&amp;'Outras emissões de processo'!H56,VLOOKUP(D56,FAOEP!$D$16:$F$27,3,FALSE)),"")</f>
        <v/>
      </c>
      <c r="L304" s="252"/>
      <c r="M304" s="563"/>
      <c r="N304" s="252"/>
      <c r="O304" s="563"/>
      <c r="P304" s="563"/>
      <c r="Q304" s="563"/>
      <c r="R304" s="252"/>
      <c r="S304" s="980" t="str">
        <f>IFERROR(IF(VLOOKUP(D304,'Fatores de Emissão'!$B$222:$C$227,2,FALSE)="",IF(J304="",IF(M304="",(O304+(P304*'Fatores de Emissão'!$E$248+Q304*'Fatores de Emissão'!$E$249)/1000)/1000,M304/1000),J304*F304/1000),VLOOKUP(D304,'Fatores de Emissão'!$B$220:$C$225,2,FALSE)*F304/1000),"")</f>
        <v/>
      </c>
      <c r="T304" s="570" t="str">
        <f t="shared" si="13"/>
        <v/>
      </c>
    </row>
    <row r="305" spans="2:20" ht="15.5" hidden="1" outlineLevel="1" x14ac:dyDescent="0.35">
      <c r="B305" s="269"/>
      <c r="C305" s="249"/>
      <c r="D305" s="250"/>
      <c r="E305" s="249"/>
      <c r="F305" s="336"/>
      <c r="G305" s="567" t="str">
        <f>IFERROR(VLOOKUP(D305,FAOEP!$D$37:$F$42,2,FALSE),"")</f>
        <v/>
      </c>
      <c r="H305" s="251"/>
      <c r="I305" s="252"/>
      <c r="J305" s="827"/>
      <c r="K305" s="617" t="str">
        <f>IFERROR(IF(VLOOKUP(D57,FAOEP!$D$16:$F$27,3,FALSE)=FAOEP!$F$26,"kgCO2e/"&amp;'Outras emissões de processo'!H57,VLOOKUP(D57,FAOEP!$D$16:$F$27,3,FALSE)),"")</f>
        <v/>
      </c>
      <c r="L305" s="252"/>
      <c r="M305" s="563"/>
      <c r="N305" s="252"/>
      <c r="O305" s="563"/>
      <c r="P305" s="563"/>
      <c r="Q305" s="563"/>
      <c r="R305" s="252"/>
      <c r="S305" s="980" t="str">
        <f>IFERROR(IF(VLOOKUP(D305,'Fatores de Emissão'!$B$222:$C$227,2,FALSE)="",IF(J305="",IF(M305="",(O305+(P305*'Fatores de Emissão'!$E$248+Q305*'Fatores de Emissão'!$E$249)/1000)/1000,M305/1000),J305*F305/1000),VLOOKUP(D305,'Fatores de Emissão'!$B$220:$C$225,2,FALSE)*F305/1000),"")</f>
        <v/>
      </c>
      <c r="T305" s="570" t="str">
        <f t="shared" si="13"/>
        <v/>
      </c>
    </row>
    <row r="306" spans="2:20" ht="15.5" hidden="1" outlineLevel="1" x14ac:dyDescent="0.35">
      <c r="B306" s="269"/>
      <c r="C306" s="249"/>
      <c r="D306" s="250"/>
      <c r="E306" s="249"/>
      <c r="F306" s="336"/>
      <c r="G306" s="567" t="str">
        <f>IFERROR(VLOOKUP(D306,FAOEP!$D$37:$F$42,2,FALSE),"")</f>
        <v/>
      </c>
      <c r="H306" s="251"/>
      <c r="I306" s="252"/>
      <c r="J306" s="827"/>
      <c r="K306" s="617" t="str">
        <f>IFERROR(IF(VLOOKUP(D58,FAOEP!$D$16:$F$27,3,FALSE)=FAOEP!$F$26,"kgCO2e/"&amp;'Outras emissões de processo'!H58,VLOOKUP(D58,FAOEP!$D$16:$F$27,3,FALSE)),"")</f>
        <v/>
      </c>
      <c r="L306" s="252"/>
      <c r="M306" s="563"/>
      <c r="N306" s="252"/>
      <c r="O306" s="563"/>
      <c r="P306" s="563"/>
      <c r="Q306" s="563"/>
      <c r="R306" s="252"/>
      <c r="S306" s="980" t="str">
        <f>IFERROR(IF(VLOOKUP(D306,'Fatores de Emissão'!$B$222:$C$227,2,FALSE)="",IF(J306="",IF(M306="",(O306+(P306*'Fatores de Emissão'!$E$248+Q306*'Fatores de Emissão'!$E$249)/1000)/1000,M306/1000),J306*F306/1000),VLOOKUP(D306,'Fatores de Emissão'!$B$220:$C$225,2,FALSE)*F306/1000),"")</f>
        <v/>
      </c>
      <c r="T306" s="570" t="str">
        <f t="shared" si="13"/>
        <v/>
      </c>
    </row>
    <row r="307" spans="2:20" ht="15.5" hidden="1" outlineLevel="1" x14ac:dyDescent="0.35">
      <c r="B307" s="269"/>
      <c r="C307" s="249"/>
      <c r="D307" s="250"/>
      <c r="E307" s="249"/>
      <c r="F307" s="336"/>
      <c r="G307" s="567" t="str">
        <f>IFERROR(VLOOKUP(D307,FAOEP!$D$37:$F$42,2,FALSE),"")</f>
        <v/>
      </c>
      <c r="H307" s="251"/>
      <c r="I307" s="252"/>
      <c r="J307" s="827"/>
      <c r="K307" s="617" t="str">
        <f>IFERROR(IF(VLOOKUP(D59,FAOEP!$D$16:$F$27,3,FALSE)=FAOEP!$F$26,"kgCO2e/"&amp;'Outras emissões de processo'!H59,VLOOKUP(D59,FAOEP!$D$16:$F$27,3,FALSE)),"")</f>
        <v/>
      </c>
      <c r="L307" s="252"/>
      <c r="M307" s="563"/>
      <c r="N307" s="252"/>
      <c r="O307" s="563"/>
      <c r="P307" s="563"/>
      <c r="Q307" s="563"/>
      <c r="R307" s="252"/>
      <c r="S307" s="980" t="str">
        <f>IFERROR(IF(VLOOKUP(D307,'Fatores de Emissão'!$B$222:$C$227,2,FALSE)="",IF(J307="",IF(M307="",(O307+(P307*'Fatores de Emissão'!$E$248+Q307*'Fatores de Emissão'!$E$249)/1000)/1000,M307/1000),J307*F307/1000),VLOOKUP(D307,'Fatores de Emissão'!$B$220:$C$225,2,FALSE)*F307/1000),"")</f>
        <v/>
      </c>
      <c r="T307" s="570" t="str">
        <f t="shared" si="13"/>
        <v/>
      </c>
    </row>
    <row r="308" spans="2:20" ht="15.5" hidden="1" outlineLevel="1" x14ac:dyDescent="0.35">
      <c r="B308" s="269"/>
      <c r="C308" s="249"/>
      <c r="D308" s="250"/>
      <c r="E308" s="249"/>
      <c r="F308" s="336"/>
      <c r="G308" s="567" t="str">
        <f>IFERROR(VLOOKUP(D308,FAOEP!$D$37:$F$42,2,FALSE),"")</f>
        <v/>
      </c>
      <c r="H308" s="251"/>
      <c r="I308" s="252"/>
      <c r="J308" s="827"/>
      <c r="K308" s="617" t="str">
        <f>IFERROR(IF(VLOOKUP(D60,FAOEP!$D$16:$F$27,3,FALSE)=FAOEP!$F$26,"kgCO2e/"&amp;'Outras emissões de processo'!H60,VLOOKUP(D60,FAOEP!$D$16:$F$27,3,FALSE)),"")</f>
        <v/>
      </c>
      <c r="L308" s="252"/>
      <c r="M308" s="563"/>
      <c r="N308" s="252"/>
      <c r="O308" s="563"/>
      <c r="P308" s="563"/>
      <c r="Q308" s="563"/>
      <c r="R308" s="252"/>
      <c r="S308" s="980" t="str">
        <f>IFERROR(IF(VLOOKUP(D308,'Fatores de Emissão'!$B$222:$C$227,2,FALSE)="",IF(J308="",IF(M308="",(O308+(P308*'Fatores de Emissão'!$E$248+Q308*'Fatores de Emissão'!$E$249)/1000)/1000,M308/1000),J308*F308/1000),VLOOKUP(D308,'Fatores de Emissão'!$B$220:$C$225,2,FALSE)*F308/1000),"")</f>
        <v/>
      </c>
      <c r="T308" s="570" t="str">
        <f t="shared" si="13"/>
        <v/>
      </c>
    </row>
    <row r="309" spans="2:20" ht="15.5" hidden="1" outlineLevel="1" x14ac:dyDescent="0.35">
      <c r="B309" s="269"/>
      <c r="C309" s="249"/>
      <c r="D309" s="250"/>
      <c r="E309" s="249"/>
      <c r="F309" s="336"/>
      <c r="G309" s="567" t="str">
        <f>IFERROR(VLOOKUP(D309,FAOEP!$D$37:$F$42,2,FALSE),"")</f>
        <v/>
      </c>
      <c r="H309" s="251"/>
      <c r="I309" s="252"/>
      <c r="J309" s="827"/>
      <c r="K309" s="617" t="str">
        <f>IFERROR(IF(VLOOKUP(D61,FAOEP!$D$16:$F$27,3,FALSE)=FAOEP!$F$26,"kgCO2e/"&amp;'Outras emissões de processo'!H61,VLOOKUP(D61,FAOEP!$D$16:$F$27,3,FALSE)),"")</f>
        <v/>
      </c>
      <c r="L309" s="252"/>
      <c r="M309" s="563"/>
      <c r="N309" s="252"/>
      <c r="O309" s="563"/>
      <c r="P309" s="563"/>
      <c r="Q309" s="563"/>
      <c r="R309" s="252"/>
      <c r="S309" s="980" t="str">
        <f>IFERROR(IF(VLOOKUP(D309,'Fatores de Emissão'!$B$222:$C$227,2,FALSE)="",IF(J309="",IF(M309="",(O309+(P309*'Fatores de Emissão'!$E$248+Q309*'Fatores de Emissão'!$E$249)/1000)/1000,M309/1000),J309*F309/1000),VLOOKUP(D309,'Fatores de Emissão'!$B$220:$C$225,2,FALSE)*F309/1000),"")</f>
        <v/>
      </c>
      <c r="T309" s="570" t="str">
        <f t="shared" si="13"/>
        <v/>
      </c>
    </row>
    <row r="310" spans="2:20" ht="15.5" hidden="1" outlineLevel="1" x14ac:dyDescent="0.35">
      <c r="B310" s="269"/>
      <c r="C310" s="249"/>
      <c r="D310" s="250"/>
      <c r="E310" s="249"/>
      <c r="F310" s="336"/>
      <c r="G310" s="567" t="str">
        <f>IFERROR(VLOOKUP(D310,FAOEP!$D$37:$F$42,2,FALSE),"")</f>
        <v/>
      </c>
      <c r="H310" s="251"/>
      <c r="I310" s="252"/>
      <c r="J310" s="827"/>
      <c r="K310" s="617" t="str">
        <f>IFERROR(IF(VLOOKUP(D62,FAOEP!$D$16:$F$27,3,FALSE)=FAOEP!$F$26,"kgCO2e/"&amp;'Outras emissões de processo'!H62,VLOOKUP(D62,FAOEP!$D$16:$F$27,3,FALSE)),"")</f>
        <v/>
      </c>
      <c r="L310" s="252"/>
      <c r="M310" s="563"/>
      <c r="N310" s="252"/>
      <c r="O310" s="563"/>
      <c r="P310" s="563"/>
      <c r="Q310" s="563"/>
      <c r="R310" s="252"/>
      <c r="S310" s="980" t="str">
        <f>IFERROR(IF(VLOOKUP(D310,'Fatores de Emissão'!$B$222:$C$227,2,FALSE)="",IF(J310="",IF(M310="",(O310+(P310*'Fatores de Emissão'!$E$248+Q310*'Fatores de Emissão'!$E$249)/1000)/1000,M310/1000),J310*F310/1000),VLOOKUP(D310,'Fatores de Emissão'!$B$220:$C$225,2,FALSE)*F310/1000),"")</f>
        <v/>
      </c>
      <c r="T310" s="570" t="str">
        <f t="shared" si="13"/>
        <v/>
      </c>
    </row>
    <row r="311" spans="2:20" ht="15.5" hidden="1" outlineLevel="1" x14ac:dyDescent="0.35">
      <c r="B311" s="269"/>
      <c r="C311" s="249"/>
      <c r="D311" s="250"/>
      <c r="E311" s="249"/>
      <c r="F311" s="336"/>
      <c r="G311" s="567" t="str">
        <f>IFERROR(VLOOKUP(D311,FAOEP!$D$37:$F$42,2,FALSE),"")</f>
        <v/>
      </c>
      <c r="H311" s="251"/>
      <c r="I311" s="252"/>
      <c r="J311" s="827"/>
      <c r="K311" s="617" t="str">
        <f>IFERROR(IF(VLOOKUP(D63,FAOEP!$D$16:$F$27,3,FALSE)=FAOEP!$F$26,"kgCO2e/"&amp;'Outras emissões de processo'!H63,VLOOKUP(D63,FAOEP!$D$16:$F$27,3,FALSE)),"")</f>
        <v/>
      </c>
      <c r="L311" s="252"/>
      <c r="M311" s="563"/>
      <c r="N311" s="252"/>
      <c r="O311" s="563"/>
      <c r="P311" s="563"/>
      <c r="Q311" s="563"/>
      <c r="R311" s="252"/>
      <c r="S311" s="980" t="str">
        <f>IFERROR(IF(VLOOKUP(D311,'Fatores de Emissão'!$B$222:$C$227,2,FALSE)="",IF(J311="",IF(M311="",(O311+(P311*'Fatores de Emissão'!$E$248+Q311*'Fatores de Emissão'!$E$249)/1000)/1000,M311/1000),J311*F311/1000),VLOOKUP(D311,'Fatores de Emissão'!$B$220:$C$225,2,FALSE)*F311/1000),"")</f>
        <v/>
      </c>
      <c r="T311" s="570" t="str">
        <f t="shared" si="13"/>
        <v/>
      </c>
    </row>
    <row r="312" spans="2:20" ht="15.5" hidden="1" outlineLevel="1" x14ac:dyDescent="0.35">
      <c r="B312" s="269"/>
      <c r="C312" s="249"/>
      <c r="D312" s="250"/>
      <c r="E312" s="249"/>
      <c r="F312" s="336"/>
      <c r="G312" s="567" t="str">
        <f>IFERROR(VLOOKUP(D312,FAOEP!$D$37:$F$42,2,FALSE),"")</f>
        <v/>
      </c>
      <c r="H312" s="251"/>
      <c r="I312" s="252"/>
      <c r="J312" s="827"/>
      <c r="K312" s="617" t="str">
        <f>IFERROR(IF(VLOOKUP(D64,FAOEP!$D$16:$F$27,3,FALSE)=FAOEP!$F$26,"kgCO2e/"&amp;'Outras emissões de processo'!H64,VLOOKUP(D64,FAOEP!$D$16:$F$27,3,FALSE)),"")</f>
        <v/>
      </c>
      <c r="L312" s="252"/>
      <c r="M312" s="563"/>
      <c r="N312" s="252"/>
      <c r="O312" s="563"/>
      <c r="P312" s="563"/>
      <c r="Q312" s="563"/>
      <c r="R312" s="252"/>
      <c r="S312" s="980" t="str">
        <f>IFERROR(IF(VLOOKUP(D312,'Fatores de Emissão'!$B$222:$C$227,2,FALSE)="",IF(J312="",IF(M312="",(O312+(P312*'Fatores de Emissão'!$E$248+Q312*'Fatores de Emissão'!$E$249)/1000)/1000,M312/1000),J312*F312/1000),VLOOKUP(D312,'Fatores de Emissão'!$B$220:$C$225,2,FALSE)*F312/1000),"")</f>
        <v/>
      </c>
      <c r="T312" s="570" t="str">
        <f t="shared" si="13"/>
        <v/>
      </c>
    </row>
    <row r="313" spans="2:20" ht="15.5" hidden="1" outlineLevel="1" x14ac:dyDescent="0.35">
      <c r="B313" s="269"/>
      <c r="C313" s="249"/>
      <c r="D313" s="250"/>
      <c r="E313" s="249"/>
      <c r="F313" s="336"/>
      <c r="G313" s="567" t="str">
        <f>IFERROR(VLOOKUP(D313,FAOEP!$D$37:$F$42,2,FALSE),"")</f>
        <v/>
      </c>
      <c r="H313" s="251"/>
      <c r="I313" s="252"/>
      <c r="J313" s="827"/>
      <c r="K313" s="617" t="str">
        <f>IFERROR(IF(VLOOKUP(D65,FAOEP!$D$16:$F$27,3,FALSE)=FAOEP!$F$26,"kgCO2e/"&amp;'Outras emissões de processo'!H65,VLOOKUP(D65,FAOEP!$D$16:$F$27,3,FALSE)),"")</f>
        <v/>
      </c>
      <c r="L313" s="252"/>
      <c r="M313" s="563"/>
      <c r="N313" s="252"/>
      <c r="O313" s="563"/>
      <c r="P313" s="563"/>
      <c r="Q313" s="563"/>
      <c r="R313" s="252"/>
      <c r="S313" s="980" t="str">
        <f>IFERROR(IF(VLOOKUP(D313,'Fatores de Emissão'!$B$222:$C$227,2,FALSE)="",IF(J313="",IF(M313="",(O313+(P313*'Fatores de Emissão'!$E$248+Q313*'Fatores de Emissão'!$E$249)/1000)/1000,M313/1000),J313*F313/1000),VLOOKUP(D313,'Fatores de Emissão'!$B$220:$C$225,2,FALSE)*F313/1000),"")</f>
        <v/>
      </c>
      <c r="T313" s="570" t="str">
        <f t="shared" si="13"/>
        <v/>
      </c>
    </row>
    <row r="314" spans="2:20" ht="15.5" hidden="1" outlineLevel="1" x14ac:dyDescent="0.35">
      <c r="B314" s="269"/>
      <c r="C314" s="249"/>
      <c r="D314" s="250"/>
      <c r="E314" s="249"/>
      <c r="F314" s="336"/>
      <c r="G314" s="567" t="str">
        <f>IFERROR(VLOOKUP(D314,FAOEP!$D$37:$F$42,2,FALSE),"")</f>
        <v/>
      </c>
      <c r="H314" s="251"/>
      <c r="I314" s="252"/>
      <c r="J314" s="827"/>
      <c r="K314" s="617" t="str">
        <f>IFERROR(IF(VLOOKUP(D66,FAOEP!$D$16:$F$27,3,FALSE)=FAOEP!$F$26,"kgCO2e/"&amp;'Outras emissões de processo'!H66,VLOOKUP(D66,FAOEP!$D$16:$F$27,3,FALSE)),"")</f>
        <v/>
      </c>
      <c r="L314" s="252"/>
      <c r="M314" s="563"/>
      <c r="N314" s="252"/>
      <c r="O314" s="563"/>
      <c r="P314" s="563"/>
      <c r="Q314" s="563"/>
      <c r="R314" s="252"/>
      <c r="S314" s="980" t="str">
        <f>IFERROR(IF(VLOOKUP(D314,'Fatores de Emissão'!$B$222:$C$227,2,FALSE)="",IF(J314="",IF(M314="",(O314+(P314*'Fatores de Emissão'!$E$248+Q314*'Fatores de Emissão'!$E$249)/1000)/1000,M314/1000),J314*F314/1000),VLOOKUP(D314,'Fatores de Emissão'!$B$220:$C$225,2,FALSE)*F314/1000),"")</f>
        <v/>
      </c>
      <c r="T314" s="570" t="str">
        <f t="shared" si="13"/>
        <v/>
      </c>
    </row>
    <row r="315" spans="2:20" ht="15.5" hidden="1" outlineLevel="1" x14ac:dyDescent="0.35">
      <c r="B315" s="269"/>
      <c r="C315" s="249"/>
      <c r="D315" s="250"/>
      <c r="E315" s="249"/>
      <c r="F315" s="336"/>
      <c r="G315" s="567" t="str">
        <f>IFERROR(VLOOKUP(D315,FAOEP!$D$37:$F$42,2,FALSE),"")</f>
        <v/>
      </c>
      <c r="H315" s="251"/>
      <c r="I315" s="252"/>
      <c r="J315" s="827"/>
      <c r="K315" s="617" t="str">
        <f>IFERROR(IF(VLOOKUP(D67,FAOEP!$D$16:$F$27,3,FALSE)=FAOEP!$F$26,"kgCO2e/"&amp;'Outras emissões de processo'!H67,VLOOKUP(D67,FAOEP!$D$16:$F$27,3,FALSE)),"")</f>
        <v/>
      </c>
      <c r="L315" s="252"/>
      <c r="M315" s="563"/>
      <c r="N315" s="252"/>
      <c r="O315" s="563"/>
      <c r="P315" s="563"/>
      <c r="Q315" s="563"/>
      <c r="R315" s="252"/>
      <c r="S315" s="980" t="str">
        <f>IFERROR(IF(VLOOKUP(D315,'Fatores de Emissão'!$B$222:$C$227,2,FALSE)="",IF(J315="",IF(M315="",(O315+(P315*'Fatores de Emissão'!$E$248+Q315*'Fatores de Emissão'!$E$249)/1000)/1000,M315/1000),J315*F315/1000),VLOOKUP(D315,'Fatores de Emissão'!$B$220:$C$225,2,FALSE)*F315/1000),"")</f>
        <v/>
      </c>
      <c r="T315" s="570" t="str">
        <f t="shared" si="13"/>
        <v/>
      </c>
    </row>
    <row r="316" spans="2:20" ht="15.5" hidden="1" outlineLevel="1" x14ac:dyDescent="0.35">
      <c r="B316" s="269"/>
      <c r="C316" s="249"/>
      <c r="D316" s="250"/>
      <c r="E316" s="249"/>
      <c r="F316" s="336"/>
      <c r="G316" s="567" t="str">
        <f>IFERROR(VLOOKUP(D316,FAOEP!$D$37:$F$42,2,FALSE),"")</f>
        <v/>
      </c>
      <c r="H316" s="251"/>
      <c r="I316" s="252"/>
      <c r="J316" s="827"/>
      <c r="K316" s="617" t="str">
        <f>IFERROR(IF(VLOOKUP(D68,FAOEP!$D$16:$F$27,3,FALSE)=FAOEP!$F$26,"kgCO2e/"&amp;'Outras emissões de processo'!H68,VLOOKUP(D68,FAOEP!$D$16:$F$27,3,FALSE)),"")</f>
        <v/>
      </c>
      <c r="L316" s="252"/>
      <c r="M316" s="563"/>
      <c r="N316" s="252"/>
      <c r="O316" s="563"/>
      <c r="P316" s="563"/>
      <c r="Q316" s="563"/>
      <c r="R316" s="252"/>
      <c r="S316" s="980" t="str">
        <f>IFERROR(IF(VLOOKUP(D316,'Fatores de Emissão'!$B$222:$C$227,2,FALSE)="",IF(J316="",IF(M316="",(O316+(P316*'Fatores de Emissão'!$E$248+Q316*'Fatores de Emissão'!$E$249)/1000)/1000,M316/1000),J316*F316/1000),VLOOKUP(D316,'Fatores de Emissão'!$B$220:$C$225,2,FALSE)*F316/1000),"")</f>
        <v/>
      </c>
      <c r="T316" s="570" t="str">
        <f t="shared" si="13"/>
        <v/>
      </c>
    </row>
    <row r="317" spans="2:20" ht="15.5" hidden="1" outlineLevel="1" x14ac:dyDescent="0.35">
      <c r="B317" s="269"/>
      <c r="C317" s="249"/>
      <c r="D317" s="250"/>
      <c r="E317" s="249"/>
      <c r="F317" s="336"/>
      <c r="G317" s="567" t="str">
        <f>IFERROR(VLOOKUP(D317,FAOEP!$D$37:$F$42,2,FALSE),"")</f>
        <v/>
      </c>
      <c r="H317" s="251"/>
      <c r="I317" s="252"/>
      <c r="J317" s="827"/>
      <c r="K317" s="617" t="str">
        <f>IFERROR(IF(VLOOKUP(D69,FAOEP!$D$16:$F$27,3,FALSE)=FAOEP!$F$26,"kgCO2e/"&amp;'Outras emissões de processo'!H69,VLOOKUP(D69,FAOEP!$D$16:$F$27,3,FALSE)),"")</f>
        <v/>
      </c>
      <c r="L317" s="252"/>
      <c r="M317" s="563"/>
      <c r="N317" s="252"/>
      <c r="O317" s="563"/>
      <c r="P317" s="563"/>
      <c r="Q317" s="563"/>
      <c r="R317" s="252"/>
      <c r="S317" s="980" t="str">
        <f>IFERROR(IF(VLOOKUP(D317,'Fatores de Emissão'!$B$222:$C$227,2,FALSE)="",IF(J317="",IF(M317="",(O317+(P317*'Fatores de Emissão'!$E$248+Q317*'Fatores de Emissão'!$E$249)/1000)/1000,M317/1000),J317*F317/1000),VLOOKUP(D317,'Fatores de Emissão'!$B$220:$C$225,2,FALSE)*F317/1000),"")</f>
        <v/>
      </c>
      <c r="T317" s="570" t="str">
        <f t="shared" si="13"/>
        <v/>
      </c>
    </row>
    <row r="318" spans="2:20" ht="15.5" hidden="1" outlineLevel="1" x14ac:dyDescent="0.35">
      <c r="B318" s="269"/>
      <c r="C318" s="249"/>
      <c r="D318" s="250"/>
      <c r="E318" s="249"/>
      <c r="F318" s="336"/>
      <c r="G318" s="567" t="str">
        <f>IFERROR(VLOOKUP(D318,FAOEP!$D$37:$F$42,2,FALSE),"")</f>
        <v/>
      </c>
      <c r="H318" s="251"/>
      <c r="I318" s="252"/>
      <c r="J318" s="827"/>
      <c r="K318" s="617" t="str">
        <f>IFERROR(IF(VLOOKUP(D70,FAOEP!$D$16:$F$27,3,FALSE)=FAOEP!$F$26,"kgCO2e/"&amp;'Outras emissões de processo'!H70,VLOOKUP(D70,FAOEP!$D$16:$F$27,3,FALSE)),"")</f>
        <v/>
      </c>
      <c r="L318" s="252"/>
      <c r="M318" s="563"/>
      <c r="N318" s="252"/>
      <c r="O318" s="563"/>
      <c r="P318" s="563"/>
      <c r="Q318" s="563"/>
      <c r="R318" s="252"/>
      <c r="S318" s="980" t="str">
        <f>IFERROR(IF(VLOOKUP(D318,'Fatores de Emissão'!$B$222:$C$227,2,FALSE)="",IF(J318="",IF(M318="",(O318+(P318*'Fatores de Emissão'!$E$248+Q318*'Fatores de Emissão'!$E$249)/1000)/1000,M318/1000),J318*F318/1000),VLOOKUP(D318,'Fatores de Emissão'!$B$220:$C$225,2,FALSE)*F318/1000),"")</f>
        <v/>
      </c>
      <c r="T318" s="570" t="str">
        <f t="shared" si="13"/>
        <v/>
      </c>
    </row>
    <row r="319" spans="2:20" ht="15.5" hidden="1" outlineLevel="1" x14ac:dyDescent="0.35">
      <c r="B319" s="269"/>
      <c r="C319" s="249"/>
      <c r="D319" s="250"/>
      <c r="E319" s="249"/>
      <c r="F319" s="336"/>
      <c r="G319" s="567" t="str">
        <f>IFERROR(VLOOKUP(D319,FAOEP!$D$37:$F$42,2,FALSE),"")</f>
        <v/>
      </c>
      <c r="H319" s="251"/>
      <c r="I319" s="252"/>
      <c r="J319" s="827"/>
      <c r="K319" s="617" t="str">
        <f>IFERROR(IF(VLOOKUP(D71,FAOEP!$D$16:$F$27,3,FALSE)=FAOEP!$F$26,"kgCO2e/"&amp;'Outras emissões de processo'!H71,VLOOKUP(D71,FAOEP!$D$16:$F$27,3,FALSE)),"")</f>
        <v/>
      </c>
      <c r="L319" s="252"/>
      <c r="M319" s="563"/>
      <c r="N319" s="252"/>
      <c r="O319" s="563"/>
      <c r="P319" s="563"/>
      <c r="Q319" s="563"/>
      <c r="R319" s="252"/>
      <c r="S319" s="980" t="str">
        <f>IFERROR(IF(VLOOKUP(D319,'Fatores de Emissão'!$B$222:$C$227,2,FALSE)="",IF(J319="",IF(M319="",(O319+(P319*'Fatores de Emissão'!$E$248+Q319*'Fatores de Emissão'!$E$249)/1000)/1000,M319/1000),J319*F319/1000),VLOOKUP(D319,'Fatores de Emissão'!$B$220:$C$225,2,FALSE)*F319/1000),"")</f>
        <v/>
      </c>
      <c r="T319" s="570" t="str">
        <f t="shared" si="13"/>
        <v/>
      </c>
    </row>
    <row r="320" spans="2:20" ht="15.5" hidden="1" outlineLevel="1" x14ac:dyDescent="0.35">
      <c r="B320" s="269"/>
      <c r="C320" s="249"/>
      <c r="D320" s="250"/>
      <c r="E320" s="249"/>
      <c r="F320" s="336"/>
      <c r="G320" s="567" t="str">
        <f>IFERROR(VLOOKUP(D320,FAOEP!$D$37:$F$42,2,FALSE),"")</f>
        <v/>
      </c>
      <c r="H320" s="251"/>
      <c r="I320" s="252"/>
      <c r="J320" s="827"/>
      <c r="K320" s="617" t="str">
        <f>IFERROR(IF(VLOOKUP(D72,FAOEP!$D$16:$F$27,3,FALSE)=FAOEP!$F$26,"kgCO2e/"&amp;'Outras emissões de processo'!H72,VLOOKUP(D72,FAOEP!$D$16:$F$27,3,FALSE)),"")</f>
        <v/>
      </c>
      <c r="L320" s="252"/>
      <c r="M320" s="563"/>
      <c r="N320" s="252"/>
      <c r="O320" s="563"/>
      <c r="P320" s="563"/>
      <c r="Q320" s="563"/>
      <c r="R320" s="252"/>
      <c r="S320" s="980" t="str">
        <f>IFERROR(IF(VLOOKUP(D320,'Fatores de Emissão'!$B$222:$C$227,2,FALSE)="",IF(J320="",IF(M320="",(O320+(P320*'Fatores de Emissão'!$E$248+Q320*'Fatores de Emissão'!$E$249)/1000)/1000,M320/1000),J320*F320/1000),VLOOKUP(D320,'Fatores de Emissão'!$B$220:$C$225,2,FALSE)*F320/1000),"")</f>
        <v/>
      </c>
      <c r="T320" s="570" t="str">
        <f t="shared" si="13"/>
        <v/>
      </c>
    </row>
    <row r="321" spans="2:20" ht="15.5" hidden="1" outlineLevel="1" x14ac:dyDescent="0.35">
      <c r="B321" s="269"/>
      <c r="C321" s="249"/>
      <c r="D321" s="250"/>
      <c r="E321" s="249"/>
      <c r="F321" s="336"/>
      <c r="G321" s="567" t="str">
        <f>IFERROR(VLOOKUP(D321,FAOEP!$D$37:$F$42,2,FALSE),"")</f>
        <v/>
      </c>
      <c r="H321" s="251"/>
      <c r="I321" s="252"/>
      <c r="J321" s="827"/>
      <c r="K321" s="617" t="str">
        <f>IFERROR(IF(VLOOKUP(D73,FAOEP!$D$16:$F$27,3,FALSE)=FAOEP!$F$26,"kgCO2e/"&amp;'Outras emissões de processo'!H73,VLOOKUP(D73,FAOEP!$D$16:$F$27,3,FALSE)),"")</f>
        <v/>
      </c>
      <c r="L321" s="252"/>
      <c r="M321" s="563"/>
      <c r="N321" s="252"/>
      <c r="O321" s="563"/>
      <c r="P321" s="563"/>
      <c r="Q321" s="563"/>
      <c r="R321" s="252"/>
      <c r="S321" s="980" t="str">
        <f>IFERROR(IF(VLOOKUP(D321,'Fatores de Emissão'!$B$222:$C$227,2,FALSE)="",IF(J321="",IF(M321="",(O321+(P321*'Fatores de Emissão'!$E$248+Q321*'Fatores de Emissão'!$E$249)/1000)/1000,M321/1000),J321*F321/1000),VLOOKUP(D321,'Fatores de Emissão'!$B$220:$C$225,2,FALSE)*F321/1000),"")</f>
        <v/>
      </c>
      <c r="T321" s="570" t="str">
        <f t="shared" si="13"/>
        <v/>
      </c>
    </row>
    <row r="322" spans="2:20" ht="15.5" hidden="1" outlineLevel="1" x14ac:dyDescent="0.35">
      <c r="B322" s="269"/>
      <c r="C322" s="249"/>
      <c r="D322" s="250"/>
      <c r="E322" s="249"/>
      <c r="F322" s="336"/>
      <c r="G322" s="567" t="str">
        <f>IFERROR(VLOOKUP(D322,FAOEP!$D$37:$F$42,2,FALSE),"")</f>
        <v/>
      </c>
      <c r="H322" s="251"/>
      <c r="I322" s="252"/>
      <c r="J322" s="827"/>
      <c r="K322" s="617" t="str">
        <f>IFERROR(IF(VLOOKUP(D74,FAOEP!$D$16:$F$27,3,FALSE)=FAOEP!$F$26,"kgCO2e/"&amp;'Outras emissões de processo'!H74,VLOOKUP(D74,FAOEP!$D$16:$F$27,3,FALSE)),"")</f>
        <v/>
      </c>
      <c r="L322" s="252"/>
      <c r="M322" s="563"/>
      <c r="N322" s="252"/>
      <c r="O322" s="563"/>
      <c r="P322" s="563"/>
      <c r="Q322" s="563"/>
      <c r="R322" s="252"/>
      <c r="S322" s="980" t="str">
        <f>IFERROR(IF(VLOOKUP(D322,'Fatores de Emissão'!$B$222:$C$227,2,FALSE)="",IF(J322="",IF(M322="",(O322+(P322*'Fatores de Emissão'!$E$248+Q322*'Fatores de Emissão'!$E$249)/1000)/1000,M322/1000),J322*F322/1000),VLOOKUP(D322,'Fatores de Emissão'!$B$220:$C$225,2,FALSE)*F322/1000),"")</f>
        <v/>
      </c>
      <c r="T322" s="570" t="str">
        <f t="shared" si="13"/>
        <v/>
      </c>
    </row>
    <row r="323" spans="2:20" ht="15.5" hidden="1" outlineLevel="1" x14ac:dyDescent="0.35">
      <c r="B323" s="269"/>
      <c r="C323" s="249"/>
      <c r="D323" s="250"/>
      <c r="E323" s="249"/>
      <c r="F323" s="336"/>
      <c r="G323" s="567" t="str">
        <f>IFERROR(VLOOKUP(D323,FAOEP!$D$37:$F$42,2,FALSE),"")</f>
        <v/>
      </c>
      <c r="H323" s="251"/>
      <c r="I323" s="252"/>
      <c r="J323" s="827"/>
      <c r="K323" s="617" t="str">
        <f>IFERROR(IF(VLOOKUP(D75,FAOEP!$D$16:$F$27,3,FALSE)=FAOEP!$F$26,"kgCO2e/"&amp;'Outras emissões de processo'!H75,VLOOKUP(D75,FAOEP!$D$16:$F$27,3,FALSE)),"")</f>
        <v/>
      </c>
      <c r="L323" s="252"/>
      <c r="M323" s="563"/>
      <c r="N323" s="252"/>
      <c r="O323" s="563"/>
      <c r="P323" s="563"/>
      <c r="Q323" s="563"/>
      <c r="R323" s="252"/>
      <c r="S323" s="980" t="str">
        <f>IFERROR(IF(VLOOKUP(D323,'Fatores de Emissão'!$B$222:$C$227,2,FALSE)="",IF(J323="",IF(M323="",(O323+(P323*'Fatores de Emissão'!$E$248+Q323*'Fatores de Emissão'!$E$249)/1000)/1000,M323/1000),J323*F323/1000),VLOOKUP(D323,'Fatores de Emissão'!$B$220:$C$225,2,FALSE)*F323/1000),"")</f>
        <v/>
      </c>
      <c r="T323" s="570" t="str">
        <f t="shared" si="13"/>
        <v/>
      </c>
    </row>
    <row r="324" spans="2:20" ht="15.5" hidden="1" outlineLevel="1" x14ac:dyDescent="0.35">
      <c r="B324" s="269"/>
      <c r="C324" s="249"/>
      <c r="D324" s="250"/>
      <c r="E324" s="249"/>
      <c r="F324" s="336"/>
      <c r="G324" s="567" t="str">
        <f>IFERROR(VLOOKUP(D324,FAOEP!$D$37:$F$42,2,FALSE),"")</f>
        <v/>
      </c>
      <c r="H324" s="251"/>
      <c r="I324" s="252"/>
      <c r="J324" s="827"/>
      <c r="K324" s="617" t="str">
        <f>IFERROR(IF(VLOOKUP(D76,FAOEP!$D$16:$F$27,3,FALSE)=FAOEP!$F$26,"kgCO2e/"&amp;'Outras emissões de processo'!H76,VLOOKUP(D76,FAOEP!$D$16:$F$27,3,FALSE)),"")</f>
        <v/>
      </c>
      <c r="L324" s="252"/>
      <c r="M324" s="563"/>
      <c r="N324" s="252"/>
      <c r="O324" s="563"/>
      <c r="P324" s="563"/>
      <c r="Q324" s="563"/>
      <c r="R324" s="252"/>
      <c r="S324" s="980" t="str">
        <f>IFERROR(IF(VLOOKUP(D324,'Fatores de Emissão'!$B$222:$C$227,2,FALSE)="",IF(J324="",IF(M324="",(O324+(P324*'Fatores de Emissão'!$E$248+Q324*'Fatores de Emissão'!$E$249)/1000)/1000,M324/1000),J324*F324/1000),VLOOKUP(D324,'Fatores de Emissão'!$B$220:$C$225,2,FALSE)*F324/1000),"")</f>
        <v/>
      </c>
      <c r="T324" s="570" t="str">
        <f t="shared" si="13"/>
        <v/>
      </c>
    </row>
    <row r="325" spans="2:20" ht="15.5" hidden="1" outlineLevel="1" x14ac:dyDescent="0.35">
      <c r="B325" s="269"/>
      <c r="C325" s="249"/>
      <c r="D325" s="250"/>
      <c r="E325" s="249"/>
      <c r="F325" s="336"/>
      <c r="G325" s="567" t="str">
        <f>IFERROR(VLOOKUP(D325,FAOEP!$D$37:$F$42,2,FALSE),"")</f>
        <v/>
      </c>
      <c r="H325" s="251"/>
      <c r="I325" s="252"/>
      <c r="J325" s="827"/>
      <c r="K325" s="617" t="str">
        <f>IFERROR(IF(VLOOKUP(D77,FAOEP!$D$16:$F$27,3,FALSE)=FAOEP!$F$26,"kgCO2e/"&amp;'Outras emissões de processo'!H77,VLOOKUP(D77,FAOEP!$D$16:$F$27,3,FALSE)),"")</f>
        <v/>
      </c>
      <c r="L325" s="252"/>
      <c r="M325" s="563"/>
      <c r="N325" s="252"/>
      <c r="O325" s="563"/>
      <c r="P325" s="563"/>
      <c r="Q325" s="563"/>
      <c r="R325" s="252"/>
      <c r="S325" s="980" t="str">
        <f>IFERROR(IF(VLOOKUP(D325,'Fatores de Emissão'!$B$222:$C$227,2,FALSE)="",IF(J325="",IF(M325="",(O325+(P325*'Fatores de Emissão'!$E$248+Q325*'Fatores de Emissão'!$E$249)/1000)/1000,M325/1000),J325*F325/1000),VLOOKUP(D325,'Fatores de Emissão'!$B$220:$C$225,2,FALSE)*F325/1000),"")</f>
        <v/>
      </c>
      <c r="T325" s="570" t="str">
        <f t="shared" si="13"/>
        <v/>
      </c>
    </row>
    <row r="326" spans="2:20" ht="15.5" hidden="1" outlineLevel="1" x14ac:dyDescent="0.35">
      <c r="B326" s="269"/>
      <c r="C326" s="249"/>
      <c r="D326" s="250"/>
      <c r="E326" s="249"/>
      <c r="F326" s="336"/>
      <c r="G326" s="567" t="str">
        <f>IFERROR(VLOOKUP(D326,FAOEP!$D$37:$F$42,2,FALSE),"")</f>
        <v/>
      </c>
      <c r="H326" s="251"/>
      <c r="I326" s="252"/>
      <c r="J326" s="827"/>
      <c r="K326" s="617" t="str">
        <f>IFERROR(IF(VLOOKUP(D78,FAOEP!$D$16:$F$27,3,FALSE)=FAOEP!$F$26,"kgCO2e/"&amp;'Outras emissões de processo'!H78,VLOOKUP(D78,FAOEP!$D$16:$F$27,3,FALSE)),"")</f>
        <v/>
      </c>
      <c r="L326" s="252"/>
      <c r="M326" s="563"/>
      <c r="N326" s="252"/>
      <c r="O326" s="563"/>
      <c r="P326" s="563"/>
      <c r="Q326" s="563"/>
      <c r="R326" s="252"/>
      <c r="S326" s="980" t="str">
        <f>IFERROR(IF(VLOOKUP(D326,'Fatores de Emissão'!$B$222:$C$227,2,FALSE)="",IF(J326="",IF(M326="",(O326+(P326*'Fatores de Emissão'!$E$248+Q326*'Fatores de Emissão'!$E$249)/1000)/1000,M326/1000),J326*F326/1000),VLOOKUP(D326,'Fatores de Emissão'!$B$220:$C$225,2,FALSE)*F326/1000),"")</f>
        <v/>
      </c>
      <c r="T326" s="570" t="str">
        <f t="shared" si="13"/>
        <v/>
      </c>
    </row>
    <row r="327" spans="2:20" ht="15.5" hidden="1" outlineLevel="1" x14ac:dyDescent="0.35">
      <c r="B327" s="269"/>
      <c r="C327" s="249"/>
      <c r="D327" s="250"/>
      <c r="E327" s="249"/>
      <c r="F327" s="336"/>
      <c r="G327" s="567" t="str">
        <f>IFERROR(VLOOKUP(D327,FAOEP!$D$37:$F$42,2,FALSE),"")</f>
        <v/>
      </c>
      <c r="H327" s="251"/>
      <c r="I327" s="252"/>
      <c r="J327" s="827"/>
      <c r="K327" s="617" t="str">
        <f>IFERROR(IF(VLOOKUP(D79,FAOEP!$D$16:$F$27,3,FALSE)=FAOEP!$F$26,"kgCO2e/"&amp;'Outras emissões de processo'!H79,VLOOKUP(D79,FAOEP!$D$16:$F$27,3,FALSE)),"")</f>
        <v/>
      </c>
      <c r="L327" s="252"/>
      <c r="M327" s="563"/>
      <c r="N327" s="252"/>
      <c r="O327" s="563"/>
      <c r="P327" s="563"/>
      <c r="Q327" s="563"/>
      <c r="R327" s="252"/>
      <c r="S327" s="980" t="str">
        <f>IFERROR(IF(VLOOKUP(D327,'Fatores de Emissão'!$B$222:$C$227,2,FALSE)="",IF(J327="",IF(M327="",(O327+(P327*'Fatores de Emissão'!$E$248+Q327*'Fatores de Emissão'!$E$249)/1000)/1000,M327/1000),J327*F327/1000),VLOOKUP(D327,'Fatores de Emissão'!$B$220:$C$225,2,FALSE)*F327/1000),"")</f>
        <v/>
      </c>
      <c r="T327" s="570" t="str">
        <f t="shared" si="13"/>
        <v/>
      </c>
    </row>
    <row r="328" spans="2:20" ht="15.5" hidden="1" outlineLevel="1" x14ac:dyDescent="0.35">
      <c r="B328" s="269"/>
      <c r="C328" s="249"/>
      <c r="D328" s="250"/>
      <c r="E328" s="249"/>
      <c r="F328" s="336"/>
      <c r="G328" s="567" t="str">
        <f>IFERROR(VLOOKUP(D328,FAOEP!$D$37:$F$42,2,FALSE),"")</f>
        <v/>
      </c>
      <c r="H328" s="251"/>
      <c r="I328" s="252"/>
      <c r="J328" s="827"/>
      <c r="K328" s="617" t="str">
        <f>IFERROR(IF(VLOOKUP(D80,FAOEP!$D$16:$F$27,3,FALSE)=FAOEP!$F$26,"kgCO2e/"&amp;'Outras emissões de processo'!H80,VLOOKUP(D80,FAOEP!$D$16:$F$27,3,FALSE)),"")</f>
        <v/>
      </c>
      <c r="L328" s="252"/>
      <c r="M328" s="563"/>
      <c r="N328" s="252"/>
      <c r="O328" s="563"/>
      <c r="P328" s="563"/>
      <c r="Q328" s="563"/>
      <c r="R328" s="252"/>
      <c r="S328" s="980" t="str">
        <f>IFERROR(IF(VLOOKUP(D328,'Fatores de Emissão'!$B$222:$C$227,2,FALSE)="",IF(J328="",IF(M328="",(O328+(P328*'Fatores de Emissão'!$E$248+Q328*'Fatores de Emissão'!$E$249)/1000)/1000,M328/1000),J328*F328/1000),VLOOKUP(D328,'Fatores de Emissão'!$B$220:$C$225,2,FALSE)*F328/1000),"")</f>
        <v/>
      </c>
      <c r="T328" s="570" t="str">
        <f t="shared" si="13"/>
        <v/>
      </c>
    </row>
    <row r="329" spans="2:20" ht="15.5" hidden="1" outlineLevel="1" x14ac:dyDescent="0.35">
      <c r="B329" s="269"/>
      <c r="C329" s="249"/>
      <c r="D329" s="250"/>
      <c r="E329" s="249"/>
      <c r="F329" s="336"/>
      <c r="G329" s="567" t="str">
        <f>IFERROR(VLOOKUP(D329,FAOEP!$D$37:$F$42,2,FALSE),"")</f>
        <v/>
      </c>
      <c r="H329" s="251"/>
      <c r="I329" s="252"/>
      <c r="J329" s="827"/>
      <c r="K329" s="617" t="str">
        <f>IFERROR(IF(VLOOKUP(D81,FAOEP!$D$16:$F$27,3,FALSE)=FAOEP!$F$26,"kgCO2e/"&amp;'Outras emissões de processo'!H81,VLOOKUP(D81,FAOEP!$D$16:$F$27,3,FALSE)),"")</f>
        <v/>
      </c>
      <c r="L329" s="252"/>
      <c r="M329" s="563"/>
      <c r="N329" s="252"/>
      <c r="O329" s="563"/>
      <c r="P329" s="563"/>
      <c r="Q329" s="563"/>
      <c r="R329" s="252"/>
      <c r="S329" s="980" t="str">
        <f>IFERROR(IF(VLOOKUP(D329,'Fatores de Emissão'!$B$222:$C$227,2,FALSE)="",IF(J329="",IF(M329="",(O329+(P329*'Fatores de Emissão'!$E$248+Q329*'Fatores de Emissão'!$E$249)/1000)/1000,M329/1000),J329*F329/1000),VLOOKUP(D329,'Fatores de Emissão'!$B$220:$C$225,2,FALSE)*F329/1000),"")</f>
        <v/>
      </c>
      <c r="T329" s="570" t="str">
        <f t="shared" si="13"/>
        <v/>
      </c>
    </row>
    <row r="330" spans="2:20" ht="15.5" hidden="1" outlineLevel="1" x14ac:dyDescent="0.35">
      <c r="B330" s="269"/>
      <c r="C330" s="249"/>
      <c r="D330" s="250"/>
      <c r="E330" s="249"/>
      <c r="F330" s="336"/>
      <c r="G330" s="567" t="str">
        <f>IFERROR(VLOOKUP(D330,FAOEP!$D$37:$F$42,2,FALSE),"")</f>
        <v/>
      </c>
      <c r="H330" s="251"/>
      <c r="I330" s="252"/>
      <c r="J330" s="827"/>
      <c r="K330" s="617" t="str">
        <f>IFERROR(IF(VLOOKUP(D82,FAOEP!$D$16:$F$27,3,FALSE)=FAOEP!$F$26,"kgCO2e/"&amp;'Outras emissões de processo'!H82,VLOOKUP(D82,FAOEP!$D$16:$F$27,3,FALSE)),"")</f>
        <v/>
      </c>
      <c r="L330" s="252"/>
      <c r="M330" s="563"/>
      <c r="N330" s="252"/>
      <c r="O330" s="563"/>
      <c r="P330" s="563"/>
      <c r="Q330" s="563"/>
      <c r="R330" s="252"/>
      <c r="S330" s="980" t="str">
        <f>IFERROR(IF(VLOOKUP(D330,'Fatores de Emissão'!$B$222:$C$227,2,FALSE)="",IF(J330="",IF(M330="",(O330+(P330*'Fatores de Emissão'!$E$248+Q330*'Fatores de Emissão'!$E$249)/1000)/1000,M330/1000),J330*F330/1000),VLOOKUP(D330,'Fatores de Emissão'!$B$220:$C$225,2,FALSE)*F330/1000),"")</f>
        <v/>
      </c>
      <c r="T330" s="570" t="str">
        <f t="shared" si="13"/>
        <v/>
      </c>
    </row>
    <row r="331" spans="2:20" ht="15.5" hidden="1" outlineLevel="1" x14ac:dyDescent="0.35">
      <c r="B331" s="269"/>
      <c r="C331" s="249"/>
      <c r="D331" s="250"/>
      <c r="E331" s="249"/>
      <c r="F331" s="336"/>
      <c r="G331" s="567" t="str">
        <f>IFERROR(VLOOKUP(D331,FAOEP!$D$37:$F$42,2,FALSE),"")</f>
        <v/>
      </c>
      <c r="H331" s="251"/>
      <c r="I331" s="252"/>
      <c r="J331" s="827"/>
      <c r="K331" s="617" t="str">
        <f>IFERROR(IF(VLOOKUP(D83,FAOEP!$D$16:$F$27,3,FALSE)=FAOEP!$F$26,"kgCO2e/"&amp;'Outras emissões de processo'!H83,VLOOKUP(D83,FAOEP!$D$16:$F$27,3,FALSE)),"")</f>
        <v/>
      </c>
      <c r="L331" s="252"/>
      <c r="M331" s="563"/>
      <c r="N331" s="252"/>
      <c r="O331" s="563"/>
      <c r="P331" s="563"/>
      <c r="Q331" s="563"/>
      <c r="R331" s="252"/>
      <c r="S331" s="980" t="str">
        <f>IFERROR(IF(VLOOKUP(D331,'Fatores de Emissão'!$B$222:$C$227,2,FALSE)="",IF(J331="",IF(M331="",(O331+(P331*'Fatores de Emissão'!$E$248+Q331*'Fatores de Emissão'!$E$249)/1000)/1000,M331/1000),J331*F331/1000),VLOOKUP(D331,'Fatores de Emissão'!$B$220:$C$225,2,FALSE)*F331/1000),"")</f>
        <v/>
      </c>
      <c r="T331" s="570" t="str">
        <f t="shared" si="13"/>
        <v/>
      </c>
    </row>
    <row r="332" spans="2:20" ht="15.5" hidden="1" outlineLevel="1" x14ac:dyDescent="0.35">
      <c r="B332" s="269"/>
      <c r="C332" s="249"/>
      <c r="D332" s="250"/>
      <c r="E332" s="249"/>
      <c r="F332" s="336"/>
      <c r="G332" s="567" t="str">
        <f>IFERROR(VLOOKUP(D332,FAOEP!$D$37:$F$42,2,FALSE),"")</f>
        <v/>
      </c>
      <c r="H332" s="251"/>
      <c r="I332" s="252"/>
      <c r="J332" s="827"/>
      <c r="K332" s="617" t="str">
        <f>IFERROR(IF(VLOOKUP(D84,FAOEP!$D$16:$F$27,3,FALSE)=FAOEP!$F$26,"kgCO2e/"&amp;'Outras emissões de processo'!H84,VLOOKUP(D84,FAOEP!$D$16:$F$27,3,FALSE)),"")</f>
        <v/>
      </c>
      <c r="L332" s="252"/>
      <c r="M332" s="563"/>
      <c r="N332" s="252"/>
      <c r="O332" s="563"/>
      <c r="P332" s="563"/>
      <c r="Q332" s="563"/>
      <c r="R332" s="252"/>
      <c r="S332" s="980" t="str">
        <f>IFERROR(IF(VLOOKUP(D332,'Fatores de Emissão'!$B$222:$C$227,2,FALSE)="",IF(J332="",IF(M332="",(O332+(P332*'Fatores de Emissão'!$E$248+Q332*'Fatores de Emissão'!$E$249)/1000)/1000,M332/1000),J332*F332/1000),VLOOKUP(D332,'Fatores de Emissão'!$B$220:$C$225,2,FALSE)*F332/1000),"")</f>
        <v/>
      </c>
      <c r="T332" s="570" t="str">
        <f t="shared" si="13"/>
        <v/>
      </c>
    </row>
    <row r="333" spans="2:20" ht="15.5" hidden="1" outlineLevel="1" x14ac:dyDescent="0.35">
      <c r="B333" s="269"/>
      <c r="C333" s="249"/>
      <c r="D333" s="250"/>
      <c r="E333" s="249"/>
      <c r="F333" s="336"/>
      <c r="G333" s="567" t="str">
        <f>IFERROR(VLOOKUP(D333,FAOEP!$D$37:$F$42,2,FALSE),"")</f>
        <v/>
      </c>
      <c r="H333" s="251"/>
      <c r="I333" s="252"/>
      <c r="J333" s="827"/>
      <c r="K333" s="617" t="str">
        <f>IFERROR(IF(VLOOKUP(D85,FAOEP!$D$16:$F$27,3,FALSE)=FAOEP!$F$26,"kgCO2e/"&amp;'Outras emissões de processo'!H85,VLOOKUP(D85,FAOEP!$D$16:$F$27,3,FALSE)),"")</f>
        <v/>
      </c>
      <c r="L333" s="252"/>
      <c r="M333" s="563"/>
      <c r="N333" s="252"/>
      <c r="O333" s="563"/>
      <c r="P333" s="563"/>
      <c r="Q333" s="563"/>
      <c r="R333" s="252"/>
      <c r="S333" s="980" t="str">
        <f>IFERROR(IF(VLOOKUP(D333,'Fatores de Emissão'!$B$222:$C$227,2,FALSE)="",IF(J333="",IF(M333="",(O333+(P333*'Fatores de Emissão'!$E$248+Q333*'Fatores de Emissão'!$E$249)/1000)/1000,M333/1000),J333*F333/1000),VLOOKUP(D333,'Fatores de Emissão'!$B$220:$C$225,2,FALSE)*F333/1000),"")</f>
        <v/>
      </c>
      <c r="T333" s="570" t="str">
        <f t="shared" si="13"/>
        <v/>
      </c>
    </row>
    <row r="334" spans="2:20" ht="15.5" hidden="1" outlineLevel="1" x14ac:dyDescent="0.35">
      <c r="B334" s="269"/>
      <c r="C334" s="249"/>
      <c r="D334" s="250"/>
      <c r="E334" s="249"/>
      <c r="F334" s="336"/>
      <c r="G334" s="567" t="str">
        <f>IFERROR(VLOOKUP(D334,FAOEP!$D$37:$F$42,2,FALSE),"")</f>
        <v/>
      </c>
      <c r="H334" s="251"/>
      <c r="I334" s="252"/>
      <c r="J334" s="827"/>
      <c r="K334" s="617" t="str">
        <f>IFERROR(IF(VLOOKUP(D86,FAOEP!$D$16:$F$27,3,FALSE)=FAOEP!$F$26,"kgCO2e/"&amp;'Outras emissões de processo'!H86,VLOOKUP(D86,FAOEP!$D$16:$F$27,3,FALSE)),"")</f>
        <v/>
      </c>
      <c r="L334" s="252"/>
      <c r="M334" s="563"/>
      <c r="N334" s="252"/>
      <c r="O334" s="563"/>
      <c r="P334" s="563"/>
      <c r="Q334" s="563"/>
      <c r="R334" s="252"/>
      <c r="S334" s="980" t="str">
        <f>IFERROR(IF(VLOOKUP(D334,'Fatores de Emissão'!$B$222:$C$227,2,FALSE)="",IF(J334="",IF(M334="",(O334+(P334*'Fatores de Emissão'!$E$248+Q334*'Fatores de Emissão'!$E$249)/1000)/1000,M334/1000),J334*F334/1000),VLOOKUP(D334,'Fatores de Emissão'!$B$220:$C$225,2,FALSE)*F334/1000),"")</f>
        <v/>
      </c>
      <c r="T334" s="570" t="str">
        <f t="shared" si="13"/>
        <v/>
      </c>
    </row>
    <row r="335" spans="2:20" ht="15.5" hidden="1" outlineLevel="1" x14ac:dyDescent="0.35">
      <c r="B335" s="269"/>
      <c r="C335" s="249"/>
      <c r="D335" s="250"/>
      <c r="E335" s="249"/>
      <c r="F335" s="336"/>
      <c r="G335" s="567" t="str">
        <f>IFERROR(VLOOKUP(D335,FAOEP!$D$37:$F$42,2,FALSE),"")</f>
        <v/>
      </c>
      <c r="H335" s="251"/>
      <c r="I335" s="252"/>
      <c r="J335" s="827"/>
      <c r="K335" s="617" t="str">
        <f>IFERROR(IF(VLOOKUP(D87,FAOEP!$D$16:$F$27,3,FALSE)=FAOEP!$F$26,"kgCO2e/"&amp;'Outras emissões de processo'!H87,VLOOKUP(D87,FAOEP!$D$16:$F$27,3,FALSE)),"")</f>
        <v/>
      </c>
      <c r="L335" s="252"/>
      <c r="M335" s="563"/>
      <c r="N335" s="252"/>
      <c r="O335" s="563"/>
      <c r="P335" s="563"/>
      <c r="Q335" s="563"/>
      <c r="R335" s="252"/>
      <c r="S335" s="980" t="str">
        <f>IFERROR(IF(VLOOKUP(D335,'Fatores de Emissão'!$B$222:$C$227,2,FALSE)="",IF(J335="",IF(M335="",(O335+(P335*'Fatores de Emissão'!$E$248+Q335*'Fatores de Emissão'!$E$249)/1000)/1000,M335/1000),J335*F335/1000),VLOOKUP(D335,'Fatores de Emissão'!$B$220:$C$225,2,FALSE)*F335/1000),"")</f>
        <v/>
      </c>
      <c r="T335" s="570" t="str">
        <f t="shared" si="13"/>
        <v/>
      </c>
    </row>
    <row r="336" spans="2:20" ht="15.5" hidden="1" outlineLevel="1" x14ac:dyDescent="0.35">
      <c r="B336" s="269"/>
      <c r="C336" s="249"/>
      <c r="D336" s="250"/>
      <c r="E336" s="249"/>
      <c r="F336" s="336"/>
      <c r="G336" s="567" t="str">
        <f>IFERROR(VLOOKUP(D336,FAOEP!$D$37:$F$42,2,FALSE),"")</f>
        <v/>
      </c>
      <c r="H336" s="251"/>
      <c r="I336" s="252"/>
      <c r="J336" s="827"/>
      <c r="K336" s="617" t="str">
        <f>IFERROR(IF(VLOOKUP(D88,FAOEP!$D$16:$F$27,3,FALSE)=FAOEP!$F$26,"kgCO2e/"&amp;'Outras emissões de processo'!H88,VLOOKUP(D88,FAOEP!$D$16:$F$27,3,FALSE)),"")</f>
        <v/>
      </c>
      <c r="L336" s="252"/>
      <c r="M336" s="563"/>
      <c r="N336" s="252"/>
      <c r="O336" s="563"/>
      <c r="P336" s="563"/>
      <c r="Q336" s="563"/>
      <c r="R336" s="252"/>
      <c r="S336" s="980" t="str">
        <f>IFERROR(IF(VLOOKUP(D336,'Fatores de Emissão'!$B$222:$C$227,2,FALSE)="",IF(J336="",IF(M336="",(O336+(P336*'Fatores de Emissão'!$E$248+Q336*'Fatores de Emissão'!$E$249)/1000)/1000,M336/1000),J336*F336/1000),VLOOKUP(D336,'Fatores de Emissão'!$B$220:$C$225,2,FALSE)*F336/1000),"")</f>
        <v/>
      </c>
      <c r="T336" s="570" t="str">
        <f t="shared" si="13"/>
        <v/>
      </c>
    </row>
    <row r="337" spans="2:20" ht="15.5" hidden="1" outlineLevel="1" x14ac:dyDescent="0.35">
      <c r="B337" s="269"/>
      <c r="C337" s="249"/>
      <c r="D337" s="250"/>
      <c r="E337" s="249"/>
      <c r="F337" s="336"/>
      <c r="G337" s="567" t="str">
        <f>IFERROR(VLOOKUP(D337,FAOEP!$D$37:$F$42,2,FALSE),"")</f>
        <v/>
      </c>
      <c r="H337" s="251"/>
      <c r="I337" s="252"/>
      <c r="J337" s="827"/>
      <c r="K337" s="617" t="str">
        <f>IFERROR(IF(VLOOKUP(D89,FAOEP!$D$16:$F$27,3,FALSE)=FAOEP!$F$26,"kgCO2e/"&amp;'Outras emissões de processo'!H89,VLOOKUP(D89,FAOEP!$D$16:$F$27,3,FALSE)),"")</f>
        <v/>
      </c>
      <c r="L337" s="252"/>
      <c r="M337" s="563"/>
      <c r="N337" s="252"/>
      <c r="O337" s="563"/>
      <c r="P337" s="563"/>
      <c r="Q337" s="563"/>
      <c r="R337" s="252"/>
      <c r="S337" s="980" t="str">
        <f>IFERROR(IF(VLOOKUP(D337,'Fatores de Emissão'!$B$222:$C$227,2,FALSE)="",IF(J337="",IF(M337="",(O337+(P337*'Fatores de Emissão'!$E$248+Q337*'Fatores de Emissão'!$E$249)/1000)/1000,M337/1000),J337*F337/1000),VLOOKUP(D337,'Fatores de Emissão'!$B$220:$C$225,2,FALSE)*F337/1000),"")</f>
        <v/>
      </c>
      <c r="T337" s="570" t="str">
        <f t="shared" si="13"/>
        <v/>
      </c>
    </row>
    <row r="338" spans="2:20" ht="15.5" hidden="1" outlineLevel="1" x14ac:dyDescent="0.35">
      <c r="B338" s="269"/>
      <c r="C338" s="249"/>
      <c r="D338" s="250"/>
      <c r="E338" s="249"/>
      <c r="F338" s="336"/>
      <c r="G338" s="567" t="str">
        <f>IFERROR(VLOOKUP(D338,FAOEP!$D$37:$F$42,2,FALSE),"")</f>
        <v/>
      </c>
      <c r="H338" s="251"/>
      <c r="I338" s="252"/>
      <c r="J338" s="827"/>
      <c r="K338" s="617" t="str">
        <f>IFERROR(IF(VLOOKUP(D90,FAOEP!$D$16:$F$27,3,FALSE)=FAOEP!$F$26,"kgCO2e/"&amp;'Outras emissões de processo'!H90,VLOOKUP(D90,FAOEP!$D$16:$F$27,3,FALSE)),"")</f>
        <v/>
      </c>
      <c r="L338" s="252"/>
      <c r="M338" s="563"/>
      <c r="N338" s="252"/>
      <c r="O338" s="563"/>
      <c r="P338" s="563"/>
      <c r="Q338" s="563"/>
      <c r="R338" s="252"/>
      <c r="S338" s="980" t="str">
        <f>IFERROR(IF(VLOOKUP(D338,'Fatores de Emissão'!$B$222:$C$227,2,FALSE)="",IF(J338="",IF(M338="",(O338+(P338*'Fatores de Emissão'!$E$248+Q338*'Fatores de Emissão'!$E$249)/1000)/1000,M338/1000),J338*F338/1000),VLOOKUP(D338,'Fatores de Emissão'!$B$220:$C$225,2,FALSE)*F338/1000),"")</f>
        <v/>
      </c>
      <c r="T338" s="570" t="str">
        <f t="shared" si="13"/>
        <v/>
      </c>
    </row>
    <row r="339" spans="2:20" ht="15.5" hidden="1" outlineLevel="1" x14ac:dyDescent="0.35">
      <c r="B339" s="269"/>
      <c r="C339" s="249"/>
      <c r="D339" s="250"/>
      <c r="E339" s="249"/>
      <c r="F339" s="336"/>
      <c r="G339" s="567" t="str">
        <f>IFERROR(VLOOKUP(D339,FAOEP!$D$37:$F$42,2,FALSE),"")</f>
        <v/>
      </c>
      <c r="H339" s="251"/>
      <c r="I339" s="252"/>
      <c r="J339" s="827"/>
      <c r="K339" s="617" t="str">
        <f>IFERROR(IF(VLOOKUP(D91,FAOEP!$D$16:$F$27,3,FALSE)=FAOEP!$F$26,"kgCO2e/"&amp;'Outras emissões de processo'!H91,VLOOKUP(D91,FAOEP!$D$16:$F$27,3,FALSE)),"")</f>
        <v/>
      </c>
      <c r="L339" s="252"/>
      <c r="M339" s="563"/>
      <c r="N339" s="252"/>
      <c r="O339" s="563"/>
      <c r="P339" s="563"/>
      <c r="Q339" s="563"/>
      <c r="R339" s="252"/>
      <c r="S339" s="980" t="str">
        <f>IFERROR(IF(VLOOKUP(D339,'Fatores de Emissão'!$B$222:$C$227,2,FALSE)="",IF(J339="",IF(M339="",(O339+(P339*'Fatores de Emissão'!$E$248+Q339*'Fatores de Emissão'!$E$249)/1000)/1000,M339/1000),J339*F339/1000),VLOOKUP(D339,'Fatores de Emissão'!$B$220:$C$225,2,FALSE)*F339/1000),"")</f>
        <v/>
      </c>
      <c r="T339" s="570" t="str">
        <f t="shared" si="13"/>
        <v/>
      </c>
    </row>
    <row r="340" spans="2:20" ht="15.5" hidden="1" outlineLevel="1" x14ac:dyDescent="0.35">
      <c r="B340" s="269"/>
      <c r="C340" s="249"/>
      <c r="D340" s="250"/>
      <c r="E340" s="249"/>
      <c r="F340" s="336"/>
      <c r="G340" s="567" t="str">
        <f>IFERROR(VLOOKUP(D340,FAOEP!$D$37:$F$42,2,FALSE),"")</f>
        <v/>
      </c>
      <c r="H340" s="251"/>
      <c r="I340" s="252"/>
      <c r="J340" s="827"/>
      <c r="K340" s="617" t="str">
        <f>IFERROR(IF(VLOOKUP(D92,FAOEP!$D$16:$F$27,3,FALSE)=FAOEP!$F$26,"kgCO2e/"&amp;'Outras emissões de processo'!H92,VLOOKUP(D92,FAOEP!$D$16:$F$27,3,FALSE)),"")</f>
        <v/>
      </c>
      <c r="L340" s="252"/>
      <c r="M340" s="563"/>
      <c r="N340" s="252"/>
      <c r="O340" s="563"/>
      <c r="P340" s="563"/>
      <c r="Q340" s="563"/>
      <c r="R340" s="252"/>
      <c r="S340" s="980" t="str">
        <f>IFERROR(IF(VLOOKUP(D340,'Fatores de Emissão'!$B$222:$C$227,2,FALSE)="",IF(J340="",IF(M340="",(O340+(P340*'Fatores de Emissão'!$E$248+Q340*'Fatores de Emissão'!$E$249)/1000)/1000,M340/1000),J340*F340/1000),VLOOKUP(D340,'Fatores de Emissão'!$B$220:$C$225,2,FALSE)*F340/1000),"")</f>
        <v/>
      </c>
      <c r="T340" s="570" t="str">
        <f t="shared" si="13"/>
        <v/>
      </c>
    </row>
    <row r="341" spans="2:20" ht="15.5" hidden="1" outlineLevel="1" x14ac:dyDescent="0.35">
      <c r="B341" s="269"/>
      <c r="C341" s="249"/>
      <c r="D341" s="250"/>
      <c r="E341" s="249"/>
      <c r="F341" s="336"/>
      <c r="G341" s="567" t="str">
        <f>IFERROR(VLOOKUP(D341,FAOEP!$D$37:$F$42,2,FALSE),"")</f>
        <v/>
      </c>
      <c r="H341" s="251"/>
      <c r="I341" s="252"/>
      <c r="J341" s="827"/>
      <c r="K341" s="617" t="str">
        <f>IFERROR(IF(VLOOKUP(D93,FAOEP!$D$16:$F$27,3,FALSE)=FAOEP!$F$26,"kgCO2e/"&amp;'Outras emissões de processo'!H93,VLOOKUP(D93,FAOEP!$D$16:$F$27,3,FALSE)),"")</f>
        <v/>
      </c>
      <c r="L341" s="252"/>
      <c r="M341" s="563"/>
      <c r="N341" s="252"/>
      <c r="O341" s="563"/>
      <c r="P341" s="563"/>
      <c r="Q341" s="563"/>
      <c r="R341" s="252"/>
      <c r="S341" s="980" t="str">
        <f>IFERROR(IF(VLOOKUP(D341,'Fatores de Emissão'!$B$222:$C$227,2,FALSE)="",IF(J341="",IF(M341="",(O341+(P341*'Fatores de Emissão'!$E$248+Q341*'Fatores de Emissão'!$E$249)/1000)/1000,M341/1000),J341*F341/1000),VLOOKUP(D341,'Fatores de Emissão'!$B$220:$C$225,2,FALSE)*F341/1000),"")</f>
        <v/>
      </c>
      <c r="T341" s="570" t="str">
        <f t="shared" si="13"/>
        <v/>
      </c>
    </row>
    <row r="342" spans="2:20" ht="15.5" hidden="1" outlineLevel="1" x14ac:dyDescent="0.35">
      <c r="B342" s="269"/>
      <c r="C342" s="249"/>
      <c r="D342" s="250"/>
      <c r="E342" s="249"/>
      <c r="F342" s="336"/>
      <c r="G342" s="567" t="str">
        <f>IFERROR(VLOOKUP(D342,FAOEP!$D$37:$F$42,2,FALSE),"")</f>
        <v/>
      </c>
      <c r="H342" s="251"/>
      <c r="I342" s="252"/>
      <c r="J342" s="827"/>
      <c r="K342" s="617" t="str">
        <f>IFERROR(IF(VLOOKUP(D94,FAOEP!$D$16:$F$27,3,FALSE)=FAOEP!$F$26,"kgCO2e/"&amp;'Outras emissões de processo'!H94,VLOOKUP(D94,FAOEP!$D$16:$F$27,3,FALSE)),"")</f>
        <v/>
      </c>
      <c r="L342" s="252"/>
      <c r="M342" s="563"/>
      <c r="N342" s="252"/>
      <c r="O342" s="563"/>
      <c r="P342" s="563"/>
      <c r="Q342" s="563"/>
      <c r="R342" s="252"/>
      <c r="S342" s="980" t="str">
        <f>IFERROR(IF(VLOOKUP(D342,'Fatores de Emissão'!$B$222:$C$227,2,FALSE)="",IF(J342="",IF(M342="",(O342+(P342*'Fatores de Emissão'!$E$248+Q342*'Fatores de Emissão'!$E$249)/1000)/1000,M342/1000),J342*F342/1000),VLOOKUP(D342,'Fatores de Emissão'!$B$220:$C$225,2,FALSE)*F342/1000),"")</f>
        <v/>
      </c>
      <c r="T342" s="570" t="str">
        <f t="shared" si="13"/>
        <v/>
      </c>
    </row>
    <row r="343" spans="2:20" ht="15.5" hidden="1" outlineLevel="1" x14ac:dyDescent="0.35">
      <c r="B343" s="269"/>
      <c r="C343" s="249"/>
      <c r="D343" s="250"/>
      <c r="E343" s="249"/>
      <c r="F343" s="336"/>
      <c r="G343" s="567" t="str">
        <f>IFERROR(VLOOKUP(D343,FAOEP!$D$37:$F$42,2,FALSE),"")</f>
        <v/>
      </c>
      <c r="H343" s="251"/>
      <c r="I343" s="252"/>
      <c r="J343" s="827"/>
      <c r="K343" s="617" t="str">
        <f>IFERROR(IF(VLOOKUP(D95,FAOEP!$D$16:$F$27,3,FALSE)=FAOEP!$F$26,"kgCO2e/"&amp;'Outras emissões de processo'!H95,VLOOKUP(D95,FAOEP!$D$16:$F$27,3,FALSE)),"")</f>
        <v/>
      </c>
      <c r="L343" s="252"/>
      <c r="M343" s="563"/>
      <c r="N343" s="252"/>
      <c r="O343" s="563"/>
      <c r="P343" s="563"/>
      <c r="Q343" s="563"/>
      <c r="R343" s="252"/>
      <c r="S343" s="980" t="str">
        <f>IFERROR(IF(VLOOKUP(D343,'Fatores de Emissão'!$B$222:$C$227,2,FALSE)="",IF(J343="",IF(M343="",(O343+(P343*'Fatores de Emissão'!$E$248+Q343*'Fatores de Emissão'!$E$249)/1000)/1000,M343/1000),J343*F343/1000),VLOOKUP(D343,'Fatores de Emissão'!$B$220:$C$225,2,FALSE)*F343/1000),"")</f>
        <v/>
      </c>
      <c r="T343" s="570" t="str">
        <f t="shared" si="13"/>
        <v/>
      </c>
    </row>
    <row r="344" spans="2:20" ht="15.5" hidden="1" outlineLevel="1" x14ac:dyDescent="0.35">
      <c r="B344" s="269"/>
      <c r="C344" s="249"/>
      <c r="D344" s="250"/>
      <c r="E344" s="249"/>
      <c r="F344" s="336"/>
      <c r="G344" s="567" t="str">
        <f>IFERROR(VLOOKUP(D344,FAOEP!$D$37:$F$42,2,FALSE),"")</f>
        <v/>
      </c>
      <c r="H344" s="251"/>
      <c r="I344" s="252"/>
      <c r="J344" s="827"/>
      <c r="K344" s="617" t="str">
        <f>IFERROR(IF(VLOOKUP(D96,FAOEP!$D$16:$F$27,3,FALSE)=FAOEP!$F$26,"kgCO2e/"&amp;'Outras emissões de processo'!H96,VLOOKUP(D96,FAOEP!$D$16:$F$27,3,FALSE)),"")</f>
        <v/>
      </c>
      <c r="L344" s="252"/>
      <c r="M344" s="563"/>
      <c r="N344" s="252"/>
      <c r="O344" s="563"/>
      <c r="P344" s="563"/>
      <c r="Q344" s="563"/>
      <c r="R344" s="252"/>
      <c r="S344" s="980" t="str">
        <f>IFERROR(IF(VLOOKUP(D344,'Fatores de Emissão'!$B$222:$C$227,2,FALSE)="",IF(J344="",IF(M344="",(O344+(P344*'Fatores de Emissão'!$E$248+Q344*'Fatores de Emissão'!$E$249)/1000)/1000,M344/1000),J344*F344/1000),VLOOKUP(D344,'Fatores de Emissão'!$B$220:$C$225,2,FALSE)*F344/1000),"")</f>
        <v/>
      </c>
      <c r="T344" s="570" t="str">
        <f t="shared" si="13"/>
        <v/>
      </c>
    </row>
    <row r="345" spans="2:20" ht="15.5" hidden="1" outlineLevel="1" x14ac:dyDescent="0.35">
      <c r="B345" s="269"/>
      <c r="C345" s="249"/>
      <c r="D345" s="250"/>
      <c r="E345" s="249"/>
      <c r="F345" s="336"/>
      <c r="G345" s="567" t="str">
        <f>IFERROR(VLOOKUP(D345,FAOEP!$D$37:$F$42,2,FALSE),"")</f>
        <v/>
      </c>
      <c r="H345" s="251"/>
      <c r="I345" s="252"/>
      <c r="J345" s="827"/>
      <c r="K345" s="617" t="str">
        <f>IFERROR(IF(VLOOKUP(D97,FAOEP!$D$16:$F$27,3,FALSE)=FAOEP!$F$26,"kgCO2e/"&amp;'Outras emissões de processo'!H97,VLOOKUP(D97,FAOEP!$D$16:$F$27,3,FALSE)),"")</f>
        <v/>
      </c>
      <c r="L345" s="252"/>
      <c r="M345" s="563"/>
      <c r="N345" s="252"/>
      <c r="O345" s="563"/>
      <c r="P345" s="563"/>
      <c r="Q345" s="563"/>
      <c r="R345" s="252"/>
      <c r="S345" s="980" t="str">
        <f>IFERROR(IF(VLOOKUP(D345,'Fatores de Emissão'!$B$222:$C$227,2,FALSE)="",IF(J345="",IF(M345="",(O345+(P345*'Fatores de Emissão'!$E$248+Q345*'Fatores de Emissão'!$E$249)/1000)/1000,M345/1000),J345*F345/1000),VLOOKUP(D345,'Fatores de Emissão'!$B$220:$C$225,2,FALSE)*F345/1000),"")</f>
        <v/>
      </c>
      <c r="T345" s="570" t="str">
        <f t="shared" si="13"/>
        <v/>
      </c>
    </row>
    <row r="346" spans="2:20" ht="15.5" hidden="1" outlineLevel="1" x14ac:dyDescent="0.35">
      <c r="B346" s="269"/>
      <c r="C346" s="249"/>
      <c r="D346" s="250"/>
      <c r="E346" s="249"/>
      <c r="F346" s="336"/>
      <c r="G346" s="567" t="str">
        <f>IFERROR(VLOOKUP(D346,FAOEP!$D$37:$F$42,2,FALSE),"")</f>
        <v/>
      </c>
      <c r="H346" s="251"/>
      <c r="I346" s="252"/>
      <c r="J346" s="827"/>
      <c r="K346" s="617" t="str">
        <f>IFERROR(IF(VLOOKUP(D98,FAOEP!$D$16:$F$27,3,FALSE)=FAOEP!$F$26,"kgCO2e/"&amp;'Outras emissões de processo'!H98,VLOOKUP(D98,FAOEP!$D$16:$F$27,3,FALSE)),"")</f>
        <v/>
      </c>
      <c r="L346" s="252"/>
      <c r="M346" s="563"/>
      <c r="N346" s="252"/>
      <c r="O346" s="563"/>
      <c r="P346" s="563"/>
      <c r="Q346" s="563"/>
      <c r="R346" s="252"/>
      <c r="S346" s="980" t="str">
        <f>IFERROR(IF(VLOOKUP(D346,'Fatores de Emissão'!$B$222:$C$227,2,FALSE)="",IF(J346="",IF(M346="",(O346+(P346*'Fatores de Emissão'!$E$248+Q346*'Fatores de Emissão'!$E$249)/1000)/1000,M346/1000),J346*F346/1000),VLOOKUP(D346,'Fatores de Emissão'!$B$220:$C$225,2,FALSE)*F346/1000),"")</f>
        <v/>
      </c>
      <c r="T346" s="570" t="str">
        <f t="shared" si="13"/>
        <v/>
      </c>
    </row>
    <row r="347" spans="2:20" ht="15.5" hidden="1" outlineLevel="1" x14ac:dyDescent="0.35">
      <c r="B347" s="269"/>
      <c r="C347" s="249"/>
      <c r="D347" s="250"/>
      <c r="E347" s="249"/>
      <c r="F347" s="336"/>
      <c r="G347" s="567" t="str">
        <f>IFERROR(VLOOKUP(D347,FAOEP!$D$37:$F$42,2,FALSE),"")</f>
        <v/>
      </c>
      <c r="H347" s="251"/>
      <c r="I347" s="252"/>
      <c r="J347" s="827"/>
      <c r="K347" s="617" t="str">
        <f>IFERROR(IF(VLOOKUP(D99,FAOEP!$D$16:$F$27,3,FALSE)=FAOEP!$F$26,"kgCO2e/"&amp;'Outras emissões de processo'!H99,VLOOKUP(D99,FAOEP!$D$16:$F$27,3,FALSE)),"")</f>
        <v/>
      </c>
      <c r="L347" s="252"/>
      <c r="M347" s="563"/>
      <c r="N347" s="252"/>
      <c r="O347" s="563"/>
      <c r="P347" s="563"/>
      <c r="Q347" s="563"/>
      <c r="R347" s="252"/>
      <c r="S347" s="980" t="str">
        <f>IFERROR(IF(VLOOKUP(D347,'Fatores de Emissão'!$B$222:$C$227,2,FALSE)="",IF(J347="",IF(M347="",(O347+(P347*'Fatores de Emissão'!$E$248+Q347*'Fatores de Emissão'!$E$249)/1000)/1000,M347/1000),J347*F347/1000),VLOOKUP(D347,'Fatores de Emissão'!$B$220:$C$225,2,FALSE)*F347/1000),"")</f>
        <v/>
      </c>
      <c r="T347" s="570" t="str">
        <f t="shared" si="13"/>
        <v/>
      </c>
    </row>
    <row r="348" spans="2:20" ht="15.5" hidden="1" outlineLevel="1" x14ac:dyDescent="0.35">
      <c r="B348" s="269"/>
      <c r="C348" s="249"/>
      <c r="D348" s="250"/>
      <c r="E348" s="249"/>
      <c r="F348" s="336"/>
      <c r="G348" s="567" t="str">
        <f>IFERROR(VLOOKUP(D348,FAOEP!$D$37:$F$42,2,FALSE),"")</f>
        <v/>
      </c>
      <c r="H348" s="251"/>
      <c r="I348" s="252"/>
      <c r="J348" s="827"/>
      <c r="K348" s="617" t="str">
        <f>IFERROR(IF(VLOOKUP(D100,FAOEP!$D$16:$F$27,3,FALSE)=FAOEP!$F$26,"kgCO2e/"&amp;'Outras emissões de processo'!H100,VLOOKUP(D100,FAOEP!$D$16:$F$27,3,FALSE)),"")</f>
        <v/>
      </c>
      <c r="L348" s="252"/>
      <c r="M348" s="563"/>
      <c r="N348" s="252"/>
      <c r="O348" s="563"/>
      <c r="P348" s="563"/>
      <c r="Q348" s="563"/>
      <c r="R348" s="252"/>
      <c r="S348" s="980" t="str">
        <f>IFERROR(IF(VLOOKUP(D348,'Fatores de Emissão'!$B$222:$C$227,2,FALSE)="",IF(J348="",IF(M348="",(O348+(P348*'Fatores de Emissão'!$E$248+Q348*'Fatores de Emissão'!$E$249)/1000)/1000,M348/1000),J348*F348/1000),VLOOKUP(D348,'Fatores de Emissão'!$B$220:$C$225,2,FALSE)*F348/1000),"")</f>
        <v/>
      </c>
      <c r="T348" s="570" t="str">
        <f t="shared" si="13"/>
        <v/>
      </c>
    </row>
    <row r="349" spans="2:20" ht="15.5" hidden="1" outlineLevel="1" x14ac:dyDescent="0.35">
      <c r="B349" s="269"/>
      <c r="C349" s="249"/>
      <c r="D349" s="250"/>
      <c r="E349" s="249"/>
      <c r="F349" s="336"/>
      <c r="G349" s="567" t="str">
        <f>IFERROR(VLOOKUP(D349,FAOEP!$D$37:$F$42,2,FALSE),"")</f>
        <v/>
      </c>
      <c r="H349" s="251"/>
      <c r="I349" s="252"/>
      <c r="J349" s="827"/>
      <c r="K349" s="617" t="str">
        <f>IFERROR(IF(VLOOKUP(D101,FAOEP!$D$16:$F$27,3,FALSE)=FAOEP!$F$26,"kgCO2e/"&amp;'Outras emissões de processo'!H101,VLOOKUP(D101,FAOEP!$D$16:$F$27,3,FALSE)),"")</f>
        <v/>
      </c>
      <c r="L349" s="252"/>
      <c r="M349" s="563"/>
      <c r="N349" s="252"/>
      <c r="O349" s="563"/>
      <c r="P349" s="563"/>
      <c r="Q349" s="563"/>
      <c r="R349" s="252"/>
      <c r="S349" s="980" t="str">
        <f>IFERROR(IF(VLOOKUP(D349,'Fatores de Emissão'!$B$222:$C$227,2,FALSE)="",IF(J349="",IF(M349="",(O349+(P349*'Fatores de Emissão'!$E$248+Q349*'Fatores de Emissão'!$E$249)/1000)/1000,M349/1000),J349*F349/1000),VLOOKUP(D349,'Fatores de Emissão'!$B$220:$C$225,2,FALSE)*F349/1000),"")</f>
        <v/>
      </c>
      <c r="T349" s="570" t="str">
        <f t="shared" si="13"/>
        <v/>
      </c>
    </row>
    <row r="350" spans="2:20" ht="15.5" hidden="1" outlineLevel="1" x14ac:dyDescent="0.35">
      <c r="B350" s="269"/>
      <c r="C350" s="249"/>
      <c r="D350" s="250"/>
      <c r="E350" s="249"/>
      <c r="F350" s="336"/>
      <c r="G350" s="567" t="str">
        <f>IFERROR(VLOOKUP(D350,FAOEP!$D$37:$F$42,2,FALSE),"")</f>
        <v/>
      </c>
      <c r="H350" s="251"/>
      <c r="I350" s="252"/>
      <c r="J350" s="827"/>
      <c r="K350" s="617" t="str">
        <f>IFERROR(IF(VLOOKUP(D102,FAOEP!$D$16:$F$27,3,FALSE)=FAOEP!$F$26,"kgCO2e/"&amp;'Outras emissões de processo'!H102,VLOOKUP(D102,FAOEP!$D$16:$F$27,3,FALSE)),"")</f>
        <v/>
      </c>
      <c r="L350" s="252"/>
      <c r="M350" s="563"/>
      <c r="N350" s="252"/>
      <c r="O350" s="563"/>
      <c r="P350" s="563"/>
      <c r="Q350" s="563"/>
      <c r="R350" s="252"/>
      <c r="S350" s="980" t="str">
        <f>IFERROR(IF(VLOOKUP(D350,'Fatores de Emissão'!$B$222:$C$227,2,FALSE)="",IF(J350="",IF(M350="",(O350+(P350*'Fatores de Emissão'!$E$248+Q350*'Fatores de Emissão'!$E$249)/1000)/1000,M350/1000),J350*F350/1000),VLOOKUP(D350,'Fatores de Emissão'!$B$220:$C$225,2,FALSE)*F350/1000),"")</f>
        <v/>
      </c>
      <c r="T350" s="570" t="str">
        <f t="shared" si="13"/>
        <v/>
      </c>
    </row>
    <row r="351" spans="2:20" ht="15.5" hidden="1" outlineLevel="1" x14ac:dyDescent="0.35">
      <c r="B351" s="269"/>
      <c r="C351" s="249"/>
      <c r="D351" s="250"/>
      <c r="E351" s="249"/>
      <c r="F351" s="336"/>
      <c r="G351" s="567" t="str">
        <f>IFERROR(VLOOKUP(D351,FAOEP!$D$37:$F$42,2,FALSE),"")</f>
        <v/>
      </c>
      <c r="H351" s="251"/>
      <c r="I351" s="252"/>
      <c r="J351" s="827"/>
      <c r="K351" s="617" t="str">
        <f>IFERROR(IF(VLOOKUP(D103,FAOEP!$D$16:$F$27,3,FALSE)=FAOEP!$F$26,"kgCO2e/"&amp;'Outras emissões de processo'!H103,VLOOKUP(D103,FAOEP!$D$16:$F$27,3,FALSE)),"")</f>
        <v/>
      </c>
      <c r="L351" s="252"/>
      <c r="M351" s="563"/>
      <c r="N351" s="252"/>
      <c r="O351" s="563"/>
      <c r="P351" s="563"/>
      <c r="Q351" s="563"/>
      <c r="R351" s="252"/>
      <c r="S351" s="980" t="str">
        <f>IFERROR(IF(VLOOKUP(D351,'Fatores de Emissão'!$B$222:$C$227,2,FALSE)="",IF(J351="",IF(M351="",(O351+(P351*'Fatores de Emissão'!$E$248+Q351*'Fatores de Emissão'!$E$249)/1000)/1000,M351/1000),J351*F351/1000),VLOOKUP(D351,'Fatores de Emissão'!$B$220:$C$225,2,FALSE)*F351/1000),"")</f>
        <v/>
      </c>
      <c r="T351" s="570" t="str">
        <f t="shared" si="13"/>
        <v/>
      </c>
    </row>
    <row r="352" spans="2:20" ht="15.5" hidden="1" outlineLevel="1" x14ac:dyDescent="0.35">
      <c r="B352" s="269"/>
      <c r="C352" s="249"/>
      <c r="D352" s="250"/>
      <c r="E352" s="249"/>
      <c r="F352" s="336"/>
      <c r="G352" s="567" t="str">
        <f>IFERROR(VLOOKUP(D352,FAOEP!$D$37:$F$42,2,FALSE),"")</f>
        <v/>
      </c>
      <c r="H352" s="251"/>
      <c r="I352" s="252"/>
      <c r="J352" s="827"/>
      <c r="K352" s="617" t="str">
        <f>IFERROR(IF(VLOOKUP(D104,FAOEP!$D$16:$F$27,3,FALSE)=FAOEP!$F$26,"kgCO2e/"&amp;'Outras emissões de processo'!H104,VLOOKUP(D104,FAOEP!$D$16:$F$27,3,FALSE)),"")</f>
        <v/>
      </c>
      <c r="L352" s="252"/>
      <c r="M352" s="563"/>
      <c r="N352" s="252"/>
      <c r="O352" s="563"/>
      <c r="P352" s="563"/>
      <c r="Q352" s="563"/>
      <c r="R352" s="252"/>
      <c r="S352" s="980" t="str">
        <f>IFERROR(IF(VLOOKUP(D352,'Fatores de Emissão'!$B$222:$C$227,2,FALSE)="",IF(J352="",IF(M352="",(O352+(P352*'Fatores de Emissão'!$E$248+Q352*'Fatores de Emissão'!$E$249)/1000)/1000,M352/1000),J352*F352/1000),VLOOKUP(D352,'Fatores de Emissão'!$B$220:$C$225,2,FALSE)*F352/1000),"")</f>
        <v/>
      </c>
      <c r="T352" s="570" t="str">
        <f t="shared" si="13"/>
        <v/>
      </c>
    </row>
    <row r="353" spans="2:20" ht="15.5" hidden="1" outlineLevel="1" x14ac:dyDescent="0.35">
      <c r="B353" s="269"/>
      <c r="C353" s="249"/>
      <c r="D353" s="250"/>
      <c r="E353" s="249"/>
      <c r="F353" s="336"/>
      <c r="G353" s="567" t="str">
        <f>IFERROR(VLOOKUP(D353,FAOEP!$D$37:$F$42,2,FALSE),"")</f>
        <v/>
      </c>
      <c r="H353" s="251"/>
      <c r="I353" s="252"/>
      <c r="J353" s="827"/>
      <c r="K353" s="617" t="str">
        <f>IFERROR(IF(VLOOKUP(D105,FAOEP!$D$16:$F$27,3,FALSE)=FAOEP!$F$26,"kgCO2e/"&amp;'Outras emissões de processo'!H105,VLOOKUP(D105,FAOEP!$D$16:$F$27,3,FALSE)),"")</f>
        <v/>
      </c>
      <c r="L353" s="252"/>
      <c r="M353" s="563"/>
      <c r="N353" s="252"/>
      <c r="O353" s="563"/>
      <c r="P353" s="563"/>
      <c r="Q353" s="563"/>
      <c r="R353" s="252"/>
      <c r="S353" s="980" t="str">
        <f>IFERROR(IF(VLOOKUP(D353,'Fatores de Emissão'!$B$222:$C$227,2,FALSE)="",IF(J353="",IF(M353="",(O353+(P353*'Fatores de Emissão'!$E$248+Q353*'Fatores de Emissão'!$E$249)/1000)/1000,M353/1000),J353*F353/1000),VLOOKUP(D353,'Fatores de Emissão'!$B$220:$C$225,2,FALSE)*F353/1000),"")</f>
        <v/>
      </c>
      <c r="T353" s="570" t="str">
        <f t="shared" si="13"/>
        <v/>
      </c>
    </row>
    <row r="354" spans="2:20" ht="15.5" hidden="1" outlineLevel="1" x14ac:dyDescent="0.35">
      <c r="B354" s="269"/>
      <c r="C354" s="249"/>
      <c r="D354" s="250"/>
      <c r="E354" s="249"/>
      <c r="F354" s="336"/>
      <c r="G354" s="567" t="str">
        <f>IFERROR(VLOOKUP(D354,FAOEP!$D$37:$F$42,2,FALSE),"")</f>
        <v/>
      </c>
      <c r="H354" s="251"/>
      <c r="I354" s="252"/>
      <c r="J354" s="827"/>
      <c r="K354" s="617" t="str">
        <f>IFERROR(IF(VLOOKUP(D106,FAOEP!$D$16:$F$27,3,FALSE)=FAOEP!$F$26,"kgCO2e/"&amp;'Outras emissões de processo'!H106,VLOOKUP(D106,FAOEP!$D$16:$F$27,3,FALSE)),"")</f>
        <v/>
      </c>
      <c r="L354" s="252"/>
      <c r="M354" s="563"/>
      <c r="N354" s="252"/>
      <c r="O354" s="563"/>
      <c r="P354" s="563"/>
      <c r="Q354" s="563"/>
      <c r="R354" s="252"/>
      <c r="S354" s="980" t="str">
        <f>IFERROR(IF(VLOOKUP(D354,'Fatores de Emissão'!$B$222:$C$227,2,FALSE)="",IF(J354="",IF(M354="",(O354+(P354*'Fatores de Emissão'!$E$248+Q354*'Fatores de Emissão'!$E$249)/1000)/1000,M354/1000),J354*F354/1000),VLOOKUP(D354,'Fatores de Emissão'!$B$220:$C$225,2,FALSE)*F354/1000),"")</f>
        <v/>
      </c>
      <c r="T354" s="570" t="str">
        <f t="shared" si="13"/>
        <v/>
      </c>
    </row>
    <row r="355" spans="2:20" ht="15.5" hidden="1" outlineLevel="1" x14ac:dyDescent="0.35">
      <c r="B355" s="269"/>
      <c r="C355" s="249"/>
      <c r="D355" s="250"/>
      <c r="E355" s="249"/>
      <c r="F355" s="336"/>
      <c r="G355" s="567" t="str">
        <f>IFERROR(VLOOKUP(D355,FAOEP!$D$37:$F$42,2,FALSE),"")</f>
        <v/>
      </c>
      <c r="H355" s="251"/>
      <c r="I355" s="252"/>
      <c r="J355" s="827"/>
      <c r="K355" s="617" t="str">
        <f>IFERROR(IF(VLOOKUP(D107,FAOEP!$D$16:$F$27,3,FALSE)=FAOEP!$F$26,"kgCO2e/"&amp;'Outras emissões de processo'!H107,VLOOKUP(D107,FAOEP!$D$16:$F$27,3,FALSE)),"")</f>
        <v/>
      </c>
      <c r="L355" s="252"/>
      <c r="M355" s="563"/>
      <c r="N355" s="252"/>
      <c r="O355" s="563"/>
      <c r="P355" s="563"/>
      <c r="Q355" s="563"/>
      <c r="R355" s="252"/>
      <c r="S355" s="980" t="str">
        <f>IFERROR(IF(VLOOKUP(D355,'Fatores de Emissão'!$B$222:$C$227,2,FALSE)="",IF(J355="",IF(M355="",(O355+(P355*'Fatores de Emissão'!$E$248+Q355*'Fatores de Emissão'!$E$249)/1000)/1000,M355/1000),J355*F355/1000),VLOOKUP(D355,'Fatores de Emissão'!$B$220:$C$225,2,FALSE)*F355/1000),"")</f>
        <v/>
      </c>
      <c r="T355" s="570" t="str">
        <f t="shared" ref="T355:T389" si="14">IF(COUNT(J355,M355,O355)&gt;1,"ERRO: PREENCHA APENAS UMA DAS TRÊS OPÇÕES","")</f>
        <v/>
      </c>
    </row>
    <row r="356" spans="2:20" ht="15.5" hidden="1" outlineLevel="1" x14ac:dyDescent="0.35">
      <c r="B356" s="269"/>
      <c r="C356" s="249"/>
      <c r="D356" s="250"/>
      <c r="E356" s="249"/>
      <c r="F356" s="336"/>
      <c r="G356" s="567" t="str">
        <f>IFERROR(VLOOKUP(D356,FAOEP!$D$37:$F$42,2,FALSE),"")</f>
        <v/>
      </c>
      <c r="H356" s="251"/>
      <c r="I356" s="252"/>
      <c r="J356" s="827"/>
      <c r="K356" s="617" t="str">
        <f>IFERROR(IF(VLOOKUP(D108,FAOEP!$D$16:$F$27,3,FALSE)=FAOEP!$F$26,"kgCO2e/"&amp;'Outras emissões de processo'!H108,VLOOKUP(D108,FAOEP!$D$16:$F$27,3,FALSE)),"")</f>
        <v/>
      </c>
      <c r="L356" s="252"/>
      <c r="M356" s="563"/>
      <c r="N356" s="252"/>
      <c r="O356" s="563"/>
      <c r="P356" s="563"/>
      <c r="Q356" s="563"/>
      <c r="R356" s="252"/>
      <c r="S356" s="980" t="str">
        <f>IFERROR(IF(VLOOKUP(D356,'Fatores de Emissão'!$B$222:$C$227,2,FALSE)="",IF(J356="",IF(M356="",(O356+(P356*'Fatores de Emissão'!$E$248+Q356*'Fatores de Emissão'!$E$249)/1000)/1000,M356/1000),J356*F356/1000),VLOOKUP(D356,'Fatores de Emissão'!$B$220:$C$225,2,FALSE)*F356/1000),"")</f>
        <v/>
      </c>
      <c r="T356" s="570" t="str">
        <f t="shared" si="14"/>
        <v/>
      </c>
    </row>
    <row r="357" spans="2:20" ht="15.5" hidden="1" outlineLevel="1" x14ac:dyDescent="0.35">
      <c r="B357" s="269"/>
      <c r="C357" s="249"/>
      <c r="D357" s="250"/>
      <c r="E357" s="249"/>
      <c r="F357" s="336"/>
      <c r="G357" s="567" t="str">
        <f>IFERROR(VLOOKUP(D357,FAOEP!$D$37:$F$42,2,FALSE),"")</f>
        <v/>
      </c>
      <c r="H357" s="251"/>
      <c r="I357" s="252"/>
      <c r="J357" s="827"/>
      <c r="K357" s="617" t="str">
        <f>IFERROR(IF(VLOOKUP(D109,FAOEP!$D$16:$F$27,3,FALSE)=FAOEP!$F$26,"kgCO2e/"&amp;'Outras emissões de processo'!H109,VLOOKUP(D109,FAOEP!$D$16:$F$27,3,FALSE)),"")</f>
        <v/>
      </c>
      <c r="L357" s="252"/>
      <c r="M357" s="563"/>
      <c r="N357" s="252"/>
      <c r="O357" s="563"/>
      <c r="P357" s="563"/>
      <c r="Q357" s="563"/>
      <c r="R357" s="252"/>
      <c r="S357" s="980" t="str">
        <f>IFERROR(IF(VLOOKUP(D357,'Fatores de Emissão'!$B$222:$C$227,2,FALSE)="",IF(J357="",IF(M357="",(O357+(P357*'Fatores de Emissão'!$E$248+Q357*'Fatores de Emissão'!$E$249)/1000)/1000,M357/1000),J357*F357/1000),VLOOKUP(D357,'Fatores de Emissão'!$B$220:$C$225,2,FALSE)*F357/1000),"")</f>
        <v/>
      </c>
      <c r="T357" s="570" t="str">
        <f t="shared" si="14"/>
        <v/>
      </c>
    </row>
    <row r="358" spans="2:20" ht="15.5" hidden="1" outlineLevel="1" x14ac:dyDescent="0.35">
      <c r="B358" s="269"/>
      <c r="C358" s="249"/>
      <c r="D358" s="250"/>
      <c r="E358" s="249"/>
      <c r="F358" s="336"/>
      <c r="G358" s="567" t="str">
        <f>IFERROR(VLOOKUP(D358,FAOEP!$D$37:$F$42,2,FALSE),"")</f>
        <v/>
      </c>
      <c r="H358" s="251"/>
      <c r="I358" s="252"/>
      <c r="J358" s="827"/>
      <c r="K358" s="617" t="str">
        <f>IFERROR(IF(VLOOKUP(D110,FAOEP!$D$16:$F$27,3,FALSE)=FAOEP!$F$26,"kgCO2e/"&amp;'Outras emissões de processo'!H110,VLOOKUP(D110,FAOEP!$D$16:$F$27,3,FALSE)),"")</f>
        <v/>
      </c>
      <c r="L358" s="252"/>
      <c r="M358" s="563"/>
      <c r="N358" s="252"/>
      <c r="O358" s="563"/>
      <c r="P358" s="563"/>
      <c r="Q358" s="563"/>
      <c r="R358" s="252"/>
      <c r="S358" s="980" t="str">
        <f>IFERROR(IF(VLOOKUP(D358,'Fatores de Emissão'!$B$222:$C$227,2,FALSE)="",IF(J358="",IF(M358="",(O358+(P358*'Fatores de Emissão'!$E$248+Q358*'Fatores de Emissão'!$E$249)/1000)/1000,M358/1000),J358*F358/1000),VLOOKUP(D358,'Fatores de Emissão'!$B$220:$C$225,2,FALSE)*F358/1000),"")</f>
        <v/>
      </c>
      <c r="T358" s="570" t="str">
        <f t="shared" si="14"/>
        <v/>
      </c>
    </row>
    <row r="359" spans="2:20" ht="15.5" hidden="1" outlineLevel="1" x14ac:dyDescent="0.35">
      <c r="B359" s="269"/>
      <c r="C359" s="249"/>
      <c r="D359" s="250"/>
      <c r="E359" s="249"/>
      <c r="F359" s="336"/>
      <c r="G359" s="567" t="str">
        <f>IFERROR(VLOOKUP(D359,FAOEP!$D$37:$F$42,2,FALSE),"")</f>
        <v/>
      </c>
      <c r="H359" s="251"/>
      <c r="I359" s="252"/>
      <c r="J359" s="827"/>
      <c r="K359" s="617" t="str">
        <f>IFERROR(IF(VLOOKUP(D111,FAOEP!$D$16:$F$27,3,FALSE)=FAOEP!$F$26,"kgCO2e/"&amp;'Outras emissões de processo'!H111,VLOOKUP(D111,FAOEP!$D$16:$F$27,3,FALSE)),"")</f>
        <v/>
      </c>
      <c r="L359" s="252"/>
      <c r="M359" s="563"/>
      <c r="N359" s="252"/>
      <c r="O359" s="563"/>
      <c r="P359" s="563"/>
      <c r="Q359" s="563"/>
      <c r="R359" s="252"/>
      <c r="S359" s="980" t="str">
        <f>IFERROR(IF(VLOOKUP(D359,'Fatores de Emissão'!$B$222:$C$227,2,FALSE)="",IF(J359="",IF(M359="",(O359+(P359*'Fatores de Emissão'!$E$248+Q359*'Fatores de Emissão'!$E$249)/1000)/1000,M359/1000),J359*F359/1000),VLOOKUP(D359,'Fatores de Emissão'!$B$220:$C$225,2,FALSE)*F359/1000),"")</f>
        <v/>
      </c>
      <c r="T359" s="570" t="str">
        <f t="shared" si="14"/>
        <v/>
      </c>
    </row>
    <row r="360" spans="2:20" ht="15.5" hidden="1" outlineLevel="1" x14ac:dyDescent="0.35">
      <c r="B360" s="269"/>
      <c r="C360" s="249"/>
      <c r="D360" s="250"/>
      <c r="E360" s="249"/>
      <c r="F360" s="336"/>
      <c r="G360" s="567" t="str">
        <f>IFERROR(VLOOKUP(D360,FAOEP!$D$37:$F$42,2,FALSE),"")</f>
        <v/>
      </c>
      <c r="H360" s="251"/>
      <c r="I360" s="252"/>
      <c r="J360" s="827"/>
      <c r="K360" s="617" t="str">
        <f>IFERROR(IF(VLOOKUP(D112,FAOEP!$D$16:$F$27,3,FALSE)=FAOEP!$F$26,"kgCO2e/"&amp;'Outras emissões de processo'!H112,VLOOKUP(D112,FAOEP!$D$16:$F$27,3,FALSE)),"")</f>
        <v/>
      </c>
      <c r="L360" s="252"/>
      <c r="M360" s="563"/>
      <c r="N360" s="252"/>
      <c r="O360" s="563"/>
      <c r="P360" s="563"/>
      <c r="Q360" s="563"/>
      <c r="R360" s="252"/>
      <c r="S360" s="980" t="str">
        <f>IFERROR(IF(VLOOKUP(D360,'Fatores de Emissão'!$B$222:$C$227,2,FALSE)="",IF(J360="",IF(M360="",(O360+(P360*'Fatores de Emissão'!$E$248+Q360*'Fatores de Emissão'!$E$249)/1000)/1000,M360/1000),J360*F360/1000),VLOOKUP(D360,'Fatores de Emissão'!$B$220:$C$225,2,FALSE)*F360/1000),"")</f>
        <v/>
      </c>
      <c r="T360" s="570" t="str">
        <f t="shared" si="14"/>
        <v/>
      </c>
    </row>
    <row r="361" spans="2:20" ht="15.5" hidden="1" outlineLevel="1" x14ac:dyDescent="0.35">
      <c r="B361" s="269"/>
      <c r="C361" s="249"/>
      <c r="D361" s="250"/>
      <c r="E361" s="249"/>
      <c r="F361" s="336"/>
      <c r="G361" s="567" t="str">
        <f>IFERROR(VLOOKUP(D361,FAOEP!$D$37:$F$42,2,FALSE),"")</f>
        <v/>
      </c>
      <c r="H361" s="251"/>
      <c r="I361" s="252"/>
      <c r="J361" s="827"/>
      <c r="K361" s="617" t="str">
        <f>IFERROR(IF(VLOOKUP(D113,FAOEP!$D$16:$F$27,3,FALSE)=FAOEP!$F$26,"kgCO2e/"&amp;'Outras emissões de processo'!H113,VLOOKUP(D113,FAOEP!$D$16:$F$27,3,FALSE)),"")</f>
        <v/>
      </c>
      <c r="L361" s="252"/>
      <c r="M361" s="563"/>
      <c r="N361" s="252"/>
      <c r="O361" s="563"/>
      <c r="P361" s="563"/>
      <c r="Q361" s="563"/>
      <c r="R361" s="252"/>
      <c r="S361" s="980" t="str">
        <f>IFERROR(IF(VLOOKUP(D361,'Fatores de Emissão'!$B$222:$C$227,2,FALSE)="",IF(J361="",IF(M361="",(O361+(P361*'Fatores de Emissão'!$E$248+Q361*'Fatores de Emissão'!$E$249)/1000)/1000,M361/1000),J361*F361/1000),VLOOKUP(D361,'Fatores de Emissão'!$B$220:$C$225,2,FALSE)*F361/1000),"")</f>
        <v/>
      </c>
      <c r="T361" s="570" t="str">
        <f t="shared" si="14"/>
        <v/>
      </c>
    </row>
    <row r="362" spans="2:20" ht="15.5" hidden="1" outlineLevel="1" x14ac:dyDescent="0.35">
      <c r="B362" s="269"/>
      <c r="C362" s="249"/>
      <c r="D362" s="250"/>
      <c r="E362" s="249"/>
      <c r="F362" s="336"/>
      <c r="G362" s="567" t="str">
        <f>IFERROR(VLOOKUP(D362,FAOEP!$D$37:$F$42,2,FALSE),"")</f>
        <v/>
      </c>
      <c r="H362" s="251"/>
      <c r="I362" s="252"/>
      <c r="J362" s="827"/>
      <c r="K362" s="617" t="str">
        <f>IFERROR(IF(VLOOKUP(D114,FAOEP!$D$16:$F$27,3,FALSE)=FAOEP!$F$26,"kgCO2e/"&amp;'Outras emissões de processo'!H114,VLOOKUP(D114,FAOEP!$D$16:$F$27,3,FALSE)),"")</f>
        <v/>
      </c>
      <c r="L362" s="252"/>
      <c r="M362" s="563"/>
      <c r="N362" s="252"/>
      <c r="O362" s="563"/>
      <c r="P362" s="563"/>
      <c r="Q362" s="563"/>
      <c r="R362" s="252"/>
      <c r="S362" s="980" t="str">
        <f>IFERROR(IF(VLOOKUP(D362,'Fatores de Emissão'!$B$222:$C$227,2,FALSE)="",IF(J362="",IF(M362="",(O362+(P362*'Fatores de Emissão'!$E$248+Q362*'Fatores de Emissão'!$E$249)/1000)/1000,M362/1000),J362*F362/1000),VLOOKUP(D362,'Fatores de Emissão'!$B$220:$C$225,2,FALSE)*F362/1000),"")</f>
        <v/>
      </c>
      <c r="T362" s="570" t="str">
        <f t="shared" si="14"/>
        <v/>
      </c>
    </row>
    <row r="363" spans="2:20" ht="15.5" hidden="1" outlineLevel="1" x14ac:dyDescent="0.35">
      <c r="B363" s="269"/>
      <c r="C363" s="249"/>
      <c r="D363" s="250"/>
      <c r="E363" s="249"/>
      <c r="F363" s="336"/>
      <c r="G363" s="567" t="str">
        <f>IFERROR(VLOOKUP(D363,FAOEP!$D$37:$F$42,2,FALSE),"")</f>
        <v/>
      </c>
      <c r="H363" s="251"/>
      <c r="I363" s="252"/>
      <c r="J363" s="827"/>
      <c r="K363" s="617" t="str">
        <f>IFERROR(IF(VLOOKUP(D115,FAOEP!$D$16:$F$27,3,FALSE)=FAOEP!$F$26,"kgCO2e/"&amp;'Outras emissões de processo'!H115,VLOOKUP(D115,FAOEP!$D$16:$F$27,3,FALSE)),"")</f>
        <v/>
      </c>
      <c r="L363" s="252"/>
      <c r="M363" s="563"/>
      <c r="N363" s="252"/>
      <c r="O363" s="563"/>
      <c r="P363" s="563"/>
      <c r="Q363" s="563"/>
      <c r="R363" s="252"/>
      <c r="S363" s="980" t="str">
        <f>IFERROR(IF(VLOOKUP(D363,'Fatores de Emissão'!$B$222:$C$227,2,FALSE)="",IF(J363="",IF(M363="",(O363+(P363*'Fatores de Emissão'!$E$248+Q363*'Fatores de Emissão'!$E$249)/1000)/1000,M363/1000),J363*F363/1000),VLOOKUP(D363,'Fatores de Emissão'!$B$220:$C$225,2,FALSE)*F363/1000),"")</f>
        <v/>
      </c>
      <c r="T363" s="570" t="str">
        <f t="shared" si="14"/>
        <v/>
      </c>
    </row>
    <row r="364" spans="2:20" ht="15.5" hidden="1" outlineLevel="1" x14ac:dyDescent="0.35">
      <c r="B364" s="269"/>
      <c r="C364" s="249"/>
      <c r="D364" s="250"/>
      <c r="E364" s="249"/>
      <c r="F364" s="336"/>
      <c r="G364" s="567" t="str">
        <f>IFERROR(VLOOKUP(D364,FAOEP!$D$37:$F$42,2,FALSE),"")</f>
        <v/>
      </c>
      <c r="H364" s="251"/>
      <c r="I364" s="252"/>
      <c r="J364" s="827"/>
      <c r="K364" s="617" t="str">
        <f>IFERROR(IF(VLOOKUP(D116,FAOEP!$D$16:$F$27,3,FALSE)=FAOEP!$F$26,"kgCO2e/"&amp;'Outras emissões de processo'!H116,VLOOKUP(D116,FAOEP!$D$16:$F$27,3,FALSE)),"")</f>
        <v/>
      </c>
      <c r="L364" s="252"/>
      <c r="M364" s="563"/>
      <c r="N364" s="252"/>
      <c r="O364" s="563"/>
      <c r="P364" s="563"/>
      <c r="Q364" s="563"/>
      <c r="R364" s="252"/>
      <c r="S364" s="980" t="str">
        <f>IFERROR(IF(VLOOKUP(D364,'Fatores de Emissão'!$B$222:$C$227,2,FALSE)="",IF(J364="",IF(M364="",(O364+(P364*'Fatores de Emissão'!$E$248+Q364*'Fatores de Emissão'!$E$249)/1000)/1000,M364/1000),J364*F364/1000),VLOOKUP(D364,'Fatores de Emissão'!$B$220:$C$225,2,FALSE)*F364/1000),"")</f>
        <v/>
      </c>
      <c r="T364" s="570" t="str">
        <f t="shared" si="14"/>
        <v/>
      </c>
    </row>
    <row r="365" spans="2:20" ht="15.5" hidden="1" outlineLevel="1" x14ac:dyDescent="0.35">
      <c r="B365" s="269"/>
      <c r="C365" s="249"/>
      <c r="D365" s="250"/>
      <c r="E365" s="249"/>
      <c r="F365" s="336"/>
      <c r="G365" s="567" t="str">
        <f>IFERROR(VLOOKUP(D365,FAOEP!$D$37:$F$42,2,FALSE),"")</f>
        <v/>
      </c>
      <c r="H365" s="251"/>
      <c r="I365" s="252"/>
      <c r="J365" s="827"/>
      <c r="K365" s="617" t="str">
        <f>IFERROR(IF(VLOOKUP(D117,FAOEP!$D$16:$F$27,3,FALSE)=FAOEP!$F$26,"kgCO2e/"&amp;'Outras emissões de processo'!H117,VLOOKUP(D117,FAOEP!$D$16:$F$27,3,FALSE)),"")</f>
        <v/>
      </c>
      <c r="L365" s="252"/>
      <c r="M365" s="563"/>
      <c r="N365" s="252"/>
      <c r="O365" s="563"/>
      <c r="P365" s="563"/>
      <c r="Q365" s="563"/>
      <c r="R365" s="252"/>
      <c r="S365" s="980" t="str">
        <f>IFERROR(IF(VLOOKUP(D365,'Fatores de Emissão'!$B$222:$C$227,2,FALSE)="",IF(J365="",IF(M365="",(O365+(P365*'Fatores de Emissão'!$E$248+Q365*'Fatores de Emissão'!$E$249)/1000)/1000,M365/1000),J365*F365/1000),VLOOKUP(D365,'Fatores de Emissão'!$B$220:$C$225,2,FALSE)*F365/1000),"")</f>
        <v/>
      </c>
      <c r="T365" s="570" t="str">
        <f t="shared" si="14"/>
        <v/>
      </c>
    </row>
    <row r="366" spans="2:20" ht="15.5" hidden="1" outlineLevel="1" x14ac:dyDescent="0.35">
      <c r="B366" s="269"/>
      <c r="C366" s="249"/>
      <c r="D366" s="250"/>
      <c r="E366" s="249"/>
      <c r="F366" s="336"/>
      <c r="G366" s="567" t="str">
        <f>IFERROR(VLOOKUP(D366,FAOEP!$D$37:$F$42,2,FALSE),"")</f>
        <v/>
      </c>
      <c r="H366" s="251"/>
      <c r="I366" s="252"/>
      <c r="J366" s="827"/>
      <c r="K366" s="617" t="str">
        <f>IFERROR(IF(VLOOKUP(D118,FAOEP!$D$16:$F$27,3,FALSE)=FAOEP!$F$26,"kgCO2e/"&amp;'Outras emissões de processo'!H118,VLOOKUP(D118,FAOEP!$D$16:$F$27,3,FALSE)),"")</f>
        <v/>
      </c>
      <c r="L366" s="252"/>
      <c r="M366" s="563"/>
      <c r="N366" s="252"/>
      <c r="O366" s="563"/>
      <c r="P366" s="563"/>
      <c r="Q366" s="563"/>
      <c r="R366" s="252"/>
      <c r="S366" s="980" t="str">
        <f>IFERROR(IF(VLOOKUP(D366,'Fatores de Emissão'!$B$222:$C$227,2,FALSE)="",IF(J366="",IF(M366="",(O366+(P366*'Fatores de Emissão'!$E$248+Q366*'Fatores de Emissão'!$E$249)/1000)/1000,M366/1000),J366*F366/1000),VLOOKUP(D366,'Fatores de Emissão'!$B$220:$C$225,2,FALSE)*F366/1000),"")</f>
        <v/>
      </c>
      <c r="T366" s="570" t="str">
        <f t="shared" si="14"/>
        <v/>
      </c>
    </row>
    <row r="367" spans="2:20" ht="15.5" hidden="1" outlineLevel="1" x14ac:dyDescent="0.35">
      <c r="B367" s="269"/>
      <c r="C367" s="249"/>
      <c r="D367" s="250"/>
      <c r="E367" s="249"/>
      <c r="F367" s="336"/>
      <c r="G367" s="567" t="str">
        <f>IFERROR(VLOOKUP(D367,FAOEP!$D$37:$F$42,2,FALSE),"")</f>
        <v/>
      </c>
      <c r="H367" s="251"/>
      <c r="I367" s="252"/>
      <c r="J367" s="827"/>
      <c r="K367" s="617" t="str">
        <f>IFERROR(IF(VLOOKUP(D119,FAOEP!$D$16:$F$27,3,FALSE)=FAOEP!$F$26,"kgCO2e/"&amp;'Outras emissões de processo'!H119,VLOOKUP(D119,FAOEP!$D$16:$F$27,3,FALSE)),"")</f>
        <v/>
      </c>
      <c r="L367" s="252"/>
      <c r="M367" s="563"/>
      <c r="N367" s="252"/>
      <c r="O367" s="563"/>
      <c r="P367" s="563"/>
      <c r="Q367" s="563"/>
      <c r="R367" s="252"/>
      <c r="S367" s="980" t="str">
        <f>IFERROR(IF(VLOOKUP(D367,'Fatores de Emissão'!$B$222:$C$227,2,FALSE)="",IF(J367="",IF(M367="",(O367+(P367*'Fatores de Emissão'!$E$248+Q367*'Fatores de Emissão'!$E$249)/1000)/1000,M367/1000),J367*F367/1000),VLOOKUP(D367,'Fatores de Emissão'!$B$220:$C$225,2,FALSE)*F367/1000),"")</f>
        <v/>
      </c>
      <c r="T367" s="570" t="str">
        <f t="shared" si="14"/>
        <v/>
      </c>
    </row>
    <row r="368" spans="2:20" ht="15.5" hidden="1" outlineLevel="1" x14ac:dyDescent="0.35">
      <c r="B368" s="269"/>
      <c r="C368" s="249"/>
      <c r="D368" s="250"/>
      <c r="E368" s="249"/>
      <c r="F368" s="336"/>
      <c r="G368" s="567" t="str">
        <f>IFERROR(VLOOKUP(D368,FAOEP!$D$37:$F$42,2,FALSE),"")</f>
        <v/>
      </c>
      <c r="H368" s="251"/>
      <c r="I368" s="252"/>
      <c r="J368" s="827"/>
      <c r="K368" s="617" t="str">
        <f>IFERROR(IF(VLOOKUP(D120,FAOEP!$D$16:$F$27,3,FALSE)=FAOEP!$F$26,"kgCO2e/"&amp;'Outras emissões de processo'!H120,VLOOKUP(D120,FAOEP!$D$16:$F$27,3,FALSE)),"")</f>
        <v/>
      </c>
      <c r="L368" s="252"/>
      <c r="M368" s="563"/>
      <c r="N368" s="252"/>
      <c r="O368" s="563"/>
      <c r="P368" s="563"/>
      <c r="Q368" s="563"/>
      <c r="R368" s="252"/>
      <c r="S368" s="980" t="str">
        <f>IFERROR(IF(VLOOKUP(D368,'Fatores de Emissão'!$B$222:$C$227,2,FALSE)="",IF(J368="",IF(M368="",(O368+(P368*'Fatores de Emissão'!$E$248+Q368*'Fatores de Emissão'!$E$249)/1000)/1000,M368/1000),J368*F368/1000),VLOOKUP(D368,'Fatores de Emissão'!$B$220:$C$225,2,FALSE)*F368/1000),"")</f>
        <v/>
      </c>
      <c r="T368" s="570" t="str">
        <f t="shared" si="14"/>
        <v/>
      </c>
    </row>
    <row r="369" spans="2:20" ht="15.5" hidden="1" outlineLevel="1" x14ac:dyDescent="0.35">
      <c r="B369" s="269"/>
      <c r="C369" s="249"/>
      <c r="D369" s="250"/>
      <c r="E369" s="249"/>
      <c r="F369" s="336"/>
      <c r="G369" s="567" t="str">
        <f>IFERROR(VLOOKUP(D369,FAOEP!$D$37:$F$42,2,FALSE),"")</f>
        <v/>
      </c>
      <c r="H369" s="251"/>
      <c r="I369" s="252"/>
      <c r="J369" s="827"/>
      <c r="K369" s="617" t="str">
        <f>IFERROR(IF(VLOOKUP(D121,FAOEP!$D$16:$F$27,3,FALSE)=FAOEP!$F$26,"kgCO2e/"&amp;'Outras emissões de processo'!H121,VLOOKUP(D121,FAOEP!$D$16:$F$27,3,FALSE)),"")</f>
        <v/>
      </c>
      <c r="L369" s="252"/>
      <c r="M369" s="563"/>
      <c r="N369" s="252"/>
      <c r="O369" s="563"/>
      <c r="P369" s="563"/>
      <c r="Q369" s="563"/>
      <c r="R369" s="252"/>
      <c r="S369" s="980" t="str">
        <f>IFERROR(IF(VLOOKUP(D369,'Fatores de Emissão'!$B$222:$C$227,2,FALSE)="",IF(J369="",IF(M369="",(O369+(P369*'Fatores de Emissão'!$E$248+Q369*'Fatores de Emissão'!$E$249)/1000)/1000,M369/1000),J369*F369/1000),VLOOKUP(D369,'Fatores de Emissão'!$B$220:$C$225,2,FALSE)*F369/1000),"")</f>
        <v/>
      </c>
      <c r="T369" s="570" t="str">
        <f t="shared" si="14"/>
        <v/>
      </c>
    </row>
    <row r="370" spans="2:20" ht="15.5" hidden="1" outlineLevel="1" x14ac:dyDescent="0.35">
      <c r="B370" s="269"/>
      <c r="C370" s="249"/>
      <c r="D370" s="250"/>
      <c r="E370" s="249"/>
      <c r="F370" s="336"/>
      <c r="G370" s="567" t="str">
        <f>IFERROR(VLOOKUP(D370,FAOEP!$D$37:$F$42,2,FALSE),"")</f>
        <v/>
      </c>
      <c r="H370" s="251"/>
      <c r="I370" s="252"/>
      <c r="J370" s="827"/>
      <c r="K370" s="617" t="str">
        <f>IFERROR(IF(VLOOKUP(D122,FAOEP!$D$16:$F$27,3,FALSE)=FAOEP!$F$26,"kgCO2e/"&amp;'Outras emissões de processo'!H122,VLOOKUP(D122,FAOEP!$D$16:$F$27,3,FALSE)),"")</f>
        <v/>
      </c>
      <c r="L370" s="252"/>
      <c r="M370" s="563"/>
      <c r="N370" s="252"/>
      <c r="O370" s="563"/>
      <c r="P370" s="563"/>
      <c r="Q370" s="563"/>
      <c r="R370" s="252"/>
      <c r="S370" s="980" t="str">
        <f>IFERROR(IF(VLOOKUP(D370,'Fatores de Emissão'!$B$222:$C$227,2,FALSE)="",IF(J370="",IF(M370="",(O370+(P370*'Fatores de Emissão'!$E$248+Q370*'Fatores de Emissão'!$E$249)/1000)/1000,M370/1000),J370*F370/1000),VLOOKUP(D370,'Fatores de Emissão'!$B$220:$C$225,2,FALSE)*F370/1000),"")</f>
        <v/>
      </c>
      <c r="T370" s="570" t="str">
        <f t="shared" si="14"/>
        <v/>
      </c>
    </row>
    <row r="371" spans="2:20" ht="15.5" hidden="1" outlineLevel="1" x14ac:dyDescent="0.35">
      <c r="B371" s="269"/>
      <c r="C371" s="249"/>
      <c r="D371" s="250"/>
      <c r="E371" s="249"/>
      <c r="F371" s="336"/>
      <c r="G371" s="567" t="str">
        <f>IFERROR(VLOOKUP(D371,FAOEP!$D$37:$F$42,2,FALSE),"")</f>
        <v/>
      </c>
      <c r="H371" s="251"/>
      <c r="I371" s="252"/>
      <c r="J371" s="827"/>
      <c r="K371" s="617" t="str">
        <f>IFERROR(IF(VLOOKUP(D123,FAOEP!$D$16:$F$27,3,FALSE)=FAOEP!$F$26,"kgCO2e/"&amp;'Outras emissões de processo'!H123,VLOOKUP(D123,FAOEP!$D$16:$F$27,3,FALSE)),"")</f>
        <v/>
      </c>
      <c r="L371" s="252"/>
      <c r="M371" s="563"/>
      <c r="N371" s="252"/>
      <c r="O371" s="563"/>
      <c r="P371" s="563"/>
      <c r="Q371" s="563"/>
      <c r="R371" s="252"/>
      <c r="S371" s="980" t="str">
        <f>IFERROR(IF(VLOOKUP(D371,'Fatores de Emissão'!$B$222:$C$227,2,FALSE)="",IF(J371="",IF(M371="",(O371+(P371*'Fatores de Emissão'!$E$248+Q371*'Fatores de Emissão'!$E$249)/1000)/1000,M371/1000),J371*F371/1000),VLOOKUP(D371,'Fatores de Emissão'!$B$220:$C$225,2,FALSE)*F371/1000),"")</f>
        <v/>
      </c>
      <c r="T371" s="570" t="str">
        <f t="shared" si="14"/>
        <v/>
      </c>
    </row>
    <row r="372" spans="2:20" ht="15.5" hidden="1" outlineLevel="1" x14ac:dyDescent="0.35">
      <c r="B372" s="269"/>
      <c r="C372" s="249"/>
      <c r="D372" s="250"/>
      <c r="E372" s="249"/>
      <c r="F372" s="336"/>
      <c r="G372" s="567" t="str">
        <f>IFERROR(VLOOKUP(D372,FAOEP!$D$37:$F$42,2,FALSE),"")</f>
        <v/>
      </c>
      <c r="H372" s="251"/>
      <c r="I372" s="252"/>
      <c r="J372" s="827"/>
      <c r="K372" s="617" t="str">
        <f>IFERROR(IF(VLOOKUP(D124,FAOEP!$D$16:$F$27,3,FALSE)=FAOEP!$F$26,"kgCO2e/"&amp;'Outras emissões de processo'!H124,VLOOKUP(D124,FAOEP!$D$16:$F$27,3,FALSE)),"")</f>
        <v/>
      </c>
      <c r="L372" s="252"/>
      <c r="M372" s="563"/>
      <c r="N372" s="252"/>
      <c r="O372" s="563"/>
      <c r="P372" s="563"/>
      <c r="Q372" s="563"/>
      <c r="R372" s="252"/>
      <c r="S372" s="980" t="str">
        <f>IFERROR(IF(VLOOKUP(D372,'Fatores de Emissão'!$B$222:$C$227,2,FALSE)="",IF(J372="",IF(M372="",(O372+(P372*'Fatores de Emissão'!$E$248+Q372*'Fatores de Emissão'!$E$249)/1000)/1000,M372/1000),J372*F372/1000),VLOOKUP(D372,'Fatores de Emissão'!$B$220:$C$225,2,FALSE)*F372/1000),"")</f>
        <v/>
      </c>
      <c r="T372" s="570" t="str">
        <f t="shared" si="14"/>
        <v/>
      </c>
    </row>
    <row r="373" spans="2:20" ht="15.5" hidden="1" outlineLevel="1" x14ac:dyDescent="0.35">
      <c r="B373" s="269"/>
      <c r="C373" s="249"/>
      <c r="D373" s="250"/>
      <c r="E373" s="249"/>
      <c r="F373" s="336"/>
      <c r="G373" s="567" t="str">
        <f>IFERROR(VLOOKUP(D373,FAOEP!$D$37:$F$42,2,FALSE),"")</f>
        <v/>
      </c>
      <c r="H373" s="251"/>
      <c r="I373" s="252"/>
      <c r="J373" s="827"/>
      <c r="K373" s="617" t="str">
        <f>IFERROR(IF(VLOOKUP(D125,FAOEP!$D$16:$F$27,3,FALSE)=FAOEP!$F$26,"kgCO2e/"&amp;'Outras emissões de processo'!H125,VLOOKUP(D125,FAOEP!$D$16:$F$27,3,FALSE)),"")</f>
        <v/>
      </c>
      <c r="L373" s="252"/>
      <c r="M373" s="563"/>
      <c r="N373" s="252"/>
      <c r="O373" s="563"/>
      <c r="P373" s="563"/>
      <c r="Q373" s="563"/>
      <c r="R373" s="252"/>
      <c r="S373" s="980" t="str">
        <f>IFERROR(IF(VLOOKUP(D373,'Fatores de Emissão'!$B$222:$C$227,2,FALSE)="",IF(J373="",IF(M373="",(O373+(P373*'Fatores de Emissão'!$E$248+Q373*'Fatores de Emissão'!$E$249)/1000)/1000,M373/1000),J373*F373/1000),VLOOKUP(D373,'Fatores de Emissão'!$B$220:$C$225,2,FALSE)*F373/1000),"")</f>
        <v/>
      </c>
      <c r="T373" s="570" t="str">
        <f t="shared" si="14"/>
        <v/>
      </c>
    </row>
    <row r="374" spans="2:20" ht="15.5" hidden="1" outlineLevel="1" x14ac:dyDescent="0.35">
      <c r="B374" s="269"/>
      <c r="C374" s="249"/>
      <c r="D374" s="250"/>
      <c r="E374" s="249"/>
      <c r="F374" s="336"/>
      <c r="G374" s="567" t="str">
        <f>IFERROR(VLOOKUP(D374,FAOEP!$D$37:$F$42,2,FALSE),"")</f>
        <v/>
      </c>
      <c r="H374" s="251"/>
      <c r="I374" s="252"/>
      <c r="J374" s="827"/>
      <c r="K374" s="617" t="str">
        <f>IFERROR(IF(VLOOKUP(D126,FAOEP!$D$16:$F$27,3,FALSE)=FAOEP!$F$26,"kgCO2e/"&amp;'Outras emissões de processo'!H126,VLOOKUP(D126,FAOEP!$D$16:$F$27,3,FALSE)),"")</f>
        <v/>
      </c>
      <c r="L374" s="252"/>
      <c r="M374" s="563"/>
      <c r="N374" s="252"/>
      <c r="O374" s="563"/>
      <c r="P374" s="563"/>
      <c r="Q374" s="563"/>
      <c r="R374" s="252"/>
      <c r="S374" s="980" t="str">
        <f>IFERROR(IF(VLOOKUP(D374,'Fatores de Emissão'!$B$222:$C$227,2,FALSE)="",IF(J374="",IF(M374="",(O374+(P374*'Fatores de Emissão'!$E$248+Q374*'Fatores de Emissão'!$E$249)/1000)/1000,M374/1000),J374*F374/1000),VLOOKUP(D374,'Fatores de Emissão'!$B$220:$C$225,2,FALSE)*F374/1000),"")</f>
        <v/>
      </c>
      <c r="T374" s="570" t="str">
        <f t="shared" si="14"/>
        <v/>
      </c>
    </row>
    <row r="375" spans="2:20" ht="15.5" hidden="1" outlineLevel="1" x14ac:dyDescent="0.35">
      <c r="B375" s="269"/>
      <c r="C375" s="249"/>
      <c r="D375" s="250"/>
      <c r="E375" s="249"/>
      <c r="F375" s="336"/>
      <c r="G375" s="567" t="str">
        <f>IFERROR(VLOOKUP(D375,FAOEP!$D$37:$F$42,2,FALSE),"")</f>
        <v/>
      </c>
      <c r="H375" s="251"/>
      <c r="I375" s="252"/>
      <c r="J375" s="827"/>
      <c r="K375" s="617" t="str">
        <f>IFERROR(IF(VLOOKUP(D127,FAOEP!$D$16:$F$27,3,FALSE)=FAOEP!$F$26,"kgCO2e/"&amp;'Outras emissões de processo'!H127,VLOOKUP(D127,FAOEP!$D$16:$F$27,3,FALSE)),"")</f>
        <v/>
      </c>
      <c r="L375" s="252"/>
      <c r="M375" s="563"/>
      <c r="N375" s="252"/>
      <c r="O375" s="563"/>
      <c r="P375" s="563"/>
      <c r="Q375" s="563"/>
      <c r="R375" s="252"/>
      <c r="S375" s="980" t="str">
        <f>IFERROR(IF(VLOOKUP(D375,'Fatores de Emissão'!$B$222:$C$227,2,FALSE)="",IF(J375="",IF(M375="",(O375+(P375*'Fatores de Emissão'!$E$248+Q375*'Fatores de Emissão'!$E$249)/1000)/1000,M375/1000),J375*F375/1000),VLOOKUP(D375,'Fatores de Emissão'!$B$220:$C$225,2,FALSE)*F375/1000),"")</f>
        <v/>
      </c>
      <c r="T375" s="570" t="str">
        <f t="shared" si="14"/>
        <v/>
      </c>
    </row>
    <row r="376" spans="2:20" ht="15.5" hidden="1" outlineLevel="1" x14ac:dyDescent="0.35">
      <c r="B376" s="269"/>
      <c r="C376" s="249"/>
      <c r="D376" s="250"/>
      <c r="E376" s="249"/>
      <c r="F376" s="336"/>
      <c r="G376" s="567" t="str">
        <f>IFERROR(VLOOKUP(D376,FAOEP!$D$37:$F$42,2,FALSE),"")</f>
        <v/>
      </c>
      <c r="H376" s="251"/>
      <c r="I376" s="252"/>
      <c r="J376" s="827"/>
      <c r="K376" s="617" t="str">
        <f>IFERROR(IF(VLOOKUP(D128,FAOEP!$D$16:$F$27,3,FALSE)=FAOEP!$F$26,"kgCO2e/"&amp;'Outras emissões de processo'!H128,VLOOKUP(D128,FAOEP!$D$16:$F$27,3,FALSE)),"")</f>
        <v/>
      </c>
      <c r="L376" s="252"/>
      <c r="M376" s="563"/>
      <c r="N376" s="252"/>
      <c r="O376" s="563"/>
      <c r="P376" s="563"/>
      <c r="Q376" s="563"/>
      <c r="R376" s="252"/>
      <c r="S376" s="980" t="str">
        <f>IFERROR(IF(VLOOKUP(D376,'Fatores de Emissão'!$B$222:$C$227,2,FALSE)="",IF(J376="",IF(M376="",(O376+(P376*'Fatores de Emissão'!$E$248+Q376*'Fatores de Emissão'!$E$249)/1000)/1000,M376/1000),J376*F376/1000),VLOOKUP(D376,'Fatores de Emissão'!$B$220:$C$225,2,FALSE)*F376/1000),"")</f>
        <v/>
      </c>
      <c r="T376" s="570" t="str">
        <f t="shared" si="14"/>
        <v/>
      </c>
    </row>
    <row r="377" spans="2:20" ht="15.5" hidden="1" outlineLevel="1" x14ac:dyDescent="0.35">
      <c r="B377" s="269"/>
      <c r="C377" s="249"/>
      <c r="D377" s="250"/>
      <c r="E377" s="249"/>
      <c r="F377" s="336"/>
      <c r="G377" s="567" t="str">
        <f>IFERROR(VLOOKUP(D377,FAOEP!$D$37:$F$42,2,FALSE),"")</f>
        <v/>
      </c>
      <c r="H377" s="251"/>
      <c r="I377" s="252"/>
      <c r="J377" s="827"/>
      <c r="K377" s="617" t="str">
        <f>IFERROR(IF(VLOOKUP(D129,FAOEP!$D$16:$F$27,3,FALSE)=FAOEP!$F$26,"kgCO2e/"&amp;'Outras emissões de processo'!H129,VLOOKUP(D129,FAOEP!$D$16:$F$27,3,FALSE)),"")</f>
        <v/>
      </c>
      <c r="L377" s="252"/>
      <c r="M377" s="563"/>
      <c r="N377" s="252"/>
      <c r="O377" s="563"/>
      <c r="P377" s="563"/>
      <c r="Q377" s="563"/>
      <c r="R377" s="252"/>
      <c r="S377" s="980" t="str">
        <f>IFERROR(IF(VLOOKUP(D377,'Fatores de Emissão'!$B$222:$C$227,2,FALSE)="",IF(J377="",IF(M377="",(O377+(P377*'Fatores de Emissão'!$E$248+Q377*'Fatores de Emissão'!$E$249)/1000)/1000,M377/1000),J377*F377/1000),VLOOKUP(D377,'Fatores de Emissão'!$B$220:$C$225,2,FALSE)*F377/1000),"")</f>
        <v/>
      </c>
      <c r="T377" s="570" t="str">
        <f t="shared" si="14"/>
        <v/>
      </c>
    </row>
    <row r="378" spans="2:20" ht="15.5" hidden="1" outlineLevel="1" x14ac:dyDescent="0.35">
      <c r="B378" s="269"/>
      <c r="C378" s="249"/>
      <c r="D378" s="250"/>
      <c r="E378" s="249"/>
      <c r="F378" s="336"/>
      <c r="G378" s="567" t="str">
        <f>IFERROR(VLOOKUP(D378,FAOEP!$D$37:$F$42,2,FALSE),"")</f>
        <v/>
      </c>
      <c r="H378" s="251"/>
      <c r="I378" s="252"/>
      <c r="J378" s="827"/>
      <c r="K378" s="617" t="str">
        <f>IFERROR(IF(VLOOKUP(D130,FAOEP!$D$16:$F$27,3,FALSE)=FAOEP!$F$26,"kgCO2e/"&amp;'Outras emissões de processo'!H130,VLOOKUP(D130,FAOEP!$D$16:$F$27,3,FALSE)),"")</f>
        <v/>
      </c>
      <c r="L378" s="252"/>
      <c r="M378" s="563"/>
      <c r="N378" s="252"/>
      <c r="O378" s="563"/>
      <c r="P378" s="563"/>
      <c r="Q378" s="563"/>
      <c r="R378" s="252"/>
      <c r="S378" s="980" t="str">
        <f>IFERROR(IF(VLOOKUP(D378,'Fatores de Emissão'!$B$222:$C$227,2,FALSE)="",IF(J378="",IF(M378="",(O378+(P378*'Fatores de Emissão'!$E$248+Q378*'Fatores de Emissão'!$E$249)/1000)/1000,M378/1000),J378*F378/1000),VLOOKUP(D378,'Fatores de Emissão'!$B$220:$C$225,2,FALSE)*F378/1000),"")</f>
        <v/>
      </c>
      <c r="T378" s="570" t="str">
        <f t="shared" si="14"/>
        <v/>
      </c>
    </row>
    <row r="379" spans="2:20" ht="15.5" hidden="1" outlineLevel="1" x14ac:dyDescent="0.35">
      <c r="B379" s="269"/>
      <c r="C379" s="249"/>
      <c r="D379" s="250"/>
      <c r="E379" s="249"/>
      <c r="F379" s="336"/>
      <c r="G379" s="567" t="str">
        <f>IFERROR(VLOOKUP(D379,FAOEP!$D$37:$F$42,2,FALSE),"")</f>
        <v/>
      </c>
      <c r="H379" s="251"/>
      <c r="I379" s="252"/>
      <c r="J379" s="827"/>
      <c r="K379" s="617" t="str">
        <f>IFERROR(IF(VLOOKUP(D131,FAOEP!$D$16:$F$27,3,FALSE)=FAOEP!$F$26,"kgCO2e/"&amp;'Outras emissões de processo'!H131,VLOOKUP(D131,FAOEP!$D$16:$F$27,3,FALSE)),"")</f>
        <v/>
      </c>
      <c r="L379" s="252"/>
      <c r="M379" s="563"/>
      <c r="N379" s="252"/>
      <c r="O379" s="563"/>
      <c r="P379" s="563"/>
      <c r="Q379" s="563"/>
      <c r="R379" s="252"/>
      <c r="S379" s="980" t="str">
        <f>IFERROR(IF(VLOOKUP(D379,'Fatores de Emissão'!$B$222:$C$227,2,FALSE)="",IF(J379="",IF(M379="",(O379+(P379*'Fatores de Emissão'!$E$248+Q379*'Fatores de Emissão'!$E$249)/1000)/1000,M379/1000),J379*F379/1000),VLOOKUP(D379,'Fatores de Emissão'!$B$220:$C$225,2,FALSE)*F379/1000),"")</f>
        <v/>
      </c>
      <c r="T379" s="570" t="str">
        <f t="shared" si="14"/>
        <v/>
      </c>
    </row>
    <row r="380" spans="2:20" ht="15.5" hidden="1" outlineLevel="1" x14ac:dyDescent="0.35">
      <c r="B380" s="269"/>
      <c r="C380" s="249"/>
      <c r="D380" s="250"/>
      <c r="E380" s="249"/>
      <c r="F380" s="336"/>
      <c r="G380" s="567" t="str">
        <f>IFERROR(VLOOKUP(D380,FAOEP!$D$37:$F$42,2,FALSE),"")</f>
        <v/>
      </c>
      <c r="H380" s="251"/>
      <c r="I380" s="252"/>
      <c r="J380" s="827"/>
      <c r="K380" s="617" t="str">
        <f>IFERROR(IF(VLOOKUP(D132,FAOEP!$D$16:$F$27,3,FALSE)=FAOEP!$F$26,"kgCO2e/"&amp;'Outras emissões de processo'!H132,VLOOKUP(D132,FAOEP!$D$16:$F$27,3,FALSE)),"")</f>
        <v/>
      </c>
      <c r="L380" s="252"/>
      <c r="M380" s="563"/>
      <c r="N380" s="252"/>
      <c r="O380" s="563"/>
      <c r="P380" s="563"/>
      <c r="Q380" s="563"/>
      <c r="R380" s="252"/>
      <c r="S380" s="980" t="str">
        <f>IFERROR(IF(VLOOKUP(D380,'Fatores de Emissão'!$B$222:$C$227,2,FALSE)="",IF(J380="",IF(M380="",(O380+(P380*'Fatores de Emissão'!$E$248+Q380*'Fatores de Emissão'!$E$249)/1000)/1000,M380/1000),J380*F380/1000),VLOOKUP(D380,'Fatores de Emissão'!$B$220:$C$225,2,FALSE)*F380/1000),"")</f>
        <v/>
      </c>
      <c r="T380" s="570" t="str">
        <f t="shared" si="14"/>
        <v/>
      </c>
    </row>
    <row r="381" spans="2:20" ht="15.5" hidden="1" outlineLevel="1" x14ac:dyDescent="0.35">
      <c r="B381" s="269"/>
      <c r="C381" s="249"/>
      <c r="D381" s="250"/>
      <c r="E381" s="249"/>
      <c r="F381" s="336"/>
      <c r="G381" s="567" t="str">
        <f>IFERROR(VLOOKUP(D381,FAOEP!$D$37:$F$42,2,FALSE),"")</f>
        <v/>
      </c>
      <c r="H381" s="251"/>
      <c r="I381" s="252"/>
      <c r="J381" s="827"/>
      <c r="K381" s="617" t="str">
        <f>IFERROR(IF(VLOOKUP(D133,FAOEP!$D$16:$F$27,3,FALSE)=FAOEP!$F$26,"kgCO2e/"&amp;'Outras emissões de processo'!H133,VLOOKUP(D133,FAOEP!$D$16:$F$27,3,FALSE)),"")</f>
        <v/>
      </c>
      <c r="L381" s="252"/>
      <c r="M381" s="563"/>
      <c r="N381" s="252"/>
      <c r="O381" s="563"/>
      <c r="P381" s="563"/>
      <c r="Q381" s="563"/>
      <c r="R381" s="252"/>
      <c r="S381" s="980" t="str">
        <f>IFERROR(IF(VLOOKUP(D381,'Fatores de Emissão'!$B$222:$C$227,2,FALSE)="",IF(J381="",IF(M381="",(O381+(P381*'Fatores de Emissão'!$E$248+Q381*'Fatores de Emissão'!$E$249)/1000)/1000,M381/1000),J381*F381/1000),VLOOKUP(D381,'Fatores de Emissão'!$B$220:$C$225,2,FALSE)*F381/1000),"")</f>
        <v/>
      </c>
      <c r="T381" s="570" t="str">
        <f t="shared" si="14"/>
        <v/>
      </c>
    </row>
    <row r="382" spans="2:20" ht="15.5" hidden="1" outlineLevel="1" x14ac:dyDescent="0.35">
      <c r="B382" s="269"/>
      <c r="C382" s="249"/>
      <c r="D382" s="250"/>
      <c r="E382" s="249"/>
      <c r="F382" s="336"/>
      <c r="G382" s="567" t="str">
        <f>IFERROR(VLOOKUP(D382,FAOEP!$D$37:$F$42,2,FALSE),"")</f>
        <v/>
      </c>
      <c r="H382" s="251"/>
      <c r="I382" s="252"/>
      <c r="J382" s="827"/>
      <c r="K382" s="617" t="str">
        <f>IFERROR(IF(VLOOKUP(D134,FAOEP!$D$16:$F$27,3,FALSE)=FAOEP!$F$26,"kgCO2e/"&amp;'Outras emissões de processo'!H134,VLOOKUP(D134,FAOEP!$D$16:$F$27,3,FALSE)),"")</f>
        <v/>
      </c>
      <c r="L382" s="252"/>
      <c r="M382" s="563"/>
      <c r="N382" s="252"/>
      <c r="O382" s="563"/>
      <c r="P382" s="563"/>
      <c r="Q382" s="563"/>
      <c r="R382" s="252"/>
      <c r="S382" s="980" t="str">
        <f>IFERROR(IF(VLOOKUP(D382,'Fatores de Emissão'!$B$222:$C$227,2,FALSE)="",IF(J382="",IF(M382="",(O382+(P382*'Fatores de Emissão'!$E$248+Q382*'Fatores de Emissão'!$E$249)/1000)/1000,M382/1000),J382*F382/1000),VLOOKUP(D382,'Fatores de Emissão'!$B$220:$C$225,2,FALSE)*F382/1000),"")</f>
        <v/>
      </c>
      <c r="T382" s="570" t="str">
        <f t="shared" si="14"/>
        <v/>
      </c>
    </row>
    <row r="383" spans="2:20" ht="15.5" hidden="1" outlineLevel="1" x14ac:dyDescent="0.35">
      <c r="B383" s="269"/>
      <c r="C383" s="249"/>
      <c r="D383" s="250"/>
      <c r="E383" s="249"/>
      <c r="F383" s="336"/>
      <c r="G383" s="567" t="str">
        <f>IFERROR(VLOOKUP(D383,FAOEP!$D$37:$F$42,2,FALSE),"")</f>
        <v/>
      </c>
      <c r="H383" s="251"/>
      <c r="I383" s="252"/>
      <c r="J383" s="827"/>
      <c r="K383" s="617" t="str">
        <f>IFERROR(IF(VLOOKUP(D135,FAOEP!$D$16:$F$27,3,FALSE)=FAOEP!$F$26,"kgCO2e/"&amp;'Outras emissões de processo'!H135,VLOOKUP(D135,FAOEP!$D$16:$F$27,3,FALSE)),"")</f>
        <v/>
      </c>
      <c r="L383" s="252"/>
      <c r="M383" s="563"/>
      <c r="N383" s="252"/>
      <c r="O383" s="563"/>
      <c r="P383" s="563"/>
      <c r="Q383" s="563"/>
      <c r="R383" s="252"/>
      <c r="S383" s="980" t="str">
        <f>IFERROR(IF(VLOOKUP(D383,'Fatores de Emissão'!$B$222:$C$227,2,FALSE)="",IF(J383="",IF(M383="",(O383+(P383*'Fatores de Emissão'!$E$248+Q383*'Fatores de Emissão'!$E$249)/1000)/1000,M383/1000),J383*F383/1000),VLOOKUP(D383,'Fatores de Emissão'!$B$220:$C$225,2,FALSE)*F383/1000),"")</f>
        <v/>
      </c>
      <c r="T383" s="570" t="str">
        <f t="shared" si="14"/>
        <v/>
      </c>
    </row>
    <row r="384" spans="2:20" ht="15.5" hidden="1" outlineLevel="1" x14ac:dyDescent="0.35">
      <c r="B384" s="269"/>
      <c r="C384" s="249"/>
      <c r="D384" s="250"/>
      <c r="E384" s="249"/>
      <c r="F384" s="336"/>
      <c r="G384" s="567" t="str">
        <f>IFERROR(VLOOKUP(D384,FAOEP!$D$37:$F$42,2,FALSE),"")</f>
        <v/>
      </c>
      <c r="H384" s="251"/>
      <c r="I384" s="252"/>
      <c r="J384" s="827"/>
      <c r="K384" s="617" t="str">
        <f>IFERROR(IF(VLOOKUP(D136,FAOEP!$D$16:$F$27,3,FALSE)=FAOEP!$F$26,"kgCO2e/"&amp;'Outras emissões de processo'!H136,VLOOKUP(D136,FAOEP!$D$16:$F$27,3,FALSE)),"")</f>
        <v/>
      </c>
      <c r="L384" s="252"/>
      <c r="M384" s="563"/>
      <c r="N384" s="252"/>
      <c r="O384" s="563"/>
      <c r="P384" s="563"/>
      <c r="Q384" s="563"/>
      <c r="R384" s="252"/>
      <c r="S384" s="980" t="str">
        <f>IFERROR(IF(VLOOKUP(D384,'Fatores de Emissão'!$B$222:$C$227,2,FALSE)="",IF(J384="",IF(M384="",(O384+(P384*'Fatores de Emissão'!$E$248+Q384*'Fatores de Emissão'!$E$249)/1000)/1000,M384/1000),J384*F384/1000),VLOOKUP(D384,'Fatores de Emissão'!$B$220:$C$225,2,FALSE)*F384/1000),"")</f>
        <v/>
      </c>
      <c r="T384" s="570" t="str">
        <f t="shared" si="14"/>
        <v/>
      </c>
    </row>
    <row r="385" spans="2:20" ht="15.5" hidden="1" outlineLevel="1" x14ac:dyDescent="0.35">
      <c r="B385" s="269"/>
      <c r="C385" s="249"/>
      <c r="D385" s="250"/>
      <c r="E385" s="249"/>
      <c r="F385" s="336"/>
      <c r="G385" s="567" t="str">
        <f>IFERROR(VLOOKUP(D385,FAOEP!$D$37:$F$42,2,FALSE),"")</f>
        <v/>
      </c>
      <c r="H385" s="251"/>
      <c r="I385" s="252"/>
      <c r="J385" s="827"/>
      <c r="K385" s="617" t="str">
        <f>IFERROR(IF(VLOOKUP(D137,FAOEP!$D$16:$F$27,3,FALSE)=FAOEP!$F$26,"kgCO2e/"&amp;'Outras emissões de processo'!H137,VLOOKUP(D137,FAOEP!$D$16:$F$27,3,FALSE)),"")</f>
        <v/>
      </c>
      <c r="L385" s="252"/>
      <c r="M385" s="563"/>
      <c r="N385" s="252"/>
      <c r="O385" s="563"/>
      <c r="P385" s="563"/>
      <c r="Q385" s="563"/>
      <c r="R385" s="252"/>
      <c r="S385" s="980" t="str">
        <f>IFERROR(IF(VLOOKUP(D385,'Fatores de Emissão'!$B$222:$C$227,2,FALSE)="",IF(J385="",IF(M385="",(O385+(P385*'Fatores de Emissão'!$E$248+Q385*'Fatores de Emissão'!$E$249)/1000)/1000,M385/1000),J385*F385/1000),VLOOKUP(D385,'Fatores de Emissão'!$B$220:$C$225,2,FALSE)*F385/1000),"")</f>
        <v/>
      </c>
      <c r="T385" s="570" t="str">
        <f t="shared" si="14"/>
        <v/>
      </c>
    </row>
    <row r="386" spans="2:20" ht="15.5" hidden="1" outlineLevel="1" x14ac:dyDescent="0.35">
      <c r="B386" s="269"/>
      <c r="C386" s="249"/>
      <c r="D386" s="250"/>
      <c r="E386" s="249"/>
      <c r="F386" s="336"/>
      <c r="G386" s="567" t="str">
        <f>IFERROR(VLOOKUP(D386,FAOEP!$D$37:$F$42,2,FALSE),"")</f>
        <v/>
      </c>
      <c r="H386" s="251"/>
      <c r="I386" s="252"/>
      <c r="J386" s="827"/>
      <c r="K386" s="617" t="str">
        <f>IFERROR(IF(VLOOKUP(D138,FAOEP!$D$16:$F$27,3,FALSE)=FAOEP!$F$26,"kgCO2e/"&amp;'Outras emissões de processo'!H138,VLOOKUP(D138,FAOEP!$D$16:$F$27,3,FALSE)),"")</f>
        <v/>
      </c>
      <c r="L386" s="252"/>
      <c r="M386" s="563"/>
      <c r="N386" s="252"/>
      <c r="O386" s="563"/>
      <c r="P386" s="563"/>
      <c r="Q386" s="563"/>
      <c r="R386" s="252"/>
      <c r="S386" s="980" t="str">
        <f>IFERROR(IF(VLOOKUP(D386,'Fatores de Emissão'!$B$222:$C$227,2,FALSE)="",IF(J386="",IF(M386="",(O386+(P386*'Fatores de Emissão'!$E$248+Q386*'Fatores de Emissão'!$E$249)/1000)/1000,M386/1000),J386*F386/1000),VLOOKUP(D386,'Fatores de Emissão'!$B$220:$C$225,2,FALSE)*F386/1000),"")</f>
        <v/>
      </c>
      <c r="T386" s="570" t="str">
        <f t="shared" si="14"/>
        <v/>
      </c>
    </row>
    <row r="387" spans="2:20" ht="15.5" hidden="1" outlineLevel="1" x14ac:dyDescent="0.35">
      <c r="B387" s="269"/>
      <c r="C387" s="249"/>
      <c r="D387" s="250"/>
      <c r="E387" s="249"/>
      <c r="F387" s="336"/>
      <c r="G387" s="567" t="str">
        <f>IFERROR(VLOOKUP(D387,FAOEP!$D$37:$F$42,2,FALSE),"")</f>
        <v/>
      </c>
      <c r="H387" s="251"/>
      <c r="I387" s="252"/>
      <c r="J387" s="827"/>
      <c r="K387" s="617" t="str">
        <f>IFERROR(IF(VLOOKUP(D139,FAOEP!$D$16:$F$27,3,FALSE)=FAOEP!$F$26,"kgCO2e/"&amp;'Outras emissões de processo'!H139,VLOOKUP(D139,FAOEP!$D$16:$F$27,3,FALSE)),"")</f>
        <v/>
      </c>
      <c r="L387" s="252"/>
      <c r="M387" s="563"/>
      <c r="N387" s="252"/>
      <c r="O387" s="563"/>
      <c r="P387" s="563"/>
      <c r="Q387" s="563"/>
      <c r="R387" s="252"/>
      <c r="S387" s="980" t="str">
        <f>IFERROR(IF(VLOOKUP(D387,'Fatores de Emissão'!$B$222:$C$227,2,FALSE)="",IF(J387="",IF(M387="",(O387+(P387*'Fatores de Emissão'!$E$248+Q387*'Fatores de Emissão'!$E$249)/1000)/1000,M387/1000),J387*F387/1000),VLOOKUP(D387,'Fatores de Emissão'!$B$220:$C$225,2,FALSE)*F387/1000),"")</f>
        <v/>
      </c>
      <c r="T387" s="570" t="str">
        <f t="shared" si="14"/>
        <v/>
      </c>
    </row>
    <row r="388" spans="2:20" ht="15.5" hidden="1" outlineLevel="1" x14ac:dyDescent="0.35">
      <c r="B388" s="269"/>
      <c r="C388" s="249"/>
      <c r="D388" s="250"/>
      <c r="E388" s="249"/>
      <c r="F388" s="336"/>
      <c r="G388" s="567" t="str">
        <f>IFERROR(VLOOKUP(D388,FAOEP!$D$37:$F$42,2,FALSE),"")</f>
        <v/>
      </c>
      <c r="H388" s="251"/>
      <c r="I388" s="252"/>
      <c r="J388" s="827"/>
      <c r="K388" s="617" t="str">
        <f>IFERROR(IF(VLOOKUP(D140,FAOEP!$D$16:$F$27,3,FALSE)=FAOEP!$F$26,"kgCO2e/"&amp;'Outras emissões de processo'!H140,VLOOKUP(D140,FAOEP!$D$16:$F$27,3,FALSE)),"")</f>
        <v/>
      </c>
      <c r="L388" s="252"/>
      <c r="M388" s="563"/>
      <c r="N388" s="252"/>
      <c r="O388" s="563"/>
      <c r="P388" s="563"/>
      <c r="Q388" s="563"/>
      <c r="R388" s="252"/>
      <c r="S388" s="980" t="str">
        <f>IFERROR(IF(VLOOKUP(D388,'Fatores de Emissão'!$B$222:$C$227,2,FALSE)="",IF(J388="",IF(M388="",(O388+(P388*'Fatores de Emissão'!$E$248+Q388*'Fatores de Emissão'!$E$249)/1000)/1000,M388/1000),J388*F388/1000),VLOOKUP(D388,'Fatores de Emissão'!$B$220:$C$225,2,FALSE)*F388/1000),"")</f>
        <v/>
      </c>
      <c r="T388" s="570" t="str">
        <f t="shared" si="14"/>
        <v/>
      </c>
    </row>
    <row r="389" spans="2:20" ht="15.5" hidden="1" outlineLevel="1" x14ac:dyDescent="0.35">
      <c r="B389" s="269"/>
      <c r="C389" s="249"/>
      <c r="D389" s="250"/>
      <c r="E389" s="249"/>
      <c r="F389" s="336"/>
      <c r="G389" s="567" t="str">
        <f>IFERROR(VLOOKUP(D389,FAOEP!$D$37:$F$42,2,FALSE),"")</f>
        <v/>
      </c>
      <c r="H389" s="251"/>
      <c r="I389" s="252"/>
      <c r="J389" s="827"/>
      <c r="K389" s="617" t="str">
        <f>IFERROR(IF(VLOOKUP(D141,FAOEP!$D$16:$F$27,3,FALSE)=FAOEP!$F$26,"kgCO2e/"&amp;'Outras emissões de processo'!H141,VLOOKUP(D141,FAOEP!$D$16:$F$27,3,FALSE)),"")</f>
        <v/>
      </c>
      <c r="L389" s="252"/>
      <c r="M389" s="563"/>
      <c r="N389" s="252"/>
      <c r="O389" s="563"/>
      <c r="P389" s="563"/>
      <c r="Q389" s="563"/>
      <c r="R389" s="252"/>
      <c r="S389" s="980" t="str">
        <f>IFERROR(IF(VLOOKUP(D389,'Fatores de Emissão'!$B$222:$C$227,2,FALSE)="",IF(J389="",IF(M389="",(O389+(P389*'Fatores de Emissão'!$E$248+Q389*'Fatores de Emissão'!$E$249)/1000)/1000,M389/1000),J389*F389/1000),VLOOKUP(D389,'Fatores de Emissão'!$B$220:$C$225,2,FALSE)*F389/1000),"")</f>
        <v/>
      </c>
      <c r="T389" s="570" t="str">
        <f t="shared" si="14"/>
        <v/>
      </c>
    </row>
    <row r="390" spans="2:20" ht="24.65" customHeight="1" collapsed="1" x14ac:dyDescent="0.35">
      <c r="B390" s="278" t="s">
        <v>40</v>
      </c>
      <c r="C390" s="279"/>
      <c r="D390" s="279"/>
      <c r="E390" s="279"/>
      <c r="F390" s="823"/>
      <c r="G390" s="279"/>
      <c r="H390" s="279"/>
      <c r="I390" s="279"/>
      <c r="J390" s="828"/>
      <c r="K390" s="279"/>
      <c r="L390" s="279"/>
      <c r="M390" s="981">
        <f>SUM(M290:M389)</f>
        <v>0</v>
      </c>
      <c r="N390" s="297"/>
      <c r="O390" s="981">
        <f>SUM(O290:O389)</f>
        <v>0</v>
      </c>
      <c r="P390" s="981">
        <f t="shared" ref="P390:Q390" si="15">SUM(P290:P389)</f>
        <v>0</v>
      </c>
      <c r="Q390" s="981">
        <f t="shared" si="15"/>
        <v>0</v>
      </c>
      <c r="R390" s="281"/>
      <c r="S390" s="980">
        <f>SUM(S290:S389)</f>
        <v>0</v>
      </c>
    </row>
    <row r="391" spans="2:20" s="171" customFormat="1" ht="24.65" customHeight="1" x14ac:dyDescent="0.35">
      <c r="B391" s="299" t="s">
        <v>1151</v>
      </c>
      <c r="C391" s="298"/>
      <c r="D391" s="298"/>
      <c r="E391" s="298"/>
      <c r="F391" s="298"/>
      <c r="G391" s="298"/>
      <c r="H391" s="298"/>
      <c r="I391" s="298"/>
      <c r="J391" s="298"/>
      <c r="K391" s="298"/>
      <c r="L391" s="298"/>
      <c r="M391" s="298"/>
      <c r="N391" s="298"/>
      <c r="O391" s="298"/>
      <c r="P391" s="298"/>
      <c r="Q391" s="298"/>
      <c r="R391" s="298"/>
    </row>
    <row r="392" spans="2:20" s="171" customFormat="1" ht="24.65" customHeight="1" x14ac:dyDescent="0.35">
      <c r="B392" s="253"/>
      <c r="C392" s="254"/>
      <c r="D392" s="254"/>
      <c r="E392" s="254"/>
      <c r="F392" s="254"/>
      <c r="G392" s="254"/>
      <c r="H392" s="255"/>
      <c r="I392" s="255"/>
      <c r="J392" s="255"/>
    </row>
    <row r="393" spans="2:20" s="296" customFormat="1" ht="30" customHeight="1" x14ac:dyDescent="0.35">
      <c r="B393" s="296" t="s">
        <v>671</v>
      </c>
    </row>
    <row r="394" spans="2:20" ht="15.5" x14ac:dyDescent="0.35"/>
    <row r="395" spans="2:20" ht="15.5" x14ac:dyDescent="0.35"/>
    <row r="396" spans="2:20" ht="17.5" x14ac:dyDescent="0.35">
      <c r="F396" s="1050" t="s">
        <v>1460</v>
      </c>
      <c r="G396" s="1051"/>
      <c r="H396" s="1052"/>
    </row>
    <row r="397" spans="2:20" ht="15.5" x14ac:dyDescent="0.35">
      <c r="F397" s="282" t="str">
        <f>'Dados gerais'!D33</f>
        <v>Construção ou fase preparatória</v>
      </c>
      <c r="G397" s="283" t="str">
        <f>'Dados gerais'!D34</f>
        <v>Exploração</v>
      </c>
      <c r="H397" s="208" t="str">
        <f>'Dados gerais'!D35</f>
        <v>Desativação</v>
      </c>
    </row>
    <row r="398" spans="2:20" ht="15.5" x14ac:dyDescent="0.35">
      <c r="C398" s="1086" t="s">
        <v>1462</v>
      </c>
      <c r="D398" s="1087"/>
      <c r="E398" s="1088"/>
      <c r="F398" s="830">
        <f>IF(F399+F400+F403="","",F399+F400+F403)</f>
        <v>0</v>
      </c>
      <c r="G398" s="830">
        <f t="shared" ref="G398" si="16">IF(G399+G400+G403="","",G399+G400+G403)</f>
        <v>0</v>
      </c>
      <c r="H398" s="830">
        <f>IF(H399+H400+H403="","",H399+H400+H403)</f>
        <v>0</v>
      </c>
    </row>
    <row r="399" spans="2:20" ht="15.5" x14ac:dyDescent="0.35">
      <c r="C399" s="1086" t="s">
        <v>1170</v>
      </c>
      <c r="D399" s="1087"/>
      <c r="E399" s="1088"/>
      <c r="F399" s="807">
        <f>SUMIF($B$42:$B$141,FAOEP!$B$16,'Outras emissões de processo'!$S$42:$S$141)+SUMIF('Outras emissões de processo'!$B$167:$B$266,FAOEP!$B$16,'Outras emissões de processo'!$V$167:$V$266)</f>
        <v>0</v>
      </c>
      <c r="G399" s="807">
        <f>SUMIF($B$42:$B$141,FAOEP!$B$17,'Outras emissões de processo'!$S$42:$S$141)+SUMIF('Outras emissões de processo'!$B$167:$B$266,FAOEP!$B$17,'Outras emissões de processo'!$V$167:$V$266)</f>
        <v>0</v>
      </c>
      <c r="H399" s="807">
        <f>SUMIF($B$42:$B$141,FAOEP!$B$18,'Outras emissões de processo'!$S$42:$S$141)+SUMIF('Outras emissões de processo'!$B$167:$B$266,FAOEP!$B$18,'Outras emissões de processo'!$V$167:$V$266)</f>
        <v>0</v>
      </c>
    </row>
    <row r="400" spans="2:20" ht="15.5" x14ac:dyDescent="0.35">
      <c r="C400" s="198" t="s">
        <v>1167</v>
      </c>
      <c r="D400" s="199"/>
      <c r="E400" s="200"/>
      <c r="F400" s="807">
        <f>SUM(F401:F402)</f>
        <v>0</v>
      </c>
      <c r="G400" s="807">
        <f t="shared" ref="G400:H400" si="17">SUM(G401:G402)</f>
        <v>0</v>
      </c>
      <c r="H400" s="807">
        <f t="shared" si="17"/>
        <v>0</v>
      </c>
    </row>
    <row r="401" spans="3:9" ht="15.5" x14ac:dyDescent="0.35">
      <c r="C401" s="198" t="s">
        <v>1168</v>
      </c>
      <c r="D401" s="199"/>
      <c r="E401" s="200"/>
      <c r="F401" s="808">
        <f>-IF(AND(SUMIF($B$167:$B$266,$F$397,$S$167:$S$266)="",SUMIF($B$167:$B$266,$F$397,$S$167:$S$266)=0),"",SUMIF($B$167:$B$266,$F$397,$S$167:$S$266))</f>
        <v>0</v>
      </c>
      <c r="G401" s="808">
        <f>-SUMIF($B$167:$B$266,$G$397,$S$167:$S$266)</f>
        <v>0</v>
      </c>
      <c r="H401" s="808">
        <f>-SUMIF($B$167:$B$266,$H$397,$S$167:$S$266)</f>
        <v>0</v>
      </c>
    </row>
    <row r="402" spans="3:9" ht="15.5" x14ac:dyDescent="0.35">
      <c r="C402" s="198" t="s">
        <v>1169</v>
      </c>
      <c r="D402" s="199"/>
      <c r="E402" s="200"/>
      <c r="F402" s="808">
        <f>SUMIF($B$167:$B$266,$F$397,$Q$167:$Q$266)</f>
        <v>0</v>
      </c>
      <c r="G402" s="808">
        <f>SUMIF($B$167:$B$266,$G$397,$Q$167:$Q$266)</f>
        <v>0</v>
      </c>
      <c r="H402" s="808">
        <f>SUMIF($B$167:$B$266,$H$397,$Q$167:$Q$266)</f>
        <v>0</v>
      </c>
    </row>
    <row r="403" spans="3:9" ht="15.5" x14ac:dyDescent="0.35">
      <c r="C403" s="1086" t="s">
        <v>1216</v>
      </c>
      <c r="D403" s="1087"/>
      <c r="E403" s="1088"/>
      <c r="F403" s="807">
        <f>SUM(F404:F405)</f>
        <v>0</v>
      </c>
      <c r="G403" s="807">
        <f t="shared" ref="G403" si="18">SUM(G404:G405)</f>
        <v>0</v>
      </c>
      <c r="H403" s="807">
        <f>SUM(H404:H405)</f>
        <v>0</v>
      </c>
    </row>
    <row r="404" spans="3:9" ht="15.5" x14ac:dyDescent="0.35">
      <c r="C404" s="1086" t="s">
        <v>1171</v>
      </c>
      <c r="D404" s="1087"/>
      <c r="E404" s="1088"/>
      <c r="F404" s="808">
        <f>FAOEP!F149</f>
        <v>0</v>
      </c>
      <c r="G404" s="808">
        <f>FAOEP!H149</f>
        <v>0</v>
      </c>
      <c r="H404" s="808">
        <f>+FAOEP!J149</f>
        <v>0</v>
      </c>
    </row>
    <row r="405" spans="3:9" ht="15.5" x14ac:dyDescent="0.35">
      <c r="C405" s="1215" t="s">
        <v>1172</v>
      </c>
      <c r="D405" s="1216"/>
      <c r="E405" s="1217"/>
      <c r="F405" s="808">
        <f>FAOEP!G149</f>
        <v>0</v>
      </c>
      <c r="G405" s="808">
        <f>FAOEP!I149</f>
        <v>0</v>
      </c>
      <c r="H405" s="808">
        <f>+FAOEP!K149</f>
        <v>0</v>
      </c>
    </row>
    <row r="406" spans="3:9" ht="15.5" x14ac:dyDescent="0.35">
      <c r="C406" s="284"/>
      <c r="D406" s="284"/>
      <c r="E406" s="284"/>
      <c r="F406" s="268"/>
      <c r="G406" s="268"/>
      <c r="H406" s="268"/>
    </row>
    <row r="407" spans="3:9" ht="17.5" x14ac:dyDescent="0.35">
      <c r="F407" s="1218" t="s">
        <v>1461</v>
      </c>
      <c r="G407" s="1099"/>
      <c r="H407" s="1219"/>
      <c r="I407" s="285" t="s">
        <v>40</v>
      </c>
    </row>
    <row r="408" spans="3:9" ht="15.5" x14ac:dyDescent="0.35">
      <c r="C408" s="1086" t="str">
        <f t="shared" ref="C408:C415" si="19">C398</f>
        <v>Total de outras emissões de processo</v>
      </c>
      <c r="D408" s="1087"/>
      <c r="E408" s="1088"/>
      <c r="F408" s="830">
        <f>F409+F410+F413</f>
        <v>0</v>
      </c>
      <c r="G408" s="830">
        <f t="shared" ref="G408:H408" si="20">G409+G410+G413</f>
        <v>0</v>
      </c>
      <c r="H408" s="830">
        <f t="shared" si="20"/>
        <v>0</v>
      </c>
      <c r="I408" s="830">
        <f>SUM(F408:H408)</f>
        <v>0</v>
      </c>
    </row>
    <row r="409" spans="3:9" ht="15.5" x14ac:dyDescent="0.35">
      <c r="C409" s="1086" t="str">
        <f t="shared" si="19"/>
        <v xml:space="preserve">       Emissões de GEE de agricultura e pecuária (inclui terrenos inundados)</v>
      </c>
      <c r="D409" s="1087"/>
      <c r="E409" s="1088"/>
      <c r="F409" s="807">
        <f>IF(VLOOKUP(F$397,'Dados gerais'!$D$33:$F$35,3,FALSE)="",VLOOKUP(F$397,'Fatores de Emissão'!$B$12:$E$14,3,FALSE)*F399,VLOOKUP(F$397,'Dados gerais'!$D$33:$F$35,3,FALSE)*F399)</f>
        <v>0</v>
      </c>
      <c r="G409" s="807">
        <f>IF(VLOOKUP(G$397,'Dados gerais'!$D$33:$F$35,3,FALSE)="",VLOOKUP(G$397,'Fatores de Emissão'!$B$12:$E$14,3,FALSE)*G399,VLOOKUP(G$397,'Dados gerais'!$D$33:$F$35,3,FALSE)*G399)</f>
        <v>0</v>
      </c>
      <c r="H409" s="807">
        <f>IF(VLOOKUP(H$397,'Dados gerais'!$D$33:$F$35,3,FALSE)="",VLOOKUP(H$397,'Fatores de Emissão'!$B$12:$E$14,3,FALSE)*H399,VLOOKUP(H$397,'Dados gerais'!$D$33:$F$35,3,FALSE)*H399)</f>
        <v>0</v>
      </c>
      <c r="I409" s="807">
        <f t="shared" ref="I409:I415" si="21">SUM(F409:H409)</f>
        <v>0</v>
      </c>
    </row>
    <row r="410" spans="3:9" ht="15.5" x14ac:dyDescent="0.35">
      <c r="C410" s="198" t="str">
        <f t="shared" si="19"/>
        <v xml:space="preserve">       Emissões de GEE de florestas e outros usos do solo</v>
      </c>
      <c r="D410" s="199"/>
      <c r="E410" s="200"/>
      <c r="F410" s="807">
        <f>SUM(F411:F412)</f>
        <v>0</v>
      </c>
      <c r="G410" s="807">
        <f t="shared" ref="G410:H410" si="22">SUM(G411:G412)</f>
        <v>0</v>
      </c>
      <c r="H410" s="807">
        <f t="shared" si="22"/>
        <v>0</v>
      </c>
      <c r="I410" s="807">
        <f t="shared" si="21"/>
        <v>0</v>
      </c>
    </row>
    <row r="411" spans="3:9" ht="15.5" x14ac:dyDescent="0.35">
      <c r="C411" s="198" t="str">
        <f t="shared" si="19"/>
        <v xml:space="preserve">              Criação ou manutenção de usos do solo</v>
      </c>
      <c r="D411" s="199"/>
      <c r="E411" s="200"/>
      <c r="F411" s="808">
        <f>IF(VLOOKUP(F$397,'Dados gerais'!$D$33:$F$35,3,FALSE)="",VLOOKUP(F$397,'Fatores de Emissão'!$B$12:$E$14,3,FALSE)*F401,VLOOKUP(F$397,'Dados gerais'!$D$33:$F$35,3,FALSE)*F401)</f>
        <v>0</v>
      </c>
      <c r="G411" s="808">
        <f>IF(VLOOKUP(G$397,'Dados gerais'!$D$33:$F$35,3,FALSE)="",VLOOKUP(G$397,'Fatores de Emissão'!$B$12:$E$14,3,FALSE)*G401,VLOOKUP(G$397,'Dados gerais'!$D$33:$F$35,3,FALSE)*G401)</f>
        <v>0</v>
      </c>
      <c r="H411" s="808">
        <f>IF(VLOOKUP(H$397,'Dados gerais'!$D$33:$F$35,3,FALSE)="",VLOOKUP(H$397,'Fatores de Emissão'!$B$12:$E$14,3,FALSE)*H401,VLOOKUP(H$397,'Dados gerais'!$D$33:$F$35,3,FALSE)*H401)</f>
        <v>0</v>
      </c>
      <c r="I411" s="808">
        <f t="shared" si="21"/>
        <v>0</v>
      </c>
    </row>
    <row r="412" spans="3:9" ht="15.5" x14ac:dyDescent="0.35">
      <c r="C412" s="198" t="str">
        <f t="shared" si="19"/>
        <v xml:space="preserve">              Eliminação de usos do solo</v>
      </c>
      <c r="D412" s="199"/>
      <c r="E412" s="200"/>
      <c r="F412" s="808">
        <f>IF(VLOOKUP(F$397,'Dados gerais'!$D$33:$F$35,3,FALSE)="",VLOOKUP(F$397,'Fatores de Emissão'!$B$12:$E$14,3,FALSE)*F402,VLOOKUP(F$397,'Dados gerais'!$D$33:$F$35,3,FALSE)*F402)</f>
        <v>0</v>
      </c>
      <c r="G412" s="808">
        <f>IF(VLOOKUP(G$397,'Dados gerais'!$D$33:$F$35,3,FALSE)="",VLOOKUP(G$397,'Fatores de Emissão'!$B$12:$E$14,3,FALSE)*G402,VLOOKUP(G$397,'Dados gerais'!$D$33:$F$35,3,FALSE)*G402)</f>
        <v>0</v>
      </c>
      <c r="H412" s="808">
        <f>IF(VLOOKUP(H$397,'Dados gerais'!$D$33:$F$35,3,FALSE)="",VLOOKUP(H$397,'Fatores de Emissão'!$B$12:$E$14,3,FALSE)*H402,VLOOKUP(H$397,'Dados gerais'!$D$33:$F$35,3,FALSE)*H402)</f>
        <v>0</v>
      </c>
      <c r="I412" s="808">
        <f t="shared" si="21"/>
        <v>0</v>
      </c>
    </row>
    <row r="413" spans="3:9" ht="15.5" x14ac:dyDescent="0.35">
      <c r="C413" s="1086" t="str">
        <f t="shared" si="19"/>
        <v xml:space="preserve">       Emissões de resíduos e águas residuais</v>
      </c>
      <c r="D413" s="1087"/>
      <c r="E413" s="1088"/>
      <c r="F413" s="807">
        <f>SUM(F414:F415)</f>
        <v>0</v>
      </c>
      <c r="G413" s="807">
        <f t="shared" ref="G413" si="23">SUM(G414:G415)</f>
        <v>0</v>
      </c>
      <c r="H413" s="807">
        <f>SUM(H414:H415)</f>
        <v>0</v>
      </c>
      <c r="I413" s="807">
        <f t="shared" si="21"/>
        <v>0</v>
      </c>
    </row>
    <row r="414" spans="3:9" ht="15.5" x14ac:dyDescent="0.35">
      <c r="C414" s="1086" t="str">
        <f t="shared" si="19"/>
        <v xml:space="preserve">              Emissões diretas</v>
      </c>
      <c r="D414" s="1087"/>
      <c r="E414" s="1088"/>
      <c r="F414" s="808">
        <f>IF(VLOOKUP(F$397,'Dados gerais'!$D$33:$F$35,3,FALSE)="",VLOOKUP(F$397,'Fatores de Emissão'!$B$12:$E$14,3,FALSE)*F404,VLOOKUP(F$397,'Dados gerais'!$D$33:$F$35,3,FALSE)*F404)</f>
        <v>0</v>
      </c>
      <c r="G414" s="808">
        <f>IF(VLOOKUP(G$397,'Dados gerais'!$D$33:$F$35,3,FALSE)="",VLOOKUP(G$397,'Fatores de Emissão'!$B$12:$E$14,3,FALSE)*G404,VLOOKUP(G$397,'Dados gerais'!$D$33:$F$35,3,FALSE)*G404)</f>
        <v>0</v>
      </c>
      <c r="H414" s="808">
        <f>IF(VLOOKUP(H$397,'Dados gerais'!$D$33:$F$35,3,FALSE)="",VLOOKUP(H$397,'Fatores de Emissão'!$B$12:$D$14,3,FALSE)*H404,VLOOKUP(H$397,'Dados gerais'!$D$33:$F$35,3,FALSE)*H404)</f>
        <v>0</v>
      </c>
      <c r="I414" s="808">
        <f t="shared" si="21"/>
        <v>0</v>
      </c>
    </row>
    <row r="415" spans="3:9" ht="15.5" x14ac:dyDescent="0.35">
      <c r="C415" s="1086" t="str">
        <f t="shared" si="19"/>
        <v xml:space="preserve">              Emissões indiretas</v>
      </c>
      <c r="D415" s="1087"/>
      <c r="E415" s="1088"/>
      <c r="F415" s="808">
        <f>IF(VLOOKUP(F$397,'Dados gerais'!$D$33:$F$35,3,FALSE)="",VLOOKUP(F$397,'Fatores de Emissão'!$B$12:$E$14,3,FALSE)*F405,VLOOKUP(F$397,'Dados gerais'!$D$33:$F$35,3,FALSE)*F405)</f>
        <v>0</v>
      </c>
      <c r="G415" s="808">
        <f>IF(VLOOKUP(G$397,'Dados gerais'!$D$33:$F$35,3,FALSE)="",VLOOKUP(G$397,'Fatores de Emissão'!$B$12:$E$14,3,FALSE)*G405,VLOOKUP(G$397,'Dados gerais'!$D$33:$F$35,3,FALSE)*G405)</f>
        <v>0</v>
      </c>
      <c r="H415" s="808">
        <f>IF(VLOOKUP(H$397,'Dados gerais'!$D$33:$F$35,3,FALSE)="",VLOOKUP(H$397,'Fatores de Emissão'!$B$12:$D$14,3,FALSE)*H405,VLOOKUP(H$397,'Dados gerais'!$D$33:$F$35,3,FALSE)*H405)</f>
        <v>0</v>
      </c>
      <c r="I415" s="808">
        <f t="shared" si="21"/>
        <v>0</v>
      </c>
    </row>
    <row r="416" spans="3:9" ht="15.5" x14ac:dyDescent="0.35"/>
    <row r="417" spans="6:6" ht="15.5" x14ac:dyDescent="0.35">
      <c r="F417" s="341"/>
    </row>
    <row r="418" spans="6:6" ht="15.5" x14ac:dyDescent="0.35">
      <c r="F418" s="341"/>
    </row>
    <row r="419" spans="6:6" ht="15.5" x14ac:dyDescent="0.35"/>
    <row r="420" spans="6:6" ht="15.5" x14ac:dyDescent="0.35"/>
    <row r="421" spans="6:6" ht="15.5" x14ac:dyDescent="0.35"/>
    <row r="422" spans="6:6" ht="15.5" x14ac:dyDescent="0.35"/>
    <row r="423" spans="6:6" ht="15.5" x14ac:dyDescent="0.35"/>
    <row r="424" spans="6:6" ht="15.5" x14ac:dyDescent="0.35"/>
    <row r="425" spans="6:6" ht="15.5" x14ac:dyDescent="0.35"/>
    <row r="426" spans="6:6" ht="15.5" x14ac:dyDescent="0.35"/>
    <row r="427" spans="6:6" ht="15.5" x14ac:dyDescent="0.35"/>
    <row r="428" spans="6:6" ht="14.5" customHeight="1" x14ac:dyDescent="0.35"/>
    <row r="429" spans="6:6" ht="14.5" customHeight="1" x14ac:dyDescent="0.35"/>
    <row r="430" spans="6:6" ht="14.5" customHeight="1" x14ac:dyDescent="0.35"/>
    <row r="431" spans="6:6" ht="14.5" customHeight="1" x14ac:dyDescent="0.35"/>
    <row r="432" spans="6:6" ht="14.5" customHeight="1" x14ac:dyDescent="0.35"/>
    <row r="433" ht="14.5" customHeight="1" x14ac:dyDescent="0.35"/>
    <row r="434" ht="14.5" customHeight="1" x14ac:dyDescent="0.35"/>
    <row r="435" ht="14.5" customHeight="1" x14ac:dyDescent="0.35"/>
    <row r="436" ht="14.5" customHeight="1" x14ac:dyDescent="0.35"/>
    <row r="437" ht="14.5" customHeight="1" x14ac:dyDescent="0.35"/>
    <row r="438" ht="14.5" customHeight="1" x14ac:dyDescent="0.35"/>
    <row r="439" ht="14.5" customHeight="1" x14ac:dyDescent="0.35"/>
    <row r="440" ht="14.5" customHeight="1" x14ac:dyDescent="0.35"/>
    <row r="441" ht="14.5" customHeight="1" x14ac:dyDescent="0.35"/>
    <row r="442" ht="14.5" customHeight="1" x14ac:dyDescent="0.35"/>
    <row r="443" ht="14.5" customHeight="1" x14ac:dyDescent="0.35"/>
    <row r="444" ht="14.5" customHeight="1" x14ac:dyDescent="0.35"/>
    <row r="445" ht="14.5" customHeight="1" x14ac:dyDescent="0.35"/>
    <row r="446" ht="14.5" customHeight="1" x14ac:dyDescent="0.35"/>
    <row r="447" ht="14.5" customHeight="1" x14ac:dyDescent="0.35"/>
    <row r="448" ht="14.5" customHeight="1" x14ac:dyDescent="0.35"/>
    <row r="449" ht="14.5" customHeight="1" x14ac:dyDescent="0.35"/>
    <row r="450" ht="14.5" customHeight="1" x14ac:dyDescent="0.35"/>
    <row r="451" ht="14.5" customHeight="1" x14ac:dyDescent="0.35"/>
    <row r="452" ht="14.5" customHeight="1" x14ac:dyDescent="0.35"/>
    <row r="453" ht="14.5" customHeight="1" x14ac:dyDescent="0.35"/>
    <row r="454" ht="14.5" customHeight="1" x14ac:dyDescent="0.35"/>
    <row r="455" ht="14.5" customHeight="1" x14ac:dyDescent="0.35"/>
    <row r="456" ht="14.5" customHeight="1" x14ac:dyDescent="0.35"/>
    <row r="457" ht="14.5" customHeight="1" x14ac:dyDescent="0.35"/>
    <row r="458" ht="14.5" customHeight="1" x14ac:dyDescent="0.35"/>
    <row r="459" ht="14.5" customHeight="1" x14ac:dyDescent="0.35"/>
    <row r="460" ht="14.5" customHeight="1" x14ac:dyDescent="0.35"/>
    <row r="461" ht="14.5" customHeight="1" x14ac:dyDescent="0.35"/>
    <row r="462" ht="14.5" customHeight="1" x14ac:dyDescent="0.35"/>
    <row r="463" ht="14.5" customHeight="1" x14ac:dyDescent="0.35"/>
    <row r="464" ht="14.5" customHeight="1" x14ac:dyDescent="0.35"/>
    <row r="465" ht="14.5" customHeight="1" x14ac:dyDescent="0.35"/>
    <row r="466" ht="14.5" customHeight="1" x14ac:dyDescent="0.35"/>
    <row r="467" ht="14.5" customHeight="1" x14ac:dyDescent="0.35"/>
    <row r="468" ht="14.5" customHeight="1" x14ac:dyDescent="0.35"/>
    <row r="469" ht="14.5" customHeight="1" x14ac:dyDescent="0.35"/>
    <row r="470" ht="14.5" customHeight="1" x14ac:dyDescent="0.35"/>
    <row r="471" ht="14.5" customHeight="1" x14ac:dyDescent="0.35"/>
    <row r="472" ht="14.5" customHeight="1" x14ac:dyDescent="0.35"/>
    <row r="473" ht="14.5" customHeight="1" x14ac:dyDescent="0.35"/>
    <row r="474" ht="14.5" customHeight="1" x14ac:dyDescent="0.35"/>
    <row r="475" ht="14.5" customHeight="1" x14ac:dyDescent="0.35"/>
    <row r="476" ht="14.5" customHeight="1" x14ac:dyDescent="0.35"/>
    <row r="477" ht="14.5" customHeight="1" x14ac:dyDescent="0.35"/>
    <row r="478" ht="14.5" customHeight="1" x14ac:dyDescent="0.35"/>
    <row r="479" ht="14.5" customHeight="1" x14ac:dyDescent="0.35"/>
    <row r="480" ht="14.5" customHeight="1" x14ac:dyDescent="0.35"/>
    <row r="481" ht="14.5" customHeight="1" x14ac:dyDescent="0.35"/>
    <row r="482" ht="14.5" customHeight="1" x14ac:dyDescent="0.35"/>
    <row r="483" ht="14.5" customHeight="1" x14ac:dyDescent="0.35"/>
    <row r="484" ht="14.5" customHeight="1" x14ac:dyDescent="0.35"/>
    <row r="485" ht="14.5" customHeight="1" x14ac:dyDescent="0.35"/>
    <row r="486" ht="14.5" customHeight="1" x14ac:dyDescent="0.35"/>
    <row r="487" ht="14.5" customHeight="1" x14ac:dyDescent="0.35"/>
    <row r="488" ht="14.5" customHeight="1" x14ac:dyDescent="0.35"/>
    <row r="489" ht="14.5" customHeight="1" x14ac:dyDescent="0.35"/>
    <row r="490" ht="14.5" customHeight="1" x14ac:dyDescent="0.35"/>
    <row r="491" ht="14.5" customHeight="1" x14ac:dyDescent="0.35"/>
    <row r="492" ht="14.5" customHeight="1" x14ac:dyDescent="0.35"/>
    <row r="493" ht="14.5" customHeight="1" x14ac:dyDescent="0.35"/>
    <row r="494" ht="14.5" customHeight="1" x14ac:dyDescent="0.35"/>
    <row r="495" ht="14.5" customHeight="1" x14ac:dyDescent="0.35"/>
    <row r="496" ht="14.5" customHeight="1" x14ac:dyDescent="0.35"/>
    <row r="497" ht="14.5" customHeight="1" x14ac:dyDescent="0.35"/>
    <row r="498" ht="14.5" customHeight="1" x14ac:dyDescent="0.35"/>
    <row r="499" ht="14.5" customHeight="1" x14ac:dyDescent="0.35"/>
    <row r="500" ht="14.5" customHeight="1" x14ac:dyDescent="0.35"/>
    <row r="501" ht="14.5" customHeight="1" x14ac:dyDescent="0.35"/>
    <row r="502" ht="14.5" customHeight="1" x14ac:dyDescent="0.35"/>
    <row r="503" ht="14.5" customHeight="1" x14ac:dyDescent="0.35"/>
    <row r="504" ht="14.5" customHeight="1" x14ac:dyDescent="0.35"/>
    <row r="505" ht="14.5" customHeight="1" x14ac:dyDescent="0.35"/>
    <row r="506" ht="14.5" customHeight="1" x14ac:dyDescent="0.35"/>
    <row r="507" ht="14.5" customHeight="1" x14ac:dyDescent="0.35"/>
    <row r="508" ht="14.5" customHeight="1" x14ac:dyDescent="0.35"/>
    <row r="509" ht="14.5" customHeight="1" x14ac:dyDescent="0.35"/>
    <row r="510" ht="14.5" customHeight="1" x14ac:dyDescent="0.35"/>
    <row r="511" ht="14.5" customHeight="1" x14ac:dyDescent="0.35"/>
    <row r="512" ht="14.5" customHeight="1" x14ac:dyDescent="0.35"/>
    <row r="513" ht="14.5" customHeight="1" x14ac:dyDescent="0.35"/>
    <row r="514" ht="14.5" customHeight="1" x14ac:dyDescent="0.35"/>
    <row r="515" ht="14.5" customHeight="1" x14ac:dyDescent="0.35"/>
  </sheetData>
  <sheetProtection sheet="1" formatRows="0" selectLockedCells="1"/>
  <protectedRanges>
    <protectedRange sqref="H290:R389 B290:F389" name="OEP2"/>
    <protectedRange sqref="B42:F141 AC167:AJ266 B167:E266 Z167:AA266 L167:M266 G167:J266 L42:R141 H42:J141" name="OEP1"/>
  </protectedRanges>
  <dataConsolidate/>
  <mergeCells count="83">
    <mergeCell ref="B282:P282"/>
    <mergeCell ref="B15:K15"/>
    <mergeCell ref="B157:M157"/>
    <mergeCell ref="B155:M155"/>
    <mergeCell ref="K164:K165"/>
    <mergeCell ref="H163:J163"/>
    <mergeCell ref="E163:F163"/>
    <mergeCell ref="F164:F165"/>
    <mergeCell ref="G164:G165"/>
    <mergeCell ref="E164:E165"/>
    <mergeCell ref="F39:L39"/>
    <mergeCell ref="B16:J16"/>
    <mergeCell ref="L163:M163"/>
    <mergeCell ref="N163:Q163"/>
    <mergeCell ref="N164:N165"/>
    <mergeCell ref="O164:O165"/>
    <mergeCell ref="D8:H8"/>
    <mergeCell ref="B32:P32"/>
    <mergeCell ref="B12:K12"/>
    <mergeCell ref="B13:K13"/>
    <mergeCell ref="B17:K17"/>
    <mergeCell ref="B18:K18"/>
    <mergeCell ref="B19:K19"/>
    <mergeCell ref="B20:K20"/>
    <mergeCell ref="B31:K31"/>
    <mergeCell ref="B11:J11"/>
    <mergeCell ref="B14:J14"/>
    <mergeCell ref="B33:P33"/>
    <mergeCell ref="U163:W163"/>
    <mergeCell ref="U164:U165"/>
    <mergeCell ref="V164:V165"/>
    <mergeCell ref="W164:W165"/>
    <mergeCell ref="T164:T165"/>
    <mergeCell ref="R163:T163"/>
    <mergeCell ref="R164:R165"/>
    <mergeCell ref="P164:P165"/>
    <mergeCell ref="C403:E403"/>
    <mergeCell ref="S38:S40"/>
    <mergeCell ref="B281:P281"/>
    <mergeCell ref="B286:B288"/>
    <mergeCell ref="C286:C288"/>
    <mergeCell ref="D286:D288"/>
    <mergeCell ref="E286:E288"/>
    <mergeCell ref="S286:S288"/>
    <mergeCell ref="M287:N287"/>
    <mergeCell ref="M39:N39"/>
    <mergeCell ref="O39:R39"/>
    <mergeCell ref="B154:K154"/>
    <mergeCell ref="B158:P158"/>
    <mergeCell ref="S164:S165"/>
    <mergeCell ref="I164:I165"/>
    <mergeCell ref="J164:J165"/>
    <mergeCell ref="C414:E414"/>
    <mergeCell ref="C415:E415"/>
    <mergeCell ref="C404:E404"/>
    <mergeCell ref="C405:E405"/>
    <mergeCell ref="F407:H407"/>
    <mergeCell ref="C408:E408"/>
    <mergeCell ref="C409:E409"/>
    <mergeCell ref="C413:E413"/>
    <mergeCell ref="C399:E399"/>
    <mergeCell ref="F396:H396"/>
    <mergeCell ref="C398:E398"/>
    <mergeCell ref="B38:B40"/>
    <mergeCell ref="C38:C40"/>
    <mergeCell ref="D38:D40"/>
    <mergeCell ref="E38:E40"/>
    <mergeCell ref="B163:B165"/>
    <mergeCell ref="C163:C165"/>
    <mergeCell ref="B156:L156"/>
    <mergeCell ref="L164:L165"/>
    <mergeCell ref="F38:R38"/>
    <mergeCell ref="M164:M165"/>
    <mergeCell ref="D163:D165"/>
    <mergeCell ref="H164:H165"/>
    <mergeCell ref="J287:L287"/>
    <mergeCell ref="J286:R286"/>
    <mergeCell ref="F286:I286"/>
    <mergeCell ref="F287:F288"/>
    <mergeCell ref="G287:G288"/>
    <mergeCell ref="H287:H288"/>
    <mergeCell ref="I287:I288"/>
    <mergeCell ref="O287:R287"/>
  </mergeCells>
  <conditionalFormatting sqref="E42:E141">
    <cfRule type="expression" dxfId="49" priority="92">
      <formula>D42=""</formula>
    </cfRule>
  </conditionalFormatting>
  <conditionalFormatting sqref="F42:F141">
    <cfRule type="expression" dxfId="47" priority="80">
      <formula>AND($M42="", $O42="", $P42="",$Q42="")</formula>
    </cfRule>
  </conditionalFormatting>
  <conditionalFormatting sqref="F290:F389">
    <cfRule type="expression" dxfId="45" priority="55">
      <formula>AND($M290="", $O290="", $P290="",$Q290="")</formula>
    </cfRule>
  </conditionalFormatting>
  <conditionalFormatting sqref="G42:G141">
    <cfRule type="expression" dxfId="44" priority="77">
      <formula>$M42&gt;0</formula>
    </cfRule>
  </conditionalFormatting>
  <conditionalFormatting sqref="G290:G389">
    <cfRule type="expression" dxfId="42" priority="53">
      <formula>$M290&gt;0</formula>
    </cfRule>
  </conditionalFormatting>
  <conditionalFormatting sqref="I42:I141">
    <cfRule type="expression" dxfId="38" priority="83">
      <formula>$F42=""</formula>
    </cfRule>
  </conditionalFormatting>
  <conditionalFormatting sqref="I290:I389">
    <cfRule type="expression" dxfId="37" priority="48">
      <formula>OR(F290&gt;0, F290&lt;0)</formula>
    </cfRule>
  </conditionalFormatting>
  <conditionalFormatting sqref="J42:J141">
    <cfRule type="expression" dxfId="36" priority="68">
      <formula>AND($M42="", $O42="", $P42="",$Q42="")</formula>
    </cfRule>
  </conditionalFormatting>
  <conditionalFormatting sqref="J290:J389">
    <cfRule type="expression" dxfId="34" priority="47" stopIfTrue="1">
      <formula>OR($M290&gt;0,$O290&gt;0,$P290&gt;0,$Q290&gt;0)</formula>
    </cfRule>
  </conditionalFormatting>
  <conditionalFormatting sqref="K42:K141">
    <cfRule type="expression" dxfId="33" priority="64">
      <formula>$M42&gt;0</formula>
    </cfRule>
  </conditionalFormatting>
  <conditionalFormatting sqref="L42:L141">
    <cfRule type="expression" dxfId="30" priority="71">
      <formula>OR(J42&gt;0, J42&lt;0)</formula>
    </cfRule>
  </conditionalFormatting>
  <conditionalFormatting sqref="L290:L389">
    <cfRule type="expression" dxfId="29" priority="49">
      <formula>OR(J290&gt;0, J290&lt;0)</formula>
    </cfRule>
  </conditionalFormatting>
  <conditionalFormatting sqref="M42:M141">
    <cfRule type="expression" dxfId="27" priority="164">
      <formula>AND($J42="", $O42="", $P42="",$Q42="")</formula>
    </cfRule>
  </conditionalFormatting>
  <conditionalFormatting sqref="M290:M389">
    <cfRule type="expression" dxfId="26" priority="159">
      <formula>OR($J290&gt;0, $O290&gt;0, $P290&gt;0,$Q290&gt;0)</formula>
    </cfRule>
  </conditionalFormatting>
  <conditionalFormatting sqref="N42:N141">
    <cfRule type="expression" dxfId="25" priority="72">
      <formula>OR(M42&gt;0, M42&lt;0)</formula>
    </cfRule>
  </conditionalFormatting>
  <conditionalFormatting sqref="N290:N389">
    <cfRule type="expression" dxfId="24" priority="50">
      <formula>OR(M290&gt;0, M290&lt;0)</formula>
    </cfRule>
  </conditionalFormatting>
  <conditionalFormatting sqref="O42:Q141">
    <cfRule type="expression" dxfId="22" priority="165">
      <formula>AND($J42="", $M42="")</formula>
    </cfRule>
  </conditionalFormatting>
  <conditionalFormatting sqref="O290:Q389">
    <cfRule type="expression" dxfId="21" priority="160">
      <formula>OR($J290&gt;0, $M290&gt;0)</formula>
    </cfRule>
  </conditionalFormatting>
  <conditionalFormatting sqref="R42:R141">
    <cfRule type="expression" dxfId="19" priority="75">
      <formula>OR(O42&gt;0, O42&lt;0, P42&gt;0, Q42&gt;0, P42&lt;0, Q42&lt;0)</formula>
    </cfRule>
  </conditionalFormatting>
  <conditionalFormatting sqref="R290:R389">
    <cfRule type="expression" dxfId="18" priority="52">
      <formula>OR(O290&gt;0, O290&lt;0, P290&gt;0, Q290&gt;0, P290&lt;0, Q290&lt;0)</formula>
    </cfRule>
  </conditionalFormatting>
  <conditionalFormatting sqref="T42:T141 T290:T389">
    <cfRule type="expression" dxfId="16" priority="158">
      <formula>COUNT(F42,M42, IF(COUNT(O42:Q42)&gt;0,1,""))&gt;1</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87" id="{B7707F5E-38AB-480C-9422-0AC5E144458A}">
            <xm:f>Triagem!$C$32=""</xm:f>
            <x14:dxf>
              <font>
                <b/>
                <i val="0"/>
                <u val="double"/>
                <color rgb="FFFF0000"/>
              </font>
              <fill>
                <patternFill>
                  <bgColor theme="7" tint="0.79998168889431442"/>
                </patternFill>
              </fill>
            </x14:dxf>
          </x14:cfRule>
          <x14:cfRule type="expression" priority="88" id="{9630146E-B763-4DE4-A23D-EEB1C20F944B}">
            <xm:f>Triagem!$C$32="Sim"</xm:f>
            <x14:dxf/>
          </x14:cfRule>
          <x14:cfRule type="expression" priority="89" id="{ACF73FCC-32EB-4656-AF5E-4AB94B264ABD}">
            <xm:f>Triagem!$C$32="Não"</xm:f>
            <x14:dxf>
              <font>
                <color theme="2" tint="-0.24994659260841701"/>
              </font>
            </x14:dxf>
          </x14:cfRule>
          <xm:sqref>D8:H8</xm:sqref>
        </x14:conditionalFormatting>
        <x14:conditionalFormatting xmlns:xm="http://schemas.microsoft.com/office/excel/2006/main">
          <x14:cfRule type="expression" priority="18" id="{5C462C7E-5B7E-4037-8C9F-1F3608915F76}">
            <xm:f>OR($D167=FAAS!$B$14, $D167=FAAS!$B$15)</xm:f>
            <x14:dxf>
              <fill>
                <patternFill patternType="darkUp">
                  <bgColor theme="0"/>
                </patternFill>
              </fill>
            </x14:dxf>
          </x14:cfRule>
          <xm:sqref>E167:E266</xm:sqref>
        </x14:conditionalFormatting>
        <x14:conditionalFormatting xmlns:xm="http://schemas.microsoft.com/office/excel/2006/main">
          <x14:cfRule type="expression" priority="145" id="{CAC2BCF9-5B97-43D2-A2BD-0717350EEAC9}">
            <xm:f>OR(D167=FAAS!$B$14,D167=FAAS!$B$15)</xm:f>
            <x14:dxf>
              <fill>
                <patternFill patternType="darkUp">
                  <bgColor theme="0"/>
                </patternFill>
              </fill>
            </x14:dxf>
          </x14:cfRule>
          <xm:sqref>F167:F266</xm:sqref>
        </x14:conditionalFormatting>
        <x14:conditionalFormatting xmlns:xm="http://schemas.microsoft.com/office/excel/2006/main">
          <x14:cfRule type="expression" priority="19" id="{364EB96C-1779-462C-AE6B-153AF08F016D}">
            <xm:f>OR($D167=FAAS!$B$13, $D167=FAAS!$B$15)</xm:f>
            <x14:dxf>
              <fill>
                <patternFill patternType="darkUp">
                  <bgColor theme="0"/>
                </patternFill>
              </fill>
            </x14:dxf>
          </x14:cfRule>
          <xm:sqref>G167:G266</xm:sqref>
        </x14:conditionalFormatting>
        <x14:conditionalFormatting xmlns:xm="http://schemas.microsoft.com/office/excel/2006/main">
          <x14:cfRule type="expression" priority="5" id="{A5975534-8E71-471F-8694-2DA64DE1C871}">
            <xm:f>$D42=FAOEP!$D$26</xm:f>
            <x14:dxf>
              <fill>
                <patternFill>
                  <bgColor theme="8" tint="0.59996337778862885"/>
                </patternFill>
              </fill>
            </x14:dxf>
          </x14:cfRule>
          <xm:sqref>H42:H141</xm:sqref>
        </x14:conditionalFormatting>
        <x14:conditionalFormatting xmlns:xm="http://schemas.microsoft.com/office/excel/2006/main">
          <x14:cfRule type="expression" priority="4" id="{B5B11C3E-978E-45BD-96AA-6844642F1E54}">
            <xm:f>$D290=FAOEP!$D$42</xm:f>
            <x14:dxf>
              <fill>
                <patternFill>
                  <bgColor theme="8" tint="0.59996337778862885"/>
                </patternFill>
              </fill>
            </x14:dxf>
          </x14:cfRule>
          <xm:sqref>H290:H389</xm:sqref>
        </x14:conditionalFormatting>
        <x14:conditionalFormatting xmlns:xm="http://schemas.microsoft.com/office/excel/2006/main">
          <x14:cfRule type="expression" priority="130" id="{6C756645-82CF-4DD7-99B4-A81B058A927C}">
            <xm:f>OR($G167=FAAS!$K$135,$E167=FAAS!$B$81)</xm:f>
            <x14:dxf>
              <font>
                <color auto="1"/>
              </font>
              <fill>
                <patternFill patternType="solid">
                  <bgColor theme="8" tint="0.59996337778862885"/>
                </patternFill>
              </fill>
            </x14:dxf>
          </x14:cfRule>
          <xm:sqref>H167:J266</xm:sqref>
        </x14:conditionalFormatting>
        <x14:conditionalFormatting xmlns:xm="http://schemas.microsoft.com/office/excel/2006/main">
          <x14:cfRule type="expression" priority="3" id="{D591D7D4-506F-44E2-9066-F87AD41CA2C9}">
            <xm:f>VLOOKUP($D290,'Fatores de Emissão'!$B$222:$C$227,2,FALSE)&gt;0</xm:f>
            <x14:dxf>
              <fill>
                <patternFill patternType="none">
                  <bgColor auto="1"/>
                </patternFill>
              </fill>
            </x14:dxf>
          </x14:cfRule>
          <xm:sqref>J290:J389 M290:M389 O290:Q389</xm:sqref>
        </x14:conditionalFormatting>
        <x14:conditionalFormatting xmlns:xm="http://schemas.microsoft.com/office/excel/2006/main">
          <x14:cfRule type="expression" priority="133" id="{D7A63F05-9AF7-49B4-A749-89B397AF3C09}">
            <xm:f>OR(D167=FAAS!$B$13,D167=FAAS!$B$15)</xm:f>
            <x14:dxf>
              <fill>
                <patternFill patternType="darkUp">
                  <bgColor theme="0"/>
                </patternFill>
              </fill>
            </x14:dxf>
          </x14:cfRule>
          <xm:sqref>K167:K262</xm:sqref>
        </x14:conditionalFormatting>
        <x14:conditionalFormatting xmlns:xm="http://schemas.microsoft.com/office/excel/2006/main">
          <x14:cfRule type="expression" priority="144" id="{D7A63F05-9AF7-49B4-A749-89B397AF3C09}">
            <xm:f>OR(D263=FAOEP!$D$28,IF163=FAOEP!$D$25)</xm:f>
            <x14:dxf>
              <fill>
                <patternFill patternType="darkUp">
                  <bgColor theme="0"/>
                </patternFill>
              </fill>
            </x14:dxf>
          </x14:cfRule>
          <xm:sqref>K263:K266</xm:sqref>
        </x14:conditionalFormatting>
        <x14:conditionalFormatting xmlns:xm="http://schemas.microsoft.com/office/excel/2006/main">
          <x14:cfRule type="expression" priority="16" id="{558319BE-294C-43DB-9DD3-1C51E373BF28}">
            <xm:f>OR($D167=FAAS!$B$13,$D167=FAAS!$B$14)</xm:f>
            <x14:dxf>
              <fill>
                <patternFill patternType="darkUp">
                  <bgColor theme="0"/>
                </patternFill>
              </fill>
            </x14:dxf>
          </x14:cfRule>
          <xm:sqref>L167:M266</xm:sqref>
        </x14:conditionalFormatting>
        <x14:conditionalFormatting xmlns:xm="http://schemas.microsoft.com/office/excel/2006/main">
          <x14:cfRule type="expression" priority="8" id="{BBE0E7C0-D488-4207-9E1B-EDBA1F228B7A}">
            <xm:f>OR($D167=FAAS!$B$14,$D167=FAAS!$B$15)</xm:f>
            <x14:dxf>
              <fill>
                <patternFill patternType="darkUp"/>
              </fill>
            </x14:dxf>
          </x14:cfRule>
          <xm:sqref>N167:O266</xm:sqref>
        </x14:conditionalFormatting>
        <x14:conditionalFormatting xmlns:xm="http://schemas.microsoft.com/office/excel/2006/main">
          <x14:cfRule type="expression" priority="1" id="{F3507444-2ABB-4E1D-9888-CA9AC7CBF091}">
            <xm:f>OR($G164=FAAS!$K$135,$E164=FAAS!$B$81)</xm:f>
            <x14:dxf>
              <font>
                <color auto="1"/>
              </font>
              <fill>
                <patternFill patternType="solid">
                  <bgColor theme="8" tint="0.59996337778862885"/>
                </patternFill>
              </fill>
            </x14:dxf>
          </x14:cfRule>
          <xm:sqref>Q164:Q267</xm:sqref>
        </x14:conditionalFormatting>
        <x14:conditionalFormatting xmlns:xm="http://schemas.microsoft.com/office/excel/2006/main">
          <x14:cfRule type="expression" priority="7" id="{68E37E4B-4EDF-4F25-BD9C-66D7EE76A565}">
            <xm:f>OR($D167=FAAS!$B$13,$D167=FAAS!$B$15)</xm:f>
            <x14:dxf>
              <fill>
                <patternFill patternType="darkUp"/>
              </fill>
            </x14:dxf>
          </x14:cfRule>
          <xm:sqref>R167:T266</xm:sqref>
        </x14:conditionalFormatting>
        <x14:conditionalFormatting xmlns:xm="http://schemas.microsoft.com/office/excel/2006/main">
          <x14:cfRule type="expression" priority="6" id="{569B77EF-C5A8-4A78-800A-C69324831F00}">
            <xm:f>OR($D167=FAAS!$B$13,$D167=FAAS!$B$14)</xm:f>
            <x14:dxf>
              <fill>
                <patternFill patternType="darkUp"/>
              </fill>
            </x14:dxf>
          </x14:cfRule>
          <xm:sqref>U167:W266</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B5DF294-730B-4E90-84F6-01AE380FAE95}">
          <x14:formula1>
            <xm:f>'Fatores de Emissão'!$C$248:$C$281</xm:f>
          </x14:formula1>
          <xm:sqref>AD41:AD52 AC289:AC300</xm:sqref>
        </x14:dataValidation>
        <x14:dataValidation type="list" allowBlank="1" showInputMessage="1" showErrorMessage="1" xr:uid="{34A997ED-AEC4-4E3C-88F9-33643A2112CE}">
          <x14:formula1>
            <xm:f>FAEI!$A$10:$A$12</xm:f>
          </x14:formula1>
          <xm:sqref>B41:B141 B166:B266 B289:B389</xm:sqref>
        </x14:dataValidation>
        <x14:dataValidation type="list" allowBlank="1" showInputMessage="1" showErrorMessage="1" xr:uid="{D76A2606-B14F-47E9-A968-D9D7682DA35A}">
          <x14:formula1>
            <xm:f>FAOEP!$C$37:$C$38</xm:f>
          </x14:formula1>
          <xm:sqref>E290:E389</xm:sqref>
        </x14:dataValidation>
        <x14:dataValidation type="list" allowBlank="1" showInputMessage="1" showErrorMessage="1" xr:uid="{1A7A8253-7BBC-4B25-915D-A1B2D4253BC3}">
          <x14:formula1>
            <xm:f>'Fatores de Emissão'!$B$222:$B$227</xm:f>
          </x14:formula1>
          <xm:sqref>D290:D389</xm:sqref>
        </x14:dataValidation>
        <x14:dataValidation type="list" allowBlank="1" showInputMessage="1" showErrorMessage="1" xr:uid="{AD1E078E-AAF0-4F67-914B-72BE1C3B3695}">
          <x14:formula1>
            <xm:f>FAAS!$B$13:$B$15</xm:f>
          </x14:formula1>
          <xm:sqref>D167:D266</xm:sqref>
        </x14:dataValidation>
        <x14:dataValidation type="list" allowBlank="1" showInputMessage="1" showErrorMessage="1" xr:uid="{0CFC5EE6-6856-4B9B-9C46-7B95FF3BEA3B}">
          <x14:formula1>
            <xm:f>FAAS!$B$63:$B$81</xm:f>
          </x14:formula1>
          <xm:sqref>G167:G266</xm:sqref>
        </x14:dataValidation>
        <x14:dataValidation type="list" allowBlank="1" showInputMessage="1" showErrorMessage="1" xr:uid="{40638091-554A-4958-8D32-827373E1B677}">
          <x14:formula1>
            <xm:f>FAAS!$K$113:$K$135</xm:f>
          </x14:formula1>
          <xm:sqref>E167:E266</xm:sqref>
        </x14:dataValidation>
        <x14:dataValidation type="list" allowBlank="1" showInputMessage="1" showErrorMessage="1" xr:uid="{AC908CF3-F1D3-452A-B26B-B89F203B2EA7}">
          <x14:formula1>
            <xm:f>FAAS!$A$142:$A$144</xm:f>
          </x14:formula1>
          <xm:sqref>L167:L266</xm:sqref>
        </x14:dataValidation>
        <x14:dataValidation type="list" allowBlank="1" showInputMessage="1" showErrorMessage="1" xr:uid="{1B911D7C-136B-4299-BF0D-934DE7E77259}">
          <x14:formula1>
            <xm:f>FAOEP!$D$16:$D$26</xm:f>
          </x14:formula1>
          <xm:sqref>D42:D141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125D-C4CA-4703-B3F8-B844CB9F1D8A}">
  <sheetPr codeName="Folha16"/>
  <dimension ref="B11:W151"/>
  <sheetViews>
    <sheetView showGridLines="0" topLeftCell="A35" zoomScale="70" zoomScaleNormal="70" workbookViewId="0">
      <selection activeCell="J48" sqref="J48"/>
    </sheetView>
  </sheetViews>
  <sheetFormatPr defaultRowHeight="14.5" x14ac:dyDescent="0.35"/>
  <cols>
    <col min="1" max="1" width="16.81640625" bestFit="1" customWidth="1"/>
    <col min="2" max="2" width="11.81640625" bestFit="1" customWidth="1"/>
    <col min="4" max="4" width="37.7265625" customWidth="1"/>
    <col min="5" max="5" width="16.1796875" bestFit="1" customWidth="1"/>
    <col min="6" max="6" width="18.26953125" bestFit="1" customWidth="1"/>
    <col min="7" max="7" width="18.7265625" bestFit="1" customWidth="1"/>
    <col min="8" max="8" width="11.7265625" bestFit="1" customWidth="1"/>
    <col min="9" max="9" width="18.7265625" bestFit="1" customWidth="1"/>
    <col min="10" max="10" width="11.453125" customWidth="1"/>
    <col min="11" max="11" width="11.7265625" bestFit="1" customWidth="1"/>
    <col min="12" max="12" width="23.26953125" customWidth="1"/>
    <col min="13" max="13" width="24.26953125" bestFit="1" customWidth="1"/>
    <col min="16" max="16" width="26.1796875" bestFit="1" customWidth="1"/>
  </cols>
  <sheetData>
    <row r="11" spans="2:6" s="94" customFormat="1" ht="18.5" x14ac:dyDescent="0.45">
      <c r="B11" s="94" t="s">
        <v>911</v>
      </c>
    </row>
    <row r="13" spans="2:6" ht="21" x14ac:dyDescent="0.5">
      <c r="B13" s="131" t="s">
        <v>735</v>
      </c>
    </row>
    <row r="15" spans="2:6" x14ac:dyDescent="0.35">
      <c r="B15" s="132" t="s">
        <v>37</v>
      </c>
      <c r="D15" s="83" t="s">
        <v>910</v>
      </c>
      <c r="E15" s="83" t="s">
        <v>887</v>
      </c>
      <c r="F15" s="83" t="s">
        <v>927</v>
      </c>
    </row>
    <row r="16" spans="2:6" x14ac:dyDescent="0.35">
      <c r="B16" s="133" t="str">
        <f>'Fatores de Emissão'!B12</f>
        <v>Construção ou fase preparatória</v>
      </c>
      <c r="D16" s="294" t="s">
        <v>912</v>
      </c>
      <c r="E16" s="295" t="s">
        <v>922</v>
      </c>
      <c r="F16" s="121" t="s">
        <v>1464</v>
      </c>
    </row>
    <row r="17" spans="2:7" x14ac:dyDescent="0.35">
      <c r="B17" s="133" t="str">
        <f>'Fatores de Emissão'!B13</f>
        <v>Exploração</v>
      </c>
      <c r="D17" s="294" t="s">
        <v>913</v>
      </c>
      <c r="E17" s="295" t="s">
        <v>923</v>
      </c>
      <c r="F17" s="121" t="s">
        <v>1476</v>
      </c>
      <c r="G17" t="s">
        <v>1465</v>
      </c>
    </row>
    <row r="18" spans="2:7" x14ac:dyDescent="0.35">
      <c r="B18" s="133" t="str">
        <f>'Fatores de Emissão'!B14</f>
        <v>Desativação</v>
      </c>
      <c r="D18" s="294" t="s">
        <v>914</v>
      </c>
      <c r="E18" s="295" t="s">
        <v>924</v>
      </c>
      <c r="F18" s="121" t="s">
        <v>1477</v>
      </c>
      <c r="G18" t="s">
        <v>1466</v>
      </c>
    </row>
    <row r="19" spans="2:7" ht="16.5" x14ac:dyDescent="0.35">
      <c r="D19" s="294" t="s">
        <v>934</v>
      </c>
      <c r="E19" s="295" t="s">
        <v>936</v>
      </c>
      <c r="F19" s="121" t="s">
        <v>1478</v>
      </c>
      <c r="G19" t="s">
        <v>1467</v>
      </c>
    </row>
    <row r="20" spans="2:7" x14ac:dyDescent="0.35">
      <c r="D20" s="294" t="s">
        <v>935</v>
      </c>
      <c r="E20" s="295" t="s">
        <v>937</v>
      </c>
      <c r="F20" s="121" t="s">
        <v>1479</v>
      </c>
      <c r="G20" t="s">
        <v>1468</v>
      </c>
    </row>
    <row r="21" spans="2:7" x14ac:dyDescent="0.35">
      <c r="D21" s="294" t="s">
        <v>917</v>
      </c>
      <c r="E21" s="295" t="s">
        <v>925</v>
      </c>
      <c r="F21" s="121" t="s">
        <v>1480</v>
      </c>
      <c r="G21" t="s">
        <v>1469</v>
      </c>
    </row>
    <row r="22" spans="2:7" x14ac:dyDescent="0.35">
      <c r="D22" s="294" t="s">
        <v>918</v>
      </c>
      <c r="E22" s="295" t="s">
        <v>926</v>
      </c>
      <c r="F22" s="121" t="s">
        <v>1481</v>
      </c>
      <c r="G22" t="s">
        <v>1470</v>
      </c>
    </row>
    <row r="23" spans="2:7" x14ac:dyDescent="0.35">
      <c r="D23" s="294" t="s">
        <v>939</v>
      </c>
      <c r="E23" s="295" t="s">
        <v>938</v>
      </c>
      <c r="F23" s="121" t="s">
        <v>1482</v>
      </c>
      <c r="G23" t="s">
        <v>1471</v>
      </c>
    </row>
    <row r="24" spans="2:7" ht="16.5" x14ac:dyDescent="0.35">
      <c r="D24" s="294" t="s">
        <v>940</v>
      </c>
      <c r="E24" s="295" t="s">
        <v>941</v>
      </c>
      <c r="F24" s="121" t="s">
        <v>1483</v>
      </c>
      <c r="G24" t="s">
        <v>1472</v>
      </c>
    </row>
    <row r="25" spans="2:7" ht="16.5" x14ac:dyDescent="0.35">
      <c r="D25" s="294" t="s">
        <v>1136</v>
      </c>
      <c r="E25" s="294" t="s">
        <v>933</v>
      </c>
      <c r="F25" s="121" t="s">
        <v>1473</v>
      </c>
      <c r="G25" t="s">
        <v>1473</v>
      </c>
    </row>
    <row r="26" spans="2:7" x14ac:dyDescent="0.35">
      <c r="D26" s="294" t="s">
        <v>1137</v>
      </c>
      <c r="E26" s="294"/>
      <c r="F26" s="22" t="s">
        <v>929</v>
      </c>
      <c r="G26" t="s">
        <v>929</v>
      </c>
    </row>
    <row r="27" spans="2:7" x14ac:dyDescent="0.35">
      <c r="D27" s="294" t="s">
        <v>1026</v>
      </c>
      <c r="E27" s="294" t="s">
        <v>1022</v>
      </c>
      <c r="F27" s="121" t="s">
        <v>1025</v>
      </c>
      <c r="G27" t="s">
        <v>1025</v>
      </c>
    </row>
    <row r="28" spans="2:7" ht="16.5" x14ac:dyDescent="0.35">
      <c r="D28" s="294" t="s">
        <v>915</v>
      </c>
      <c r="E28" s="295" t="s">
        <v>931</v>
      </c>
      <c r="F28" s="121" t="s">
        <v>1484</v>
      </c>
      <c r="G28" t="s">
        <v>1474</v>
      </c>
    </row>
    <row r="29" spans="2:7" ht="16.5" x14ac:dyDescent="0.35">
      <c r="D29" s="294" t="s">
        <v>916</v>
      </c>
      <c r="E29" s="295" t="s">
        <v>932</v>
      </c>
      <c r="F29" s="121" t="s">
        <v>1485</v>
      </c>
      <c r="G29" t="s">
        <v>1475</v>
      </c>
    </row>
    <row r="32" spans="2:7" s="94" customFormat="1" ht="18.5" x14ac:dyDescent="0.45">
      <c r="B32" s="94" t="s">
        <v>946</v>
      </c>
    </row>
    <row r="34" spans="2:23" ht="21" x14ac:dyDescent="0.5">
      <c r="B34" s="131" t="s">
        <v>735</v>
      </c>
    </row>
    <row r="36" spans="2:23" x14ac:dyDescent="0.35">
      <c r="B36" s="132" t="s">
        <v>37</v>
      </c>
      <c r="D36" s="83" t="s">
        <v>910</v>
      </c>
      <c r="E36" s="83" t="s">
        <v>887</v>
      </c>
      <c r="F36" s="83" t="s">
        <v>927</v>
      </c>
      <c r="G36" s="83" t="s">
        <v>800</v>
      </c>
      <c r="H36" s="83" t="s">
        <v>554</v>
      </c>
    </row>
    <row r="37" spans="2:23" x14ac:dyDescent="0.35">
      <c r="B37" s="133" t="str">
        <f>B16</f>
        <v>Construção ou fase preparatória</v>
      </c>
      <c r="C37" s="146" t="s">
        <v>541</v>
      </c>
      <c r="D37" s="294" t="str">
        <f>'Fatores de Emissão'!B222</f>
        <v>Deposição de resíduos em aterro</v>
      </c>
      <c r="E37" s="295" t="s">
        <v>949</v>
      </c>
      <c r="F37" s="121" t="str">
        <f>"kg CO2e / "&amp;E37</f>
        <v>kg CO2e / t resíduo sólido enviado para deposição</v>
      </c>
    </row>
    <row r="38" spans="2:23" x14ac:dyDescent="0.35">
      <c r="B38" s="133" t="str">
        <f t="shared" ref="B38:B39" si="0">B17</f>
        <v>Exploração</v>
      </c>
      <c r="C38" s="146" t="s">
        <v>542</v>
      </c>
      <c r="D38" s="294" t="str">
        <f>'Fatores de Emissão'!B223</f>
        <v>Tratamentos biológicos: compostagem</v>
      </c>
      <c r="E38" s="295" t="s">
        <v>962</v>
      </c>
      <c r="F38" s="121" t="str">
        <f>"kg CO2e / "&amp;E38</f>
        <v>kg CO2e / t resíduo sólido enviado para compostagem</v>
      </c>
      <c r="G38" s="134">
        <f>'Fatores de Emissão'!C223</f>
        <v>0.17560000000000001</v>
      </c>
      <c r="H38" s="135" t="s">
        <v>963</v>
      </c>
    </row>
    <row r="39" spans="2:23" x14ac:dyDescent="0.35">
      <c r="B39" s="133" t="str">
        <f t="shared" si="0"/>
        <v>Desativação</v>
      </c>
      <c r="D39" s="294" t="str">
        <f>'Fatores de Emissão'!B224</f>
        <v>Tratamentos biológicos: digestão anaeróbica</v>
      </c>
      <c r="E39" s="295" t="s">
        <v>950</v>
      </c>
      <c r="F39" s="121" t="str">
        <f>"kg CO2e / "&amp;E39</f>
        <v>kg CO2e / t resíduo sólido enviado para digestão anaeróbia</v>
      </c>
      <c r="G39" s="134">
        <f>'Fatores de Emissão'!C224</f>
        <v>2.2400000000000003E-2</v>
      </c>
      <c r="H39" s="135" t="s">
        <v>963</v>
      </c>
    </row>
    <row r="40" spans="2:23" x14ac:dyDescent="0.35">
      <c r="D40" s="294" t="str">
        <f>'Fatores de Emissão'!B225</f>
        <v>Incineração (sem recuperação de energia)</v>
      </c>
      <c r="E40" s="295" t="s">
        <v>951</v>
      </c>
      <c r="F40" s="121" t="str">
        <f>"kg CO2e / "&amp;E40</f>
        <v>kg CO2e / t resíduo enviado para incineração</v>
      </c>
    </row>
    <row r="41" spans="2:23" ht="16.5" x14ac:dyDescent="0.35">
      <c r="D41" s="294" t="str">
        <f>'Fatores de Emissão'!B226</f>
        <v>Tratamento de águas residuais e efluentes (agrícolas, pecuários, industriais, ou outros)</v>
      </c>
      <c r="E41" s="295" t="s">
        <v>952</v>
      </c>
      <c r="F41" s="121" t="str">
        <f>"kg CO2e / "&amp;E41</f>
        <v>kg CO2e / m3 de águas residuais enviadas para tratamento ou descarregadas</v>
      </c>
    </row>
    <row r="42" spans="2:23" x14ac:dyDescent="0.35">
      <c r="D42" s="294" t="str">
        <f>'Fatores de Emissão'!B227</f>
        <v>Outros (ex.: queima de biogás)</v>
      </c>
      <c r="E42" s="295"/>
      <c r="F42" s="294" t="s">
        <v>929</v>
      </c>
    </row>
    <row r="47" spans="2:23" x14ac:dyDescent="0.35">
      <c r="B47" t="s">
        <v>35</v>
      </c>
      <c r="C47" t="s">
        <v>958</v>
      </c>
      <c r="D47" t="s">
        <v>957</v>
      </c>
      <c r="F47" s="1189" t="str">
        <f>'Outras emissões de processo'!F397</f>
        <v>Construção ou fase preparatória</v>
      </c>
      <c r="G47" s="1189"/>
      <c r="H47" s="1189" t="str">
        <f>B38</f>
        <v>Exploração</v>
      </c>
      <c r="I47" s="1189"/>
      <c r="J47" s="1189" t="str">
        <f>+B39</f>
        <v>Desativação</v>
      </c>
      <c r="K47" s="1189"/>
    </row>
    <row r="48" spans="2:23" x14ac:dyDescent="0.35">
      <c r="D48" t="s">
        <v>955</v>
      </c>
      <c r="E48" t="s">
        <v>956</v>
      </c>
      <c r="F48" s="118" t="s">
        <v>955</v>
      </c>
      <c r="G48" s="118" t="s">
        <v>956</v>
      </c>
      <c r="H48" s="118" t="str">
        <f>F48</f>
        <v>Diretas</v>
      </c>
      <c r="I48" s="118" t="str">
        <f t="shared" ref="I48:K48" si="1">G48</f>
        <v>Indiretas</v>
      </c>
      <c r="J48" s="118" t="str">
        <f t="shared" si="1"/>
        <v>Diretas</v>
      </c>
      <c r="K48" s="118" t="str">
        <f t="shared" si="1"/>
        <v>Indiretas</v>
      </c>
      <c r="P48" s="51"/>
      <c r="Q48" s="51"/>
      <c r="R48" s="51"/>
      <c r="S48" s="51"/>
      <c r="T48" s="51"/>
      <c r="U48" s="51"/>
      <c r="V48" s="51"/>
      <c r="W48" s="51"/>
    </row>
    <row r="49" spans="2:11" x14ac:dyDescent="0.35">
      <c r="B49" s="22">
        <f>'Outras emissões de processo'!B290</f>
        <v>0</v>
      </c>
      <c r="C49" s="22">
        <f>'Outras emissões de processo'!E290</f>
        <v>0</v>
      </c>
      <c r="D49" s="22" t="str">
        <f>IF($C49=$C$37,'Outras emissões de processo'!S290,"")</f>
        <v/>
      </c>
      <c r="E49" s="22" t="str">
        <f>IF($C49=$C$38,'Outras emissões de processo'!S290,"")</f>
        <v/>
      </c>
      <c r="F49" s="22" t="str">
        <f>IF($B49=F$47,D49,"")</f>
        <v/>
      </c>
      <c r="G49" s="22" t="str">
        <f>IF($B49=F$47,E49,"")</f>
        <v/>
      </c>
      <c r="H49" s="22" t="str">
        <f>IF($B49=H$47,D49,"")</f>
        <v/>
      </c>
      <c r="I49" s="22" t="str">
        <f>IF($B49=H$47,E49,"")</f>
        <v/>
      </c>
      <c r="J49" s="22" t="str">
        <f>IF($B49=J$47,D49,"")</f>
        <v/>
      </c>
      <c r="K49" s="22" t="str">
        <f>IF($B49=J$47,E49,"")</f>
        <v/>
      </c>
    </row>
    <row r="50" spans="2:11" x14ac:dyDescent="0.35">
      <c r="B50" s="22">
        <f>'Outras emissões de processo'!B291</f>
        <v>0</v>
      </c>
      <c r="C50" s="22">
        <f>'Outras emissões de processo'!E291</f>
        <v>0</v>
      </c>
      <c r="D50" s="22" t="str">
        <f>IF($C50=$C$37,'Outras emissões de processo'!S291,"")</f>
        <v/>
      </c>
      <c r="E50" s="22" t="str">
        <f>IF($C50=$C$38,'Outras emissões de processo'!S291,"")</f>
        <v/>
      </c>
      <c r="F50" s="22" t="str">
        <f t="shared" ref="F50:F113" si="2">IF($B50=F$47,D50,"")</f>
        <v/>
      </c>
      <c r="G50" s="22" t="str">
        <f t="shared" ref="G50:G113" si="3">IF($B50=F$47,E50,"")</f>
        <v/>
      </c>
      <c r="H50" s="22" t="str">
        <f t="shared" ref="H50:H113" si="4">IF($B50=H$47,D50,"")</f>
        <v/>
      </c>
      <c r="I50" s="22" t="str">
        <f t="shared" ref="I50:I113" si="5">IF($B50=H$47,E50,"")</f>
        <v/>
      </c>
      <c r="J50" s="22" t="str">
        <f t="shared" ref="J50:J113" si="6">IF($B50=J$47,D50,"")</f>
        <v/>
      </c>
      <c r="K50" s="22" t="str">
        <f t="shared" ref="K50:K113" si="7">IF($B50=J$47,E50,"")</f>
        <v/>
      </c>
    </row>
    <row r="51" spans="2:11" x14ac:dyDescent="0.35">
      <c r="B51" s="22">
        <f>'Outras emissões de processo'!B292</f>
        <v>0</v>
      </c>
      <c r="C51" s="22">
        <f>'Outras emissões de processo'!E292</f>
        <v>0</v>
      </c>
      <c r="D51" s="22" t="str">
        <f>IF($C51=$C$37,'Outras emissões de processo'!S292,"")</f>
        <v/>
      </c>
      <c r="E51" s="22" t="str">
        <f>IF($C51=$C$38,'Outras emissões de processo'!S292,"")</f>
        <v/>
      </c>
      <c r="F51" s="22" t="str">
        <f t="shared" si="2"/>
        <v/>
      </c>
      <c r="G51" s="22" t="str">
        <f t="shared" si="3"/>
        <v/>
      </c>
      <c r="H51" s="22" t="str">
        <f t="shared" si="4"/>
        <v/>
      </c>
      <c r="I51" s="22" t="str">
        <f t="shared" si="5"/>
        <v/>
      </c>
      <c r="J51" s="22" t="str">
        <f t="shared" si="6"/>
        <v/>
      </c>
      <c r="K51" s="22" t="str">
        <f t="shared" si="7"/>
        <v/>
      </c>
    </row>
    <row r="52" spans="2:11" x14ac:dyDescent="0.35">
      <c r="B52" s="22">
        <f>'Outras emissões de processo'!B293</f>
        <v>0</v>
      </c>
      <c r="C52" s="22">
        <f>'Outras emissões de processo'!E293</f>
        <v>0</v>
      </c>
      <c r="D52" s="22" t="str">
        <f>IF($C52=$C$37,'Outras emissões de processo'!S293,"")</f>
        <v/>
      </c>
      <c r="E52" s="22" t="str">
        <f>IF($C52=$C$38,'Outras emissões de processo'!S293,"")</f>
        <v/>
      </c>
      <c r="F52" s="22" t="str">
        <f t="shared" si="2"/>
        <v/>
      </c>
      <c r="G52" s="22" t="str">
        <f t="shared" si="3"/>
        <v/>
      </c>
      <c r="H52" s="22" t="str">
        <f t="shared" si="4"/>
        <v/>
      </c>
      <c r="I52" s="22" t="str">
        <f t="shared" si="5"/>
        <v/>
      </c>
      <c r="J52" s="22" t="str">
        <f t="shared" si="6"/>
        <v/>
      </c>
      <c r="K52" s="22" t="str">
        <f t="shared" si="7"/>
        <v/>
      </c>
    </row>
    <row r="53" spans="2:11" x14ac:dyDescent="0.35">
      <c r="B53" s="22">
        <f>'Outras emissões de processo'!B294</f>
        <v>0</v>
      </c>
      <c r="C53" s="22">
        <f>'Outras emissões de processo'!E294</f>
        <v>0</v>
      </c>
      <c r="D53" s="22" t="str">
        <f>IF($C53=$C$37,'Outras emissões de processo'!S294,"")</f>
        <v/>
      </c>
      <c r="E53" s="22" t="str">
        <f>IF($C53=$C$38,'Outras emissões de processo'!S294,"")</f>
        <v/>
      </c>
      <c r="F53" s="22" t="str">
        <f t="shared" si="2"/>
        <v/>
      </c>
      <c r="G53" s="22" t="str">
        <f t="shared" si="3"/>
        <v/>
      </c>
      <c r="H53" s="22" t="str">
        <f t="shared" si="4"/>
        <v/>
      </c>
      <c r="I53" s="22" t="str">
        <f t="shared" si="5"/>
        <v/>
      </c>
      <c r="J53" s="22" t="str">
        <f t="shared" si="6"/>
        <v/>
      </c>
      <c r="K53" s="22" t="str">
        <f t="shared" si="7"/>
        <v/>
      </c>
    </row>
    <row r="54" spans="2:11" x14ac:dyDescent="0.35">
      <c r="B54" s="22">
        <f>'Outras emissões de processo'!B295</f>
        <v>0</v>
      </c>
      <c r="C54" s="22">
        <f>'Outras emissões de processo'!E295</f>
        <v>0</v>
      </c>
      <c r="D54" s="22" t="str">
        <f>IF($C54=$C$37,'Outras emissões de processo'!S295,"")</f>
        <v/>
      </c>
      <c r="E54" s="22" t="str">
        <f>IF($C54=$C$38,'Outras emissões de processo'!S295,"")</f>
        <v/>
      </c>
      <c r="F54" s="22" t="str">
        <f t="shared" si="2"/>
        <v/>
      </c>
      <c r="G54" s="22" t="str">
        <f t="shared" si="3"/>
        <v/>
      </c>
      <c r="H54" s="22" t="str">
        <f t="shared" si="4"/>
        <v/>
      </c>
      <c r="I54" s="22" t="str">
        <f t="shared" si="5"/>
        <v/>
      </c>
      <c r="J54" s="22" t="str">
        <f t="shared" si="6"/>
        <v/>
      </c>
      <c r="K54" s="22" t="str">
        <f t="shared" si="7"/>
        <v/>
      </c>
    </row>
    <row r="55" spans="2:11" x14ac:dyDescent="0.35">
      <c r="B55" s="22">
        <f>'Outras emissões de processo'!B296</f>
        <v>0</v>
      </c>
      <c r="C55" s="22">
        <f>'Outras emissões de processo'!E296</f>
        <v>0</v>
      </c>
      <c r="D55" s="22" t="str">
        <f>IF($C55=$C$37,'Outras emissões de processo'!S296,"")</f>
        <v/>
      </c>
      <c r="E55" s="22" t="str">
        <f>IF($C55=$C$38,'Outras emissões de processo'!S296,"")</f>
        <v/>
      </c>
      <c r="F55" s="22" t="str">
        <f t="shared" si="2"/>
        <v/>
      </c>
      <c r="G55" s="22" t="str">
        <f t="shared" si="3"/>
        <v/>
      </c>
      <c r="H55" s="22" t="str">
        <f t="shared" si="4"/>
        <v/>
      </c>
      <c r="I55" s="22" t="str">
        <f t="shared" si="5"/>
        <v/>
      </c>
      <c r="J55" s="22" t="str">
        <f t="shared" si="6"/>
        <v/>
      </c>
      <c r="K55" s="22" t="str">
        <f t="shared" si="7"/>
        <v/>
      </c>
    </row>
    <row r="56" spans="2:11" x14ac:dyDescent="0.35">
      <c r="B56" s="22">
        <f>'Outras emissões de processo'!B297</f>
        <v>0</v>
      </c>
      <c r="C56" s="22">
        <f>'Outras emissões de processo'!E297</f>
        <v>0</v>
      </c>
      <c r="D56" s="22" t="str">
        <f>IF($C56=$C$37,'Outras emissões de processo'!S297,"")</f>
        <v/>
      </c>
      <c r="E56" s="22" t="str">
        <f>IF($C56=$C$38,'Outras emissões de processo'!S297,"")</f>
        <v/>
      </c>
      <c r="F56" s="22" t="str">
        <f t="shared" si="2"/>
        <v/>
      </c>
      <c r="G56" s="22" t="str">
        <f t="shared" si="3"/>
        <v/>
      </c>
      <c r="H56" s="22" t="str">
        <f t="shared" si="4"/>
        <v/>
      </c>
      <c r="I56" s="22" t="str">
        <f t="shared" si="5"/>
        <v/>
      </c>
      <c r="J56" s="22" t="str">
        <f t="shared" si="6"/>
        <v/>
      </c>
      <c r="K56" s="22" t="str">
        <f t="shared" si="7"/>
        <v/>
      </c>
    </row>
    <row r="57" spans="2:11" x14ac:dyDescent="0.35">
      <c r="B57" s="22">
        <f>'Outras emissões de processo'!B298</f>
        <v>0</v>
      </c>
      <c r="C57" s="22">
        <f>'Outras emissões de processo'!E298</f>
        <v>0</v>
      </c>
      <c r="D57" s="22" t="str">
        <f>IF($C57=$C$37,'Outras emissões de processo'!S298,"")</f>
        <v/>
      </c>
      <c r="E57" s="22" t="str">
        <f>IF($C57=$C$38,'Outras emissões de processo'!S298,"")</f>
        <v/>
      </c>
      <c r="F57" s="22" t="str">
        <f t="shared" si="2"/>
        <v/>
      </c>
      <c r="G57" s="22" t="str">
        <f t="shared" si="3"/>
        <v/>
      </c>
      <c r="H57" s="22" t="str">
        <f t="shared" si="4"/>
        <v/>
      </c>
      <c r="I57" s="22" t="str">
        <f t="shared" si="5"/>
        <v/>
      </c>
      <c r="J57" s="22" t="str">
        <f t="shared" si="6"/>
        <v/>
      </c>
      <c r="K57" s="22" t="str">
        <f t="shared" si="7"/>
        <v/>
      </c>
    </row>
    <row r="58" spans="2:11" x14ac:dyDescent="0.35">
      <c r="B58" s="22">
        <f>'Outras emissões de processo'!B299</f>
        <v>0</v>
      </c>
      <c r="C58" s="22">
        <f>'Outras emissões de processo'!E299</f>
        <v>0</v>
      </c>
      <c r="D58" s="22" t="str">
        <f>IF($C58=$C$37,'Outras emissões de processo'!S299,"")</f>
        <v/>
      </c>
      <c r="E58" s="22" t="str">
        <f>IF($C58=$C$38,'Outras emissões de processo'!S299,"")</f>
        <v/>
      </c>
      <c r="F58" s="22" t="str">
        <f t="shared" si="2"/>
        <v/>
      </c>
      <c r="G58" s="22" t="str">
        <f t="shared" si="3"/>
        <v/>
      </c>
      <c r="H58" s="22" t="str">
        <f t="shared" si="4"/>
        <v/>
      </c>
      <c r="I58" s="22" t="str">
        <f t="shared" si="5"/>
        <v/>
      </c>
      <c r="J58" s="22" t="str">
        <f t="shared" si="6"/>
        <v/>
      </c>
      <c r="K58" s="22" t="str">
        <f t="shared" si="7"/>
        <v/>
      </c>
    </row>
    <row r="59" spans="2:11" x14ac:dyDescent="0.35">
      <c r="B59" s="22">
        <f>'Outras emissões de processo'!B300</f>
        <v>0</v>
      </c>
      <c r="C59" s="22">
        <f>'Outras emissões de processo'!E300</f>
        <v>0</v>
      </c>
      <c r="D59" s="22" t="str">
        <f>IF($C59=$C$37,'Outras emissões de processo'!S300,"")</f>
        <v/>
      </c>
      <c r="E59" s="22" t="str">
        <f>IF($C59=$C$38,'Outras emissões de processo'!S300,"")</f>
        <v/>
      </c>
      <c r="F59" s="22" t="str">
        <f t="shared" si="2"/>
        <v/>
      </c>
      <c r="G59" s="22" t="str">
        <f t="shared" si="3"/>
        <v/>
      </c>
      <c r="H59" s="22" t="str">
        <f t="shared" si="4"/>
        <v/>
      </c>
      <c r="I59" s="22" t="str">
        <f t="shared" si="5"/>
        <v/>
      </c>
      <c r="J59" s="22" t="str">
        <f t="shared" si="6"/>
        <v/>
      </c>
      <c r="K59" s="22" t="str">
        <f t="shared" si="7"/>
        <v/>
      </c>
    </row>
    <row r="60" spans="2:11" x14ac:dyDescent="0.35">
      <c r="B60" s="22">
        <f>'Outras emissões de processo'!B301</f>
        <v>0</v>
      </c>
      <c r="C60" s="22">
        <f>'Outras emissões de processo'!E301</f>
        <v>0</v>
      </c>
      <c r="D60" s="22" t="str">
        <f>IF($C60=$C$37,'Outras emissões de processo'!S301,"")</f>
        <v/>
      </c>
      <c r="E60" s="22" t="str">
        <f>IF($C60=$C$38,'Outras emissões de processo'!S301,"")</f>
        <v/>
      </c>
      <c r="F60" s="22" t="str">
        <f t="shared" si="2"/>
        <v/>
      </c>
      <c r="G60" s="22" t="str">
        <f t="shared" si="3"/>
        <v/>
      </c>
      <c r="H60" s="22" t="str">
        <f t="shared" si="4"/>
        <v/>
      </c>
      <c r="I60" s="22" t="str">
        <f t="shared" si="5"/>
        <v/>
      </c>
      <c r="J60" s="22" t="str">
        <f t="shared" si="6"/>
        <v/>
      </c>
      <c r="K60" s="22" t="str">
        <f t="shared" si="7"/>
        <v/>
      </c>
    </row>
    <row r="61" spans="2:11" x14ac:dyDescent="0.35">
      <c r="B61" s="22">
        <f>'Outras emissões de processo'!B302</f>
        <v>0</v>
      </c>
      <c r="C61" s="22">
        <f>'Outras emissões de processo'!E302</f>
        <v>0</v>
      </c>
      <c r="D61" s="22" t="str">
        <f>IF($C61=$C$37,'Outras emissões de processo'!S302,"")</f>
        <v/>
      </c>
      <c r="E61" s="22" t="str">
        <f>IF($C61=$C$38,'Outras emissões de processo'!S302,"")</f>
        <v/>
      </c>
      <c r="F61" s="22" t="str">
        <f t="shared" si="2"/>
        <v/>
      </c>
      <c r="G61" s="22" t="str">
        <f t="shared" si="3"/>
        <v/>
      </c>
      <c r="H61" s="22" t="str">
        <f t="shared" si="4"/>
        <v/>
      </c>
      <c r="I61" s="22" t="str">
        <f t="shared" si="5"/>
        <v/>
      </c>
      <c r="J61" s="22" t="str">
        <f t="shared" si="6"/>
        <v/>
      </c>
      <c r="K61" s="22" t="str">
        <f t="shared" si="7"/>
        <v/>
      </c>
    </row>
    <row r="62" spans="2:11" x14ac:dyDescent="0.35">
      <c r="B62" s="22">
        <f>'Outras emissões de processo'!B303</f>
        <v>0</v>
      </c>
      <c r="C62" s="22">
        <f>'Outras emissões de processo'!E303</f>
        <v>0</v>
      </c>
      <c r="D62" s="22" t="str">
        <f>IF($C62=$C$37,'Outras emissões de processo'!S303,"")</f>
        <v/>
      </c>
      <c r="E62" s="22" t="str">
        <f>IF($C62=$C$38,'Outras emissões de processo'!S303,"")</f>
        <v/>
      </c>
      <c r="F62" s="22" t="str">
        <f t="shared" si="2"/>
        <v/>
      </c>
      <c r="G62" s="22" t="str">
        <f t="shared" si="3"/>
        <v/>
      </c>
      <c r="H62" s="22" t="str">
        <f t="shared" si="4"/>
        <v/>
      </c>
      <c r="I62" s="22" t="str">
        <f t="shared" si="5"/>
        <v/>
      </c>
      <c r="J62" s="22" t="str">
        <f t="shared" si="6"/>
        <v/>
      </c>
      <c r="K62" s="22" t="str">
        <f t="shared" si="7"/>
        <v/>
      </c>
    </row>
    <row r="63" spans="2:11" x14ac:dyDescent="0.35">
      <c r="B63" s="22">
        <f>'Outras emissões de processo'!B304</f>
        <v>0</v>
      </c>
      <c r="C63" s="22">
        <f>'Outras emissões de processo'!E304</f>
        <v>0</v>
      </c>
      <c r="D63" s="22" t="str">
        <f>IF($C63=$C$37,'Outras emissões de processo'!S304,"")</f>
        <v/>
      </c>
      <c r="E63" s="22" t="str">
        <f>IF($C63=$C$38,'Outras emissões de processo'!S304,"")</f>
        <v/>
      </c>
      <c r="F63" s="22" t="str">
        <f t="shared" si="2"/>
        <v/>
      </c>
      <c r="G63" s="22" t="str">
        <f t="shared" si="3"/>
        <v/>
      </c>
      <c r="H63" s="22" t="str">
        <f t="shared" si="4"/>
        <v/>
      </c>
      <c r="I63" s="22" t="str">
        <f t="shared" si="5"/>
        <v/>
      </c>
      <c r="J63" s="22" t="str">
        <f t="shared" si="6"/>
        <v/>
      </c>
      <c r="K63" s="22" t="str">
        <f t="shared" si="7"/>
        <v/>
      </c>
    </row>
    <row r="64" spans="2:11" x14ac:dyDescent="0.35">
      <c r="B64" s="22">
        <f>'Outras emissões de processo'!B305</f>
        <v>0</v>
      </c>
      <c r="C64" s="22">
        <f>'Outras emissões de processo'!E305</f>
        <v>0</v>
      </c>
      <c r="D64" s="22" t="str">
        <f>IF($C64=$C$37,'Outras emissões de processo'!S305,"")</f>
        <v/>
      </c>
      <c r="E64" s="22" t="str">
        <f>IF($C64=$C$38,'Outras emissões de processo'!S305,"")</f>
        <v/>
      </c>
      <c r="F64" s="22" t="str">
        <f t="shared" si="2"/>
        <v/>
      </c>
      <c r="G64" s="22" t="str">
        <f t="shared" si="3"/>
        <v/>
      </c>
      <c r="H64" s="22" t="str">
        <f t="shared" si="4"/>
        <v/>
      </c>
      <c r="I64" s="22" t="str">
        <f t="shared" si="5"/>
        <v/>
      </c>
      <c r="J64" s="22" t="str">
        <f t="shared" si="6"/>
        <v/>
      </c>
      <c r="K64" s="22" t="str">
        <f t="shared" si="7"/>
        <v/>
      </c>
    </row>
    <row r="65" spans="2:11" x14ac:dyDescent="0.35">
      <c r="B65" s="22">
        <f>'Outras emissões de processo'!B306</f>
        <v>0</v>
      </c>
      <c r="C65" s="22">
        <f>'Outras emissões de processo'!E306</f>
        <v>0</v>
      </c>
      <c r="D65" s="22" t="str">
        <f>IF($C65=$C$37,'Outras emissões de processo'!S306,"")</f>
        <v/>
      </c>
      <c r="E65" s="22" t="str">
        <f>IF($C65=$C$38,'Outras emissões de processo'!S306,"")</f>
        <v/>
      </c>
      <c r="F65" s="22" t="str">
        <f t="shared" si="2"/>
        <v/>
      </c>
      <c r="G65" s="22" t="str">
        <f t="shared" si="3"/>
        <v/>
      </c>
      <c r="H65" s="22" t="str">
        <f t="shared" si="4"/>
        <v/>
      </c>
      <c r="I65" s="22" t="str">
        <f t="shared" si="5"/>
        <v/>
      </c>
      <c r="J65" s="22" t="str">
        <f t="shared" si="6"/>
        <v/>
      </c>
      <c r="K65" s="22" t="str">
        <f t="shared" si="7"/>
        <v/>
      </c>
    </row>
    <row r="66" spans="2:11" x14ac:dyDescent="0.35">
      <c r="B66" s="22">
        <f>'Outras emissões de processo'!B307</f>
        <v>0</v>
      </c>
      <c r="C66" s="22">
        <f>'Outras emissões de processo'!E307</f>
        <v>0</v>
      </c>
      <c r="D66" s="22" t="str">
        <f>IF($C66=$C$37,'Outras emissões de processo'!S307,"")</f>
        <v/>
      </c>
      <c r="E66" s="22" t="str">
        <f>IF($C66=$C$38,'Outras emissões de processo'!S307,"")</f>
        <v/>
      </c>
      <c r="F66" s="22" t="str">
        <f t="shared" si="2"/>
        <v/>
      </c>
      <c r="G66" s="22" t="str">
        <f t="shared" si="3"/>
        <v/>
      </c>
      <c r="H66" s="22" t="str">
        <f t="shared" si="4"/>
        <v/>
      </c>
      <c r="I66" s="22" t="str">
        <f t="shared" si="5"/>
        <v/>
      </c>
      <c r="J66" s="22" t="str">
        <f t="shared" si="6"/>
        <v/>
      </c>
      <c r="K66" s="22" t="str">
        <f t="shared" si="7"/>
        <v/>
      </c>
    </row>
    <row r="67" spans="2:11" x14ac:dyDescent="0.35">
      <c r="B67" s="22">
        <f>'Outras emissões de processo'!B308</f>
        <v>0</v>
      </c>
      <c r="C67" s="22">
        <f>'Outras emissões de processo'!E308</f>
        <v>0</v>
      </c>
      <c r="D67" s="22" t="str">
        <f>IF($C67=$C$37,'Outras emissões de processo'!S308,"")</f>
        <v/>
      </c>
      <c r="E67" s="22" t="str">
        <f>IF($C67=$C$38,'Outras emissões de processo'!S308,"")</f>
        <v/>
      </c>
      <c r="F67" s="22" t="str">
        <f t="shared" si="2"/>
        <v/>
      </c>
      <c r="G67" s="22" t="str">
        <f t="shared" si="3"/>
        <v/>
      </c>
      <c r="H67" s="22" t="str">
        <f t="shared" si="4"/>
        <v/>
      </c>
      <c r="I67" s="22" t="str">
        <f t="shared" si="5"/>
        <v/>
      </c>
      <c r="J67" s="22" t="str">
        <f t="shared" si="6"/>
        <v/>
      </c>
      <c r="K67" s="22" t="str">
        <f t="shared" si="7"/>
        <v/>
      </c>
    </row>
    <row r="68" spans="2:11" x14ac:dyDescent="0.35">
      <c r="B68" s="22">
        <f>'Outras emissões de processo'!B309</f>
        <v>0</v>
      </c>
      <c r="C68" s="22">
        <f>'Outras emissões de processo'!E309</f>
        <v>0</v>
      </c>
      <c r="D68" s="22" t="str">
        <f>IF($C68=$C$37,'Outras emissões de processo'!S309,"")</f>
        <v/>
      </c>
      <c r="E68" s="22" t="str">
        <f>IF($C68=$C$38,'Outras emissões de processo'!S309,"")</f>
        <v/>
      </c>
      <c r="F68" s="22" t="str">
        <f t="shared" si="2"/>
        <v/>
      </c>
      <c r="G68" s="22" t="str">
        <f t="shared" si="3"/>
        <v/>
      </c>
      <c r="H68" s="22" t="str">
        <f t="shared" si="4"/>
        <v/>
      </c>
      <c r="I68" s="22" t="str">
        <f t="shared" si="5"/>
        <v/>
      </c>
      <c r="J68" s="22" t="str">
        <f t="shared" si="6"/>
        <v/>
      </c>
      <c r="K68" s="22" t="str">
        <f t="shared" si="7"/>
        <v/>
      </c>
    </row>
    <row r="69" spans="2:11" x14ac:dyDescent="0.35">
      <c r="B69" s="22">
        <f>'Outras emissões de processo'!B310</f>
        <v>0</v>
      </c>
      <c r="C69" s="22">
        <f>'Outras emissões de processo'!E310</f>
        <v>0</v>
      </c>
      <c r="D69" s="22" t="str">
        <f>IF($C69=$C$37,'Outras emissões de processo'!S310,"")</f>
        <v/>
      </c>
      <c r="E69" s="22" t="str">
        <f>IF($C69=$C$38,'Outras emissões de processo'!S310,"")</f>
        <v/>
      </c>
      <c r="F69" s="22" t="str">
        <f t="shared" si="2"/>
        <v/>
      </c>
      <c r="G69" s="22" t="str">
        <f t="shared" si="3"/>
        <v/>
      </c>
      <c r="H69" s="22" t="str">
        <f t="shared" si="4"/>
        <v/>
      </c>
      <c r="I69" s="22" t="str">
        <f t="shared" si="5"/>
        <v/>
      </c>
      <c r="J69" s="22" t="str">
        <f t="shared" si="6"/>
        <v/>
      </c>
      <c r="K69" s="22" t="str">
        <f t="shared" si="7"/>
        <v/>
      </c>
    </row>
    <row r="70" spans="2:11" x14ac:dyDescent="0.35">
      <c r="B70" s="22">
        <f>'Outras emissões de processo'!B311</f>
        <v>0</v>
      </c>
      <c r="C70" s="22">
        <f>'Outras emissões de processo'!E311</f>
        <v>0</v>
      </c>
      <c r="D70" s="22" t="str">
        <f>IF($C70=$C$37,'Outras emissões de processo'!S311,"")</f>
        <v/>
      </c>
      <c r="E70" s="22" t="str">
        <f>IF($C70=$C$38,'Outras emissões de processo'!S311,"")</f>
        <v/>
      </c>
      <c r="F70" s="22" t="str">
        <f t="shared" si="2"/>
        <v/>
      </c>
      <c r="G70" s="22" t="str">
        <f t="shared" si="3"/>
        <v/>
      </c>
      <c r="H70" s="22" t="str">
        <f t="shared" si="4"/>
        <v/>
      </c>
      <c r="I70" s="22" t="str">
        <f t="shared" si="5"/>
        <v/>
      </c>
      <c r="J70" s="22" t="str">
        <f t="shared" si="6"/>
        <v/>
      </c>
      <c r="K70" s="22" t="str">
        <f t="shared" si="7"/>
        <v/>
      </c>
    </row>
    <row r="71" spans="2:11" x14ac:dyDescent="0.35">
      <c r="B71" s="22">
        <f>'Outras emissões de processo'!B312</f>
        <v>0</v>
      </c>
      <c r="C71" s="22">
        <f>'Outras emissões de processo'!E312</f>
        <v>0</v>
      </c>
      <c r="D71" s="22" t="str">
        <f>IF($C71=$C$37,'Outras emissões de processo'!S312,"")</f>
        <v/>
      </c>
      <c r="E71" s="22" t="str">
        <f>IF($C71=$C$38,'Outras emissões de processo'!S312,"")</f>
        <v/>
      </c>
      <c r="F71" s="22" t="str">
        <f t="shared" si="2"/>
        <v/>
      </c>
      <c r="G71" s="22" t="str">
        <f t="shared" si="3"/>
        <v/>
      </c>
      <c r="H71" s="22" t="str">
        <f t="shared" si="4"/>
        <v/>
      </c>
      <c r="I71" s="22" t="str">
        <f t="shared" si="5"/>
        <v/>
      </c>
      <c r="J71" s="22" t="str">
        <f t="shared" si="6"/>
        <v/>
      </c>
      <c r="K71" s="22" t="str">
        <f t="shared" si="7"/>
        <v/>
      </c>
    </row>
    <row r="72" spans="2:11" x14ac:dyDescent="0.35">
      <c r="B72" s="22">
        <f>'Outras emissões de processo'!B313</f>
        <v>0</v>
      </c>
      <c r="C72" s="22">
        <f>'Outras emissões de processo'!E313</f>
        <v>0</v>
      </c>
      <c r="D72" s="22" t="str">
        <f>IF($C72=$C$37,'Outras emissões de processo'!S313,"")</f>
        <v/>
      </c>
      <c r="E72" s="22" t="str">
        <f>IF($C72=$C$38,'Outras emissões de processo'!S313,"")</f>
        <v/>
      </c>
      <c r="F72" s="22" t="str">
        <f t="shared" si="2"/>
        <v/>
      </c>
      <c r="G72" s="22" t="str">
        <f t="shared" si="3"/>
        <v/>
      </c>
      <c r="H72" s="22" t="str">
        <f t="shared" si="4"/>
        <v/>
      </c>
      <c r="I72" s="22" t="str">
        <f t="shared" si="5"/>
        <v/>
      </c>
      <c r="J72" s="22" t="str">
        <f t="shared" si="6"/>
        <v/>
      </c>
      <c r="K72" s="22" t="str">
        <f t="shared" si="7"/>
        <v/>
      </c>
    </row>
    <row r="73" spans="2:11" x14ac:dyDescent="0.35">
      <c r="B73" s="22">
        <f>'Outras emissões de processo'!B314</f>
        <v>0</v>
      </c>
      <c r="C73" s="22">
        <f>'Outras emissões de processo'!E314</f>
        <v>0</v>
      </c>
      <c r="D73" s="22" t="str">
        <f>IF($C73=$C$37,'Outras emissões de processo'!S314,"")</f>
        <v/>
      </c>
      <c r="E73" s="22" t="str">
        <f>IF($C73=$C$38,'Outras emissões de processo'!S314,"")</f>
        <v/>
      </c>
      <c r="F73" s="22" t="str">
        <f t="shared" si="2"/>
        <v/>
      </c>
      <c r="G73" s="22" t="str">
        <f t="shared" si="3"/>
        <v/>
      </c>
      <c r="H73" s="22" t="str">
        <f t="shared" si="4"/>
        <v/>
      </c>
      <c r="I73" s="22" t="str">
        <f t="shared" si="5"/>
        <v/>
      </c>
      <c r="J73" s="22" t="str">
        <f t="shared" si="6"/>
        <v/>
      </c>
      <c r="K73" s="22" t="str">
        <f t="shared" si="7"/>
        <v/>
      </c>
    </row>
    <row r="74" spans="2:11" x14ac:dyDescent="0.35">
      <c r="B74" s="22">
        <f>'Outras emissões de processo'!B315</f>
        <v>0</v>
      </c>
      <c r="C74" s="22">
        <f>'Outras emissões de processo'!E315</f>
        <v>0</v>
      </c>
      <c r="D74" s="22" t="str">
        <f>IF($C74=$C$37,'Outras emissões de processo'!S315,"")</f>
        <v/>
      </c>
      <c r="E74" s="22" t="str">
        <f>IF($C74=$C$38,'Outras emissões de processo'!S315,"")</f>
        <v/>
      </c>
      <c r="F74" s="22" t="str">
        <f t="shared" si="2"/>
        <v/>
      </c>
      <c r="G74" s="22" t="str">
        <f t="shared" si="3"/>
        <v/>
      </c>
      <c r="H74" s="22" t="str">
        <f t="shared" si="4"/>
        <v/>
      </c>
      <c r="I74" s="22" t="str">
        <f t="shared" si="5"/>
        <v/>
      </c>
      <c r="J74" s="22" t="str">
        <f t="shared" si="6"/>
        <v/>
      </c>
      <c r="K74" s="22" t="str">
        <f t="shared" si="7"/>
        <v/>
      </c>
    </row>
    <row r="75" spans="2:11" x14ac:dyDescent="0.35">
      <c r="B75" s="22">
        <f>'Outras emissões de processo'!B316</f>
        <v>0</v>
      </c>
      <c r="C75" s="22">
        <f>'Outras emissões de processo'!E316</f>
        <v>0</v>
      </c>
      <c r="D75" s="22" t="str">
        <f>IF($C75=$C$37,'Outras emissões de processo'!S316,"")</f>
        <v/>
      </c>
      <c r="E75" s="22" t="str">
        <f>IF($C75=$C$38,'Outras emissões de processo'!S316,"")</f>
        <v/>
      </c>
      <c r="F75" s="22" t="str">
        <f t="shared" si="2"/>
        <v/>
      </c>
      <c r="G75" s="22" t="str">
        <f t="shared" si="3"/>
        <v/>
      </c>
      <c r="H75" s="22" t="str">
        <f t="shared" si="4"/>
        <v/>
      </c>
      <c r="I75" s="22" t="str">
        <f t="shared" si="5"/>
        <v/>
      </c>
      <c r="J75" s="22" t="str">
        <f t="shared" si="6"/>
        <v/>
      </c>
      <c r="K75" s="22" t="str">
        <f t="shared" si="7"/>
        <v/>
      </c>
    </row>
    <row r="76" spans="2:11" x14ac:dyDescent="0.35">
      <c r="B76" s="22">
        <f>'Outras emissões de processo'!B317</f>
        <v>0</v>
      </c>
      <c r="C76" s="22">
        <f>'Outras emissões de processo'!E317</f>
        <v>0</v>
      </c>
      <c r="D76" s="22" t="str">
        <f>IF($C76=$C$37,'Outras emissões de processo'!S317,"")</f>
        <v/>
      </c>
      <c r="E76" s="22" t="str">
        <f>IF($C76=$C$38,'Outras emissões de processo'!S317,"")</f>
        <v/>
      </c>
      <c r="F76" s="22" t="str">
        <f t="shared" si="2"/>
        <v/>
      </c>
      <c r="G76" s="22" t="str">
        <f t="shared" si="3"/>
        <v/>
      </c>
      <c r="H76" s="22" t="str">
        <f t="shared" si="4"/>
        <v/>
      </c>
      <c r="I76" s="22" t="str">
        <f t="shared" si="5"/>
        <v/>
      </c>
      <c r="J76" s="22" t="str">
        <f t="shared" si="6"/>
        <v/>
      </c>
      <c r="K76" s="22" t="str">
        <f t="shared" si="7"/>
        <v/>
      </c>
    </row>
    <row r="77" spans="2:11" x14ac:dyDescent="0.35">
      <c r="B77" s="22">
        <f>'Outras emissões de processo'!B318</f>
        <v>0</v>
      </c>
      <c r="C77" s="22">
        <f>'Outras emissões de processo'!E318</f>
        <v>0</v>
      </c>
      <c r="D77" s="22" t="str">
        <f>IF($C77=$C$37,'Outras emissões de processo'!S318,"")</f>
        <v/>
      </c>
      <c r="E77" s="22" t="str">
        <f>IF($C77=$C$38,'Outras emissões de processo'!S318,"")</f>
        <v/>
      </c>
      <c r="F77" s="22" t="str">
        <f t="shared" si="2"/>
        <v/>
      </c>
      <c r="G77" s="22" t="str">
        <f t="shared" si="3"/>
        <v/>
      </c>
      <c r="H77" s="22" t="str">
        <f t="shared" si="4"/>
        <v/>
      </c>
      <c r="I77" s="22" t="str">
        <f t="shared" si="5"/>
        <v/>
      </c>
      <c r="J77" s="22" t="str">
        <f t="shared" si="6"/>
        <v/>
      </c>
      <c r="K77" s="22" t="str">
        <f t="shared" si="7"/>
        <v/>
      </c>
    </row>
    <row r="78" spans="2:11" x14ac:dyDescent="0.35">
      <c r="B78" s="22">
        <f>'Outras emissões de processo'!B319</f>
        <v>0</v>
      </c>
      <c r="C78" s="22">
        <f>'Outras emissões de processo'!E319</f>
        <v>0</v>
      </c>
      <c r="D78" s="22" t="str">
        <f>IF($C78=$C$37,'Outras emissões de processo'!S319,"")</f>
        <v/>
      </c>
      <c r="E78" s="22" t="str">
        <f>IF($C78=$C$38,'Outras emissões de processo'!S319,"")</f>
        <v/>
      </c>
      <c r="F78" s="22" t="str">
        <f t="shared" si="2"/>
        <v/>
      </c>
      <c r="G78" s="22" t="str">
        <f t="shared" si="3"/>
        <v/>
      </c>
      <c r="H78" s="22" t="str">
        <f t="shared" si="4"/>
        <v/>
      </c>
      <c r="I78" s="22" t="str">
        <f t="shared" si="5"/>
        <v/>
      </c>
      <c r="J78" s="22" t="str">
        <f t="shared" si="6"/>
        <v/>
      </c>
      <c r="K78" s="22" t="str">
        <f t="shared" si="7"/>
        <v/>
      </c>
    </row>
    <row r="79" spans="2:11" x14ac:dyDescent="0.35">
      <c r="B79" s="22">
        <f>'Outras emissões de processo'!B320</f>
        <v>0</v>
      </c>
      <c r="C79" s="22">
        <f>'Outras emissões de processo'!E320</f>
        <v>0</v>
      </c>
      <c r="D79" s="22" t="str">
        <f>IF($C79=$C$37,'Outras emissões de processo'!S320,"")</f>
        <v/>
      </c>
      <c r="E79" s="22" t="str">
        <f>IF($C79=$C$38,'Outras emissões de processo'!S320,"")</f>
        <v/>
      </c>
      <c r="F79" s="22" t="str">
        <f t="shared" si="2"/>
        <v/>
      </c>
      <c r="G79" s="22" t="str">
        <f t="shared" si="3"/>
        <v/>
      </c>
      <c r="H79" s="22" t="str">
        <f t="shared" si="4"/>
        <v/>
      </c>
      <c r="I79" s="22" t="str">
        <f t="shared" si="5"/>
        <v/>
      </c>
      <c r="J79" s="22" t="str">
        <f t="shared" si="6"/>
        <v/>
      </c>
      <c r="K79" s="22" t="str">
        <f t="shared" si="7"/>
        <v/>
      </c>
    </row>
    <row r="80" spans="2:11" x14ac:dyDescent="0.35">
      <c r="B80" s="22">
        <f>'Outras emissões de processo'!B321</f>
        <v>0</v>
      </c>
      <c r="C80" s="22">
        <f>'Outras emissões de processo'!E321</f>
        <v>0</v>
      </c>
      <c r="D80" s="22" t="str">
        <f>IF($C80=$C$37,'Outras emissões de processo'!S321,"")</f>
        <v/>
      </c>
      <c r="E80" s="22" t="str">
        <f>IF($C80=$C$38,'Outras emissões de processo'!S321,"")</f>
        <v/>
      </c>
      <c r="F80" s="22" t="str">
        <f t="shared" si="2"/>
        <v/>
      </c>
      <c r="G80" s="22" t="str">
        <f t="shared" si="3"/>
        <v/>
      </c>
      <c r="H80" s="22" t="str">
        <f t="shared" si="4"/>
        <v/>
      </c>
      <c r="I80" s="22" t="str">
        <f t="shared" si="5"/>
        <v/>
      </c>
      <c r="J80" s="22" t="str">
        <f t="shared" si="6"/>
        <v/>
      </c>
      <c r="K80" s="22" t="str">
        <f t="shared" si="7"/>
        <v/>
      </c>
    </row>
    <row r="81" spans="2:11" x14ac:dyDescent="0.35">
      <c r="B81" s="22">
        <f>'Outras emissões de processo'!B322</f>
        <v>0</v>
      </c>
      <c r="C81" s="22">
        <f>'Outras emissões de processo'!E322</f>
        <v>0</v>
      </c>
      <c r="D81" s="22" t="str">
        <f>IF($C81=$C$37,'Outras emissões de processo'!S322,"")</f>
        <v/>
      </c>
      <c r="E81" s="22" t="str">
        <f>IF($C81=$C$38,'Outras emissões de processo'!S322,"")</f>
        <v/>
      </c>
      <c r="F81" s="22" t="str">
        <f t="shared" si="2"/>
        <v/>
      </c>
      <c r="G81" s="22" t="str">
        <f t="shared" si="3"/>
        <v/>
      </c>
      <c r="H81" s="22" t="str">
        <f t="shared" si="4"/>
        <v/>
      </c>
      <c r="I81" s="22" t="str">
        <f t="shared" si="5"/>
        <v/>
      </c>
      <c r="J81" s="22" t="str">
        <f t="shared" si="6"/>
        <v/>
      </c>
      <c r="K81" s="22" t="str">
        <f t="shared" si="7"/>
        <v/>
      </c>
    </row>
    <row r="82" spans="2:11" x14ac:dyDescent="0.35">
      <c r="B82" s="22">
        <f>'Outras emissões de processo'!B323</f>
        <v>0</v>
      </c>
      <c r="C82" s="22">
        <f>'Outras emissões de processo'!E323</f>
        <v>0</v>
      </c>
      <c r="D82" s="22" t="str">
        <f>IF($C82=$C$37,'Outras emissões de processo'!S323,"")</f>
        <v/>
      </c>
      <c r="E82" s="22" t="str">
        <f>IF($C82=$C$38,'Outras emissões de processo'!S323,"")</f>
        <v/>
      </c>
      <c r="F82" s="22" t="str">
        <f t="shared" si="2"/>
        <v/>
      </c>
      <c r="G82" s="22" t="str">
        <f t="shared" si="3"/>
        <v/>
      </c>
      <c r="H82" s="22" t="str">
        <f t="shared" si="4"/>
        <v/>
      </c>
      <c r="I82" s="22" t="str">
        <f t="shared" si="5"/>
        <v/>
      </c>
      <c r="J82" s="22" t="str">
        <f t="shared" si="6"/>
        <v/>
      </c>
      <c r="K82" s="22" t="str">
        <f t="shared" si="7"/>
        <v/>
      </c>
    </row>
    <row r="83" spans="2:11" x14ac:dyDescent="0.35">
      <c r="B83" s="22">
        <f>'Outras emissões de processo'!B324</f>
        <v>0</v>
      </c>
      <c r="C83" s="22">
        <f>'Outras emissões de processo'!E324</f>
        <v>0</v>
      </c>
      <c r="D83" s="22" t="str">
        <f>IF($C83=$C$37,'Outras emissões de processo'!S324,"")</f>
        <v/>
      </c>
      <c r="E83" s="22" t="str">
        <f>IF($C83=$C$38,'Outras emissões de processo'!S324,"")</f>
        <v/>
      </c>
      <c r="F83" s="22" t="str">
        <f t="shared" si="2"/>
        <v/>
      </c>
      <c r="G83" s="22" t="str">
        <f t="shared" si="3"/>
        <v/>
      </c>
      <c r="H83" s="22" t="str">
        <f t="shared" si="4"/>
        <v/>
      </c>
      <c r="I83" s="22" t="str">
        <f t="shared" si="5"/>
        <v/>
      </c>
      <c r="J83" s="22" t="str">
        <f t="shared" si="6"/>
        <v/>
      </c>
      <c r="K83" s="22" t="str">
        <f t="shared" si="7"/>
        <v/>
      </c>
    </row>
    <row r="84" spans="2:11" x14ac:dyDescent="0.35">
      <c r="B84" s="22">
        <f>'Outras emissões de processo'!B325</f>
        <v>0</v>
      </c>
      <c r="C84" s="22">
        <f>'Outras emissões de processo'!E325</f>
        <v>0</v>
      </c>
      <c r="D84" s="22" t="str">
        <f>IF($C84=$C$37,'Outras emissões de processo'!S325,"")</f>
        <v/>
      </c>
      <c r="E84" s="22" t="str">
        <f>IF($C84=$C$38,'Outras emissões de processo'!S325,"")</f>
        <v/>
      </c>
      <c r="F84" s="22" t="str">
        <f t="shared" si="2"/>
        <v/>
      </c>
      <c r="G84" s="22" t="str">
        <f t="shared" si="3"/>
        <v/>
      </c>
      <c r="H84" s="22" t="str">
        <f t="shared" si="4"/>
        <v/>
      </c>
      <c r="I84" s="22" t="str">
        <f t="shared" si="5"/>
        <v/>
      </c>
      <c r="J84" s="22" t="str">
        <f t="shared" si="6"/>
        <v/>
      </c>
      <c r="K84" s="22" t="str">
        <f t="shared" si="7"/>
        <v/>
      </c>
    </row>
    <row r="85" spans="2:11" x14ac:dyDescent="0.35">
      <c r="B85" s="22">
        <f>'Outras emissões de processo'!B326</f>
        <v>0</v>
      </c>
      <c r="C85" s="22">
        <f>'Outras emissões de processo'!E326</f>
        <v>0</v>
      </c>
      <c r="D85" s="22" t="str">
        <f>IF($C85=$C$37,'Outras emissões de processo'!S326,"")</f>
        <v/>
      </c>
      <c r="E85" s="22" t="str">
        <f>IF($C85=$C$38,'Outras emissões de processo'!S326,"")</f>
        <v/>
      </c>
      <c r="F85" s="22" t="str">
        <f t="shared" si="2"/>
        <v/>
      </c>
      <c r="G85" s="22" t="str">
        <f t="shared" si="3"/>
        <v/>
      </c>
      <c r="H85" s="22" t="str">
        <f t="shared" si="4"/>
        <v/>
      </c>
      <c r="I85" s="22" t="str">
        <f t="shared" si="5"/>
        <v/>
      </c>
      <c r="J85" s="22" t="str">
        <f t="shared" si="6"/>
        <v/>
      </c>
      <c r="K85" s="22" t="str">
        <f t="shared" si="7"/>
        <v/>
      </c>
    </row>
    <row r="86" spans="2:11" x14ac:dyDescent="0.35">
      <c r="B86" s="22">
        <f>'Outras emissões de processo'!B327</f>
        <v>0</v>
      </c>
      <c r="C86" s="22">
        <f>'Outras emissões de processo'!E327</f>
        <v>0</v>
      </c>
      <c r="D86" s="22" t="str">
        <f>IF($C86=$C$37,'Outras emissões de processo'!S327,"")</f>
        <v/>
      </c>
      <c r="E86" s="22" t="str">
        <f>IF($C86=$C$38,'Outras emissões de processo'!S327,"")</f>
        <v/>
      </c>
      <c r="F86" s="22" t="str">
        <f t="shared" si="2"/>
        <v/>
      </c>
      <c r="G86" s="22" t="str">
        <f t="shared" si="3"/>
        <v/>
      </c>
      <c r="H86" s="22" t="str">
        <f t="shared" si="4"/>
        <v/>
      </c>
      <c r="I86" s="22" t="str">
        <f t="shared" si="5"/>
        <v/>
      </c>
      <c r="J86" s="22" t="str">
        <f t="shared" si="6"/>
        <v/>
      </c>
      <c r="K86" s="22" t="str">
        <f t="shared" si="7"/>
        <v/>
      </c>
    </row>
    <row r="87" spans="2:11" x14ac:dyDescent="0.35">
      <c r="B87" s="22">
        <f>'Outras emissões de processo'!B328</f>
        <v>0</v>
      </c>
      <c r="C87" s="22">
        <f>'Outras emissões de processo'!E328</f>
        <v>0</v>
      </c>
      <c r="D87" s="22" t="str">
        <f>IF($C87=$C$37,'Outras emissões de processo'!S328,"")</f>
        <v/>
      </c>
      <c r="E87" s="22" t="str">
        <f>IF($C87=$C$38,'Outras emissões de processo'!S328,"")</f>
        <v/>
      </c>
      <c r="F87" s="22" t="str">
        <f t="shared" si="2"/>
        <v/>
      </c>
      <c r="G87" s="22" t="str">
        <f t="shared" si="3"/>
        <v/>
      </c>
      <c r="H87" s="22" t="str">
        <f t="shared" si="4"/>
        <v/>
      </c>
      <c r="I87" s="22" t="str">
        <f t="shared" si="5"/>
        <v/>
      </c>
      <c r="J87" s="22" t="str">
        <f t="shared" si="6"/>
        <v/>
      </c>
      <c r="K87" s="22" t="str">
        <f t="shared" si="7"/>
        <v/>
      </c>
    </row>
    <row r="88" spans="2:11" x14ac:dyDescent="0.35">
      <c r="B88" s="22">
        <f>'Outras emissões de processo'!B329</f>
        <v>0</v>
      </c>
      <c r="C88" s="22">
        <f>'Outras emissões de processo'!E329</f>
        <v>0</v>
      </c>
      <c r="D88" s="22" t="str">
        <f>IF($C88=$C$37,'Outras emissões de processo'!S329,"")</f>
        <v/>
      </c>
      <c r="E88" s="22" t="str">
        <f>IF($C88=$C$38,'Outras emissões de processo'!S329,"")</f>
        <v/>
      </c>
      <c r="F88" s="22" t="str">
        <f t="shared" si="2"/>
        <v/>
      </c>
      <c r="G88" s="22" t="str">
        <f t="shared" si="3"/>
        <v/>
      </c>
      <c r="H88" s="22" t="str">
        <f t="shared" si="4"/>
        <v/>
      </c>
      <c r="I88" s="22" t="str">
        <f t="shared" si="5"/>
        <v/>
      </c>
      <c r="J88" s="22" t="str">
        <f t="shared" si="6"/>
        <v/>
      </c>
      <c r="K88" s="22" t="str">
        <f t="shared" si="7"/>
        <v/>
      </c>
    </row>
    <row r="89" spans="2:11" x14ac:dyDescent="0.35">
      <c r="B89" s="22">
        <f>'Outras emissões de processo'!B330</f>
        <v>0</v>
      </c>
      <c r="C89" s="22">
        <f>'Outras emissões de processo'!E330</f>
        <v>0</v>
      </c>
      <c r="D89" s="22" t="str">
        <f>IF($C89=$C$37,'Outras emissões de processo'!S330,"")</f>
        <v/>
      </c>
      <c r="E89" s="22" t="str">
        <f>IF($C89=$C$38,'Outras emissões de processo'!S330,"")</f>
        <v/>
      </c>
      <c r="F89" s="22" t="str">
        <f t="shared" si="2"/>
        <v/>
      </c>
      <c r="G89" s="22" t="str">
        <f t="shared" si="3"/>
        <v/>
      </c>
      <c r="H89" s="22" t="str">
        <f t="shared" si="4"/>
        <v/>
      </c>
      <c r="I89" s="22" t="str">
        <f t="shared" si="5"/>
        <v/>
      </c>
      <c r="J89" s="22" t="str">
        <f t="shared" si="6"/>
        <v/>
      </c>
      <c r="K89" s="22" t="str">
        <f t="shared" si="7"/>
        <v/>
      </c>
    </row>
    <row r="90" spans="2:11" x14ac:dyDescent="0.35">
      <c r="B90" s="22">
        <f>'Outras emissões de processo'!B331</f>
        <v>0</v>
      </c>
      <c r="C90" s="22">
        <f>'Outras emissões de processo'!E331</f>
        <v>0</v>
      </c>
      <c r="D90" s="22" t="str">
        <f>IF($C90=$C$37,'Outras emissões de processo'!S331,"")</f>
        <v/>
      </c>
      <c r="E90" s="22" t="str">
        <f>IF($C90=$C$38,'Outras emissões de processo'!S331,"")</f>
        <v/>
      </c>
      <c r="F90" s="22" t="str">
        <f t="shared" si="2"/>
        <v/>
      </c>
      <c r="G90" s="22" t="str">
        <f t="shared" si="3"/>
        <v/>
      </c>
      <c r="H90" s="22" t="str">
        <f t="shared" si="4"/>
        <v/>
      </c>
      <c r="I90" s="22" t="str">
        <f t="shared" si="5"/>
        <v/>
      </c>
      <c r="J90" s="22" t="str">
        <f t="shared" si="6"/>
        <v/>
      </c>
      <c r="K90" s="22" t="str">
        <f t="shared" si="7"/>
        <v/>
      </c>
    </row>
    <row r="91" spans="2:11" x14ac:dyDescent="0.35">
      <c r="B91" s="22">
        <f>'Outras emissões de processo'!B332</f>
        <v>0</v>
      </c>
      <c r="C91" s="22">
        <f>'Outras emissões de processo'!E332</f>
        <v>0</v>
      </c>
      <c r="D91" s="22" t="str">
        <f>IF($C91=$C$37,'Outras emissões de processo'!S332,"")</f>
        <v/>
      </c>
      <c r="E91" s="22" t="str">
        <f>IF($C91=$C$38,'Outras emissões de processo'!S332,"")</f>
        <v/>
      </c>
      <c r="F91" s="22" t="str">
        <f t="shared" si="2"/>
        <v/>
      </c>
      <c r="G91" s="22" t="str">
        <f t="shared" si="3"/>
        <v/>
      </c>
      <c r="H91" s="22" t="str">
        <f t="shared" si="4"/>
        <v/>
      </c>
      <c r="I91" s="22" t="str">
        <f t="shared" si="5"/>
        <v/>
      </c>
      <c r="J91" s="22" t="str">
        <f t="shared" si="6"/>
        <v/>
      </c>
      <c r="K91" s="22" t="str">
        <f t="shared" si="7"/>
        <v/>
      </c>
    </row>
    <row r="92" spans="2:11" x14ac:dyDescent="0.35">
      <c r="B92" s="22">
        <f>'Outras emissões de processo'!B333</f>
        <v>0</v>
      </c>
      <c r="C92" s="22">
        <f>'Outras emissões de processo'!E333</f>
        <v>0</v>
      </c>
      <c r="D92" s="22" t="str">
        <f>IF($C92=$C$37,'Outras emissões de processo'!S333,"")</f>
        <v/>
      </c>
      <c r="E92" s="22" t="str">
        <f>IF($C92=$C$38,'Outras emissões de processo'!S333,"")</f>
        <v/>
      </c>
      <c r="F92" s="22" t="str">
        <f t="shared" si="2"/>
        <v/>
      </c>
      <c r="G92" s="22" t="str">
        <f t="shared" si="3"/>
        <v/>
      </c>
      <c r="H92" s="22" t="str">
        <f t="shared" si="4"/>
        <v/>
      </c>
      <c r="I92" s="22" t="str">
        <f t="shared" si="5"/>
        <v/>
      </c>
      <c r="J92" s="22" t="str">
        <f t="shared" si="6"/>
        <v/>
      </c>
      <c r="K92" s="22" t="str">
        <f t="shared" si="7"/>
        <v/>
      </c>
    </row>
    <row r="93" spans="2:11" x14ac:dyDescent="0.35">
      <c r="B93" s="22">
        <f>'Outras emissões de processo'!B334</f>
        <v>0</v>
      </c>
      <c r="C93" s="22">
        <f>'Outras emissões de processo'!E334</f>
        <v>0</v>
      </c>
      <c r="D93" s="22" t="str">
        <f>IF($C93=$C$37,'Outras emissões de processo'!S334,"")</f>
        <v/>
      </c>
      <c r="E93" s="22" t="str">
        <f>IF($C93=$C$38,'Outras emissões de processo'!S334,"")</f>
        <v/>
      </c>
      <c r="F93" s="22" t="str">
        <f t="shared" si="2"/>
        <v/>
      </c>
      <c r="G93" s="22" t="str">
        <f t="shared" si="3"/>
        <v/>
      </c>
      <c r="H93" s="22" t="str">
        <f t="shared" si="4"/>
        <v/>
      </c>
      <c r="I93" s="22" t="str">
        <f t="shared" si="5"/>
        <v/>
      </c>
      <c r="J93" s="22" t="str">
        <f t="shared" si="6"/>
        <v/>
      </c>
      <c r="K93" s="22" t="str">
        <f t="shared" si="7"/>
        <v/>
      </c>
    </row>
    <row r="94" spans="2:11" x14ac:dyDescent="0.35">
      <c r="B94" s="22">
        <f>'Outras emissões de processo'!B335</f>
        <v>0</v>
      </c>
      <c r="C94" s="22">
        <f>'Outras emissões de processo'!E335</f>
        <v>0</v>
      </c>
      <c r="D94" s="22" t="str">
        <f>IF($C94=$C$37,'Outras emissões de processo'!S335,"")</f>
        <v/>
      </c>
      <c r="E94" s="22" t="str">
        <f>IF($C94=$C$38,'Outras emissões de processo'!S335,"")</f>
        <v/>
      </c>
      <c r="F94" s="22" t="str">
        <f t="shared" si="2"/>
        <v/>
      </c>
      <c r="G94" s="22" t="str">
        <f t="shared" si="3"/>
        <v/>
      </c>
      <c r="H94" s="22" t="str">
        <f t="shared" si="4"/>
        <v/>
      </c>
      <c r="I94" s="22" t="str">
        <f t="shared" si="5"/>
        <v/>
      </c>
      <c r="J94" s="22" t="str">
        <f t="shared" si="6"/>
        <v/>
      </c>
      <c r="K94" s="22" t="str">
        <f t="shared" si="7"/>
        <v/>
      </c>
    </row>
    <row r="95" spans="2:11" x14ac:dyDescent="0.35">
      <c r="B95" s="22">
        <f>'Outras emissões de processo'!B336</f>
        <v>0</v>
      </c>
      <c r="C95" s="22">
        <f>'Outras emissões de processo'!E336</f>
        <v>0</v>
      </c>
      <c r="D95" s="22" t="str">
        <f>IF($C95=$C$37,'Outras emissões de processo'!S336,"")</f>
        <v/>
      </c>
      <c r="E95" s="22" t="str">
        <f>IF($C95=$C$38,'Outras emissões de processo'!S336,"")</f>
        <v/>
      </c>
      <c r="F95" s="22" t="str">
        <f t="shared" si="2"/>
        <v/>
      </c>
      <c r="G95" s="22" t="str">
        <f t="shared" si="3"/>
        <v/>
      </c>
      <c r="H95" s="22" t="str">
        <f t="shared" si="4"/>
        <v/>
      </c>
      <c r="I95" s="22" t="str">
        <f t="shared" si="5"/>
        <v/>
      </c>
      <c r="J95" s="22" t="str">
        <f t="shared" si="6"/>
        <v/>
      </c>
      <c r="K95" s="22" t="str">
        <f t="shared" si="7"/>
        <v/>
      </c>
    </row>
    <row r="96" spans="2:11" x14ac:dyDescent="0.35">
      <c r="B96" s="22">
        <f>'Outras emissões de processo'!B337</f>
        <v>0</v>
      </c>
      <c r="C96" s="22">
        <f>'Outras emissões de processo'!E337</f>
        <v>0</v>
      </c>
      <c r="D96" s="22" t="str">
        <f>IF($C96=$C$37,'Outras emissões de processo'!S337,"")</f>
        <v/>
      </c>
      <c r="E96" s="22" t="str">
        <f>IF($C96=$C$38,'Outras emissões de processo'!S337,"")</f>
        <v/>
      </c>
      <c r="F96" s="22" t="str">
        <f t="shared" si="2"/>
        <v/>
      </c>
      <c r="G96" s="22" t="str">
        <f t="shared" si="3"/>
        <v/>
      </c>
      <c r="H96" s="22" t="str">
        <f t="shared" si="4"/>
        <v/>
      </c>
      <c r="I96" s="22" t="str">
        <f t="shared" si="5"/>
        <v/>
      </c>
      <c r="J96" s="22" t="str">
        <f t="shared" si="6"/>
        <v/>
      </c>
      <c r="K96" s="22" t="str">
        <f t="shared" si="7"/>
        <v/>
      </c>
    </row>
    <row r="97" spans="2:11" x14ac:dyDescent="0.35">
      <c r="B97" s="22">
        <f>'Outras emissões de processo'!B338</f>
        <v>0</v>
      </c>
      <c r="C97" s="22">
        <f>'Outras emissões de processo'!E338</f>
        <v>0</v>
      </c>
      <c r="D97" s="22" t="str">
        <f>IF($C97=$C$37,'Outras emissões de processo'!S338,"")</f>
        <v/>
      </c>
      <c r="E97" s="22" t="str">
        <f>IF($C97=$C$38,'Outras emissões de processo'!S338,"")</f>
        <v/>
      </c>
      <c r="F97" s="22" t="str">
        <f t="shared" si="2"/>
        <v/>
      </c>
      <c r="G97" s="22" t="str">
        <f t="shared" si="3"/>
        <v/>
      </c>
      <c r="H97" s="22" t="str">
        <f t="shared" si="4"/>
        <v/>
      </c>
      <c r="I97" s="22" t="str">
        <f t="shared" si="5"/>
        <v/>
      </c>
      <c r="J97" s="22" t="str">
        <f t="shared" si="6"/>
        <v/>
      </c>
      <c r="K97" s="22" t="str">
        <f t="shared" si="7"/>
        <v/>
      </c>
    </row>
    <row r="98" spans="2:11" x14ac:dyDescent="0.35">
      <c r="B98" s="22">
        <f>'Outras emissões de processo'!B339</f>
        <v>0</v>
      </c>
      <c r="C98" s="22">
        <f>'Outras emissões de processo'!E339</f>
        <v>0</v>
      </c>
      <c r="D98" s="22" t="str">
        <f>IF($C98=$C$37,'Outras emissões de processo'!S339,"")</f>
        <v/>
      </c>
      <c r="E98" s="22" t="str">
        <f>IF($C98=$C$38,'Outras emissões de processo'!S339,"")</f>
        <v/>
      </c>
      <c r="F98" s="22" t="str">
        <f t="shared" si="2"/>
        <v/>
      </c>
      <c r="G98" s="22" t="str">
        <f t="shared" si="3"/>
        <v/>
      </c>
      <c r="H98" s="22" t="str">
        <f t="shared" si="4"/>
        <v/>
      </c>
      <c r="I98" s="22" t="str">
        <f t="shared" si="5"/>
        <v/>
      </c>
      <c r="J98" s="22" t="str">
        <f t="shared" si="6"/>
        <v/>
      </c>
      <c r="K98" s="22" t="str">
        <f t="shared" si="7"/>
        <v/>
      </c>
    </row>
    <row r="99" spans="2:11" x14ac:dyDescent="0.35">
      <c r="B99" s="22">
        <f>'Outras emissões de processo'!B340</f>
        <v>0</v>
      </c>
      <c r="C99" s="22">
        <f>'Outras emissões de processo'!E340</f>
        <v>0</v>
      </c>
      <c r="D99" s="22" t="str">
        <f>IF($C99=$C$37,'Outras emissões de processo'!S340,"")</f>
        <v/>
      </c>
      <c r="E99" s="22" t="str">
        <f>IF($C99=$C$38,'Outras emissões de processo'!S340,"")</f>
        <v/>
      </c>
      <c r="F99" s="22" t="str">
        <f t="shared" si="2"/>
        <v/>
      </c>
      <c r="G99" s="22" t="str">
        <f t="shared" si="3"/>
        <v/>
      </c>
      <c r="H99" s="22" t="str">
        <f t="shared" si="4"/>
        <v/>
      </c>
      <c r="I99" s="22" t="str">
        <f t="shared" si="5"/>
        <v/>
      </c>
      <c r="J99" s="22" t="str">
        <f t="shared" si="6"/>
        <v/>
      </c>
      <c r="K99" s="22" t="str">
        <f t="shared" si="7"/>
        <v/>
      </c>
    </row>
    <row r="100" spans="2:11" x14ac:dyDescent="0.35">
      <c r="B100" s="22">
        <f>'Outras emissões de processo'!B341</f>
        <v>0</v>
      </c>
      <c r="C100" s="22">
        <f>'Outras emissões de processo'!E341</f>
        <v>0</v>
      </c>
      <c r="D100" s="22" t="str">
        <f>IF($C100=$C$37,'Outras emissões de processo'!S341,"")</f>
        <v/>
      </c>
      <c r="E100" s="22" t="str">
        <f>IF($C100=$C$38,'Outras emissões de processo'!S341,"")</f>
        <v/>
      </c>
      <c r="F100" s="22" t="str">
        <f t="shared" si="2"/>
        <v/>
      </c>
      <c r="G100" s="22" t="str">
        <f t="shared" si="3"/>
        <v/>
      </c>
      <c r="H100" s="22" t="str">
        <f t="shared" si="4"/>
        <v/>
      </c>
      <c r="I100" s="22" t="str">
        <f t="shared" si="5"/>
        <v/>
      </c>
      <c r="J100" s="22" t="str">
        <f t="shared" si="6"/>
        <v/>
      </c>
      <c r="K100" s="22" t="str">
        <f t="shared" si="7"/>
        <v/>
      </c>
    </row>
    <row r="101" spans="2:11" x14ac:dyDescent="0.35">
      <c r="B101" s="22">
        <f>'Outras emissões de processo'!B342</f>
        <v>0</v>
      </c>
      <c r="C101" s="22">
        <f>'Outras emissões de processo'!E342</f>
        <v>0</v>
      </c>
      <c r="D101" s="22" t="str">
        <f>IF($C101=$C$37,'Outras emissões de processo'!S342,"")</f>
        <v/>
      </c>
      <c r="E101" s="22" t="str">
        <f>IF($C101=$C$38,'Outras emissões de processo'!S342,"")</f>
        <v/>
      </c>
      <c r="F101" s="22" t="str">
        <f t="shared" si="2"/>
        <v/>
      </c>
      <c r="G101" s="22" t="str">
        <f t="shared" si="3"/>
        <v/>
      </c>
      <c r="H101" s="22" t="str">
        <f t="shared" si="4"/>
        <v/>
      </c>
      <c r="I101" s="22" t="str">
        <f t="shared" si="5"/>
        <v/>
      </c>
      <c r="J101" s="22" t="str">
        <f t="shared" si="6"/>
        <v/>
      </c>
      <c r="K101" s="22" t="str">
        <f t="shared" si="7"/>
        <v/>
      </c>
    </row>
    <row r="102" spans="2:11" x14ac:dyDescent="0.35">
      <c r="B102" s="22">
        <f>'Outras emissões de processo'!B343</f>
        <v>0</v>
      </c>
      <c r="C102" s="22">
        <f>'Outras emissões de processo'!E343</f>
        <v>0</v>
      </c>
      <c r="D102" s="22" t="str">
        <f>IF($C102=$C$37,'Outras emissões de processo'!S343,"")</f>
        <v/>
      </c>
      <c r="E102" s="22" t="str">
        <f>IF($C102=$C$38,'Outras emissões de processo'!S343,"")</f>
        <v/>
      </c>
      <c r="F102" s="22" t="str">
        <f t="shared" si="2"/>
        <v/>
      </c>
      <c r="G102" s="22" t="str">
        <f t="shared" si="3"/>
        <v/>
      </c>
      <c r="H102" s="22" t="str">
        <f t="shared" si="4"/>
        <v/>
      </c>
      <c r="I102" s="22" t="str">
        <f t="shared" si="5"/>
        <v/>
      </c>
      <c r="J102" s="22" t="str">
        <f t="shared" si="6"/>
        <v/>
      </c>
      <c r="K102" s="22" t="str">
        <f t="shared" si="7"/>
        <v/>
      </c>
    </row>
    <row r="103" spans="2:11" x14ac:dyDescent="0.35">
      <c r="B103" s="22">
        <f>'Outras emissões de processo'!B344</f>
        <v>0</v>
      </c>
      <c r="C103" s="22">
        <f>'Outras emissões de processo'!E344</f>
        <v>0</v>
      </c>
      <c r="D103" s="22" t="str">
        <f>IF($C103=$C$37,'Outras emissões de processo'!S344,"")</f>
        <v/>
      </c>
      <c r="E103" s="22" t="str">
        <f>IF($C103=$C$38,'Outras emissões de processo'!S344,"")</f>
        <v/>
      </c>
      <c r="F103" s="22" t="str">
        <f t="shared" si="2"/>
        <v/>
      </c>
      <c r="G103" s="22" t="str">
        <f t="shared" si="3"/>
        <v/>
      </c>
      <c r="H103" s="22" t="str">
        <f t="shared" si="4"/>
        <v/>
      </c>
      <c r="I103" s="22" t="str">
        <f t="shared" si="5"/>
        <v/>
      </c>
      <c r="J103" s="22" t="str">
        <f t="shared" si="6"/>
        <v/>
      </c>
      <c r="K103" s="22" t="str">
        <f t="shared" si="7"/>
        <v/>
      </c>
    </row>
    <row r="104" spans="2:11" x14ac:dyDescent="0.35">
      <c r="B104" s="22">
        <f>'Outras emissões de processo'!B345</f>
        <v>0</v>
      </c>
      <c r="C104" s="22">
        <f>'Outras emissões de processo'!E345</f>
        <v>0</v>
      </c>
      <c r="D104" s="22" t="str">
        <f>IF($C104=$C$37,'Outras emissões de processo'!S345,"")</f>
        <v/>
      </c>
      <c r="E104" s="22" t="str">
        <f>IF($C104=$C$38,'Outras emissões de processo'!S345,"")</f>
        <v/>
      </c>
      <c r="F104" s="22" t="str">
        <f t="shared" si="2"/>
        <v/>
      </c>
      <c r="G104" s="22" t="str">
        <f t="shared" si="3"/>
        <v/>
      </c>
      <c r="H104" s="22" t="str">
        <f t="shared" si="4"/>
        <v/>
      </c>
      <c r="I104" s="22" t="str">
        <f t="shared" si="5"/>
        <v/>
      </c>
      <c r="J104" s="22" t="str">
        <f t="shared" si="6"/>
        <v/>
      </c>
      <c r="K104" s="22" t="str">
        <f t="shared" si="7"/>
        <v/>
      </c>
    </row>
    <row r="105" spans="2:11" x14ac:dyDescent="0.35">
      <c r="B105" s="22">
        <f>'Outras emissões de processo'!B346</f>
        <v>0</v>
      </c>
      <c r="C105" s="22">
        <f>'Outras emissões de processo'!E346</f>
        <v>0</v>
      </c>
      <c r="D105" s="22" t="str">
        <f>IF($C105=$C$37,'Outras emissões de processo'!S346,"")</f>
        <v/>
      </c>
      <c r="E105" s="22" t="str">
        <f>IF($C105=$C$38,'Outras emissões de processo'!S346,"")</f>
        <v/>
      </c>
      <c r="F105" s="22" t="str">
        <f t="shared" si="2"/>
        <v/>
      </c>
      <c r="G105" s="22" t="str">
        <f t="shared" si="3"/>
        <v/>
      </c>
      <c r="H105" s="22" t="str">
        <f t="shared" si="4"/>
        <v/>
      </c>
      <c r="I105" s="22" t="str">
        <f t="shared" si="5"/>
        <v/>
      </c>
      <c r="J105" s="22" t="str">
        <f t="shared" si="6"/>
        <v/>
      </c>
      <c r="K105" s="22" t="str">
        <f t="shared" si="7"/>
        <v/>
      </c>
    </row>
    <row r="106" spans="2:11" x14ac:dyDescent="0.35">
      <c r="B106" s="22">
        <f>'Outras emissões de processo'!B347</f>
        <v>0</v>
      </c>
      <c r="C106" s="22">
        <f>'Outras emissões de processo'!E347</f>
        <v>0</v>
      </c>
      <c r="D106" s="22" t="str">
        <f>IF($C106=$C$37,'Outras emissões de processo'!S347,"")</f>
        <v/>
      </c>
      <c r="E106" s="22" t="str">
        <f>IF($C106=$C$38,'Outras emissões de processo'!S347,"")</f>
        <v/>
      </c>
      <c r="F106" s="22" t="str">
        <f t="shared" si="2"/>
        <v/>
      </c>
      <c r="G106" s="22" t="str">
        <f t="shared" si="3"/>
        <v/>
      </c>
      <c r="H106" s="22" t="str">
        <f t="shared" si="4"/>
        <v/>
      </c>
      <c r="I106" s="22" t="str">
        <f t="shared" si="5"/>
        <v/>
      </c>
      <c r="J106" s="22" t="str">
        <f t="shared" si="6"/>
        <v/>
      </c>
      <c r="K106" s="22" t="str">
        <f t="shared" si="7"/>
        <v/>
      </c>
    </row>
    <row r="107" spans="2:11" x14ac:dyDescent="0.35">
      <c r="B107" s="22">
        <f>'Outras emissões de processo'!B348</f>
        <v>0</v>
      </c>
      <c r="C107" s="22">
        <f>'Outras emissões de processo'!E348</f>
        <v>0</v>
      </c>
      <c r="D107" s="22" t="str">
        <f>IF($C107=$C$37,'Outras emissões de processo'!S348,"")</f>
        <v/>
      </c>
      <c r="E107" s="22" t="str">
        <f>IF($C107=$C$38,'Outras emissões de processo'!S348,"")</f>
        <v/>
      </c>
      <c r="F107" s="22" t="str">
        <f t="shared" si="2"/>
        <v/>
      </c>
      <c r="G107" s="22" t="str">
        <f t="shared" si="3"/>
        <v/>
      </c>
      <c r="H107" s="22" t="str">
        <f t="shared" si="4"/>
        <v/>
      </c>
      <c r="I107" s="22" t="str">
        <f t="shared" si="5"/>
        <v/>
      </c>
      <c r="J107" s="22" t="str">
        <f t="shared" si="6"/>
        <v/>
      </c>
      <c r="K107" s="22" t="str">
        <f t="shared" si="7"/>
        <v/>
      </c>
    </row>
    <row r="108" spans="2:11" x14ac:dyDescent="0.35">
      <c r="B108" s="22">
        <f>'Outras emissões de processo'!B349</f>
        <v>0</v>
      </c>
      <c r="C108" s="22">
        <f>'Outras emissões de processo'!E349</f>
        <v>0</v>
      </c>
      <c r="D108" s="22" t="str">
        <f>IF($C108=$C$37,'Outras emissões de processo'!S349,"")</f>
        <v/>
      </c>
      <c r="E108" s="22" t="str">
        <f>IF($C108=$C$38,'Outras emissões de processo'!S349,"")</f>
        <v/>
      </c>
      <c r="F108" s="22" t="str">
        <f t="shared" si="2"/>
        <v/>
      </c>
      <c r="G108" s="22" t="str">
        <f t="shared" si="3"/>
        <v/>
      </c>
      <c r="H108" s="22" t="str">
        <f t="shared" si="4"/>
        <v/>
      </c>
      <c r="I108" s="22" t="str">
        <f t="shared" si="5"/>
        <v/>
      </c>
      <c r="J108" s="22" t="str">
        <f t="shared" si="6"/>
        <v/>
      </c>
      <c r="K108" s="22" t="str">
        <f t="shared" si="7"/>
        <v/>
      </c>
    </row>
    <row r="109" spans="2:11" x14ac:dyDescent="0.35">
      <c r="B109" s="22">
        <f>'Outras emissões de processo'!B350</f>
        <v>0</v>
      </c>
      <c r="C109" s="22">
        <f>'Outras emissões de processo'!E350</f>
        <v>0</v>
      </c>
      <c r="D109" s="22" t="str">
        <f>IF($C109=$C$37,'Outras emissões de processo'!S350,"")</f>
        <v/>
      </c>
      <c r="E109" s="22" t="str">
        <f>IF($C109=$C$38,'Outras emissões de processo'!S350,"")</f>
        <v/>
      </c>
      <c r="F109" s="22" t="str">
        <f t="shared" si="2"/>
        <v/>
      </c>
      <c r="G109" s="22" t="str">
        <f t="shared" si="3"/>
        <v/>
      </c>
      <c r="H109" s="22" t="str">
        <f t="shared" si="4"/>
        <v/>
      </c>
      <c r="I109" s="22" t="str">
        <f t="shared" si="5"/>
        <v/>
      </c>
      <c r="J109" s="22" t="str">
        <f t="shared" si="6"/>
        <v/>
      </c>
      <c r="K109" s="22" t="str">
        <f t="shared" si="7"/>
        <v/>
      </c>
    </row>
    <row r="110" spans="2:11" x14ac:dyDescent="0.35">
      <c r="B110" s="22">
        <f>'Outras emissões de processo'!B351</f>
        <v>0</v>
      </c>
      <c r="C110" s="22">
        <f>'Outras emissões de processo'!E351</f>
        <v>0</v>
      </c>
      <c r="D110" s="22" t="str">
        <f>IF($C110=$C$37,'Outras emissões de processo'!S351,"")</f>
        <v/>
      </c>
      <c r="E110" s="22" t="str">
        <f>IF($C110=$C$38,'Outras emissões de processo'!S351,"")</f>
        <v/>
      </c>
      <c r="F110" s="22" t="str">
        <f t="shared" si="2"/>
        <v/>
      </c>
      <c r="G110" s="22" t="str">
        <f t="shared" si="3"/>
        <v/>
      </c>
      <c r="H110" s="22" t="str">
        <f t="shared" si="4"/>
        <v/>
      </c>
      <c r="I110" s="22" t="str">
        <f t="shared" si="5"/>
        <v/>
      </c>
      <c r="J110" s="22" t="str">
        <f t="shared" si="6"/>
        <v/>
      </c>
      <c r="K110" s="22" t="str">
        <f t="shared" si="7"/>
        <v/>
      </c>
    </row>
    <row r="111" spans="2:11" x14ac:dyDescent="0.35">
      <c r="B111" s="22">
        <f>'Outras emissões de processo'!B352</f>
        <v>0</v>
      </c>
      <c r="C111" s="22">
        <f>'Outras emissões de processo'!E352</f>
        <v>0</v>
      </c>
      <c r="D111" s="22" t="str">
        <f>IF($C111=$C$37,'Outras emissões de processo'!S352,"")</f>
        <v/>
      </c>
      <c r="E111" s="22" t="str">
        <f>IF($C111=$C$38,'Outras emissões de processo'!S352,"")</f>
        <v/>
      </c>
      <c r="F111" s="22" t="str">
        <f t="shared" si="2"/>
        <v/>
      </c>
      <c r="G111" s="22" t="str">
        <f t="shared" si="3"/>
        <v/>
      </c>
      <c r="H111" s="22" t="str">
        <f t="shared" si="4"/>
        <v/>
      </c>
      <c r="I111" s="22" t="str">
        <f t="shared" si="5"/>
        <v/>
      </c>
      <c r="J111" s="22" t="str">
        <f t="shared" si="6"/>
        <v/>
      </c>
      <c r="K111" s="22" t="str">
        <f t="shared" si="7"/>
        <v/>
      </c>
    </row>
    <row r="112" spans="2:11" x14ac:dyDescent="0.35">
      <c r="B112" s="22">
        <f>'Outras emissões de processo'!B353</f>
        <v>0</v>
      </c>
      <c r="C112" s="22">
        <f>'Outras emissões de processo'!E353</f>
        <v>0</v>
      </c>
      <c r="D112" s="22" t="str">
        <f>IF($C112=$C$37,'Outras emissões de processo'!S353,"")</f>
        <v/>
      </c>
      <c r="E112" s="22" t="str">
        <f>IF($C112=$C$38,'Outras emissões de processo'!S353,"")</f>
        <v/>
      </c>
      <c r="F112" s="22" t="str">
        <f t="shared" si="2"/>
        <v/>
      </c>
      <c r="G112" s="22" t="str">
        <f t="shared" si="3"/>
        <v/>
      </c>
      <c r="H112" s="22" t="str">
        <f t="shared" si="4"/>
        <v/>
      </c>
      <c r="I112" s="22" t="str">
        <f t="shared" si="5"/>
        <v/>
      </c>
      <c r="J112" s="22" t="str">
        <f t="shared" si="6"/>
        <v/>
      </c>
      <c r="K112" s="22" t="str">
        <f t="shared" si="7"/>
        <v/>
      </c>
    </row>
    <row r="113" spans="2:11" x14ac:dyDescent="0.35">
      <c r="B113" s="22">
        <f>'Outras emissões de processo'!B354</f>
        <v>0</v>
      </c>
      <c r="C113" s="22">
        <f>'Outras emissões de processo'!E354</f>
        <v>0</v>
      </c>
      <c r="D113" s="22" t="str">
        <f>IF($C113=$C$37,'Outras emissões de processo'!S354,"")</f>
        <v/>
      </c>
      <c r="E113" s="22" t="str">
        <f>IF($C113=$C$38,'Outras emissões de processo'!S354,"")</f>
        <v/>
      </c>
      <c r="F113" s="22" t="str">
        <f t="shared" si="2"/>
        <v/>
      </c>
      <c r="G113" s="22" t="str">
        <f t="shared" si="3"/>
        <v/>
      </c>
      <c r="H113" s="22" t="str">
        <f t="shared" si="4"/>
        <v/>
      </c>
      <c r="I113" s="22" t="str">
        <f t="shared" si="5"/>
        <v/>
      </c>
      <c r="J113" s="22" t="str">
        <f t="shared" si="6"/>
        <v/>
      </c>
      <c r="K113" s="22" t="str">
        <f t="shared" si="7"/>
        <v/>
      </c>
    </row>
    <row r="114" spans="2:11" x14ac:dyDescent="0.35">
      <c r="B114" s="22">
        <f>'Outras emissões de processo'!B355</f>
        <v>0</v>
      </c>
      <c r="C114" s="22">
        <f>'Outras emissões de processo'!E355</f>
        <v>0</v>
      </c>
      <c r="D114" s="22" t="str">
        <f>IF($C114=$C$37,'Outras emissões de processo'!S355,"")</f>
        <v/>
      </c>
      <c r="E114" s="22" t="str">
        <f>IF($C114=$C$38,'Outras emissões de processo'!S355,"")</f>
        <v/>
      </c>
      <c r="F114" s="22" t="str">
        <f t="shared" ref="F114:F148" si="8">IF($B114=F$47,D114,"")</f>
        <v/>
      </c>
      <c r="G114" s="22" t="str">
        <f t="shared" ref="G114:G148" si="9">IF($B114=F$47,E114,"")</f>
        <v/>
      </c>
      <c r="H114" s="22" t="str">
        <f t="shared" ref="H114:H148" si="10">IF($B114=H$47,D114,"")</f>
        <v/>
      </c>
      <c r="I114" s="22" t="str">
        <f t="shared" ref="I114:I148" si="11">IF($B114=H$47,E114,"")</f>
        <v/>
      </c>
      <c r="J114" s="22" t="str">
        <f t="shared" ref="J114:J148" si="12">IF($B114=J$47,D114,"")</f>
        <v/>
      </c>
      <c r="K114" s="22" t="str">
        <f t="shared" ref="K114:K148" si="13">IF($B114=J$47,E114,"")</f>
        <v/>
      </c>
    </row>
    <row r="115" spans="2:11" x14ac:dyDescent="0.35">
      <c r="B115" s="22">
        <f>'Outras emissões de processo'!B356</f>
        <v>0</v>
      </c>
      <c r="C115" s="22">
        <f>'Outras emissões de processo'!E356</f>
        <v>0</v>
      </c>
      <c r="D115" s="22" t="str">
        <f>IF($C115=$C$37,'Outras emissões de processo'!S356,"")</f>
        <v/>
      </c>
      <c r="E115" s="22" t="str">
        <f>IF($C115=$C$38,'Outras emissões de processo'!S356,"")</f>
        <v/>
      </c>
      <c r="F115" s="22" t="str">
        <f t="shared" si="8"/>
        <v/>
      </c>
      <c r="G115" s="22" t="str">
        <f t="shared" si="9"/>
        <v/>
      </c>
      <c r="H115" s="22" t="str">
        <f t="shared" si="10"/>
        <v/>
      </c>
      <c r="I115" s="22" t="str">
        <f t="shared" si="11"/>
        <v/>
      </c>
      <c r="J115" s="22" t="str">
        <f t="shared" si="12"/>
        <v/>
      </c>
      <c r="K115" s="22" t="str">
        <f t="shared" si="13"/>
        <v/>
      </c>
    </row>
    <row r="116" spans="2:11" x14ac:dyDescent="0.35">
      <c r="B116" s="22">
        <f>'Outras emissões de processo'!B357</f>
        <v>0</v>
      </c>
      <c r="C116" s="22">
        <f>'Outras emissões de processo'!E357</f>
        <v>0</v>
      </c>
      <c r="D116" s="22" t="str">
        <f>IF($C116=$C$37,'Outras emissões de processo'!S357,"")</f>
        <v/>
      </c>
      <c r="E116" s="22" t="str">
        <f>IF($C116=$C$38,'Outras emissões de processo'!S357,"")</f>
        <v/>
      </c>
      <c r="F116" s="22" t="str">
        <f t="shared" si="8"/>
        <v/>
      </c>
      <c r="G116" s="22" t="str">
        <f t="shared" si="9"/>
        <v/>
      </c>
      <c r="H116" s="22" t="str">
        <f t="shared" si="10"/>
        <v/>
      </c>
      <c r="I116" s="22" t="str">
        <f t="shared" si="11"/>
        <v/>
      </c>
      <c r="J116" s="22" t="str">
        <f t="shared" si="12"/>
        <v/>
      </c>
      <c r="K116" s="22" t="str">
        <f t="shared" si="13"/>
        <v/>
      </c>
    </row>
    <row r="117" spans="2:11" x14ac:dyDescent="0.35">
      <c r="B117" s="22">
        <f>'Outras emissões de processo'!B358</f>
        <v>0</v>
      </c>
      <c r="C117" s="22">
        <f>'Outras emissões de processo'!E358</f>
        <v>0</v>
      </c>
      <c r="D117" s="22" t="str">
        <f>IF($C117=$C$37,'Outras emissões de processo'!S358,"")</f>
        <v/>
      </c>
      <c r="E117" s="22" t="str">
        <f>IF($C117=$C$38,'Outras emissões de processo'!S358,"")</f>
        <v/>
      </c>
      <c r="F117" s="22" t="str">
        <f t="shared" si="8"/>
        <v/>
      </c>
      <c r="G117" s="22" t="str">
        <f t="shared" si="9"/>
        <v/>
      </c>
      <c r="H117" s="22" t="str">
        <f t="shared" si="10"/>
        <v/>
      </c>
      <c r="I117" s="22" t="str">
        <f t="shared" si="11"/>
        <v/>
      </c>
      <c r="J117" s="22" t="str">
        <f t="shared" si="12"/>
        <v/>
      </c>
      <c r="K117" s="22" t="str">
        <f t="shared" si="13"/>
        <v/>
      </c>
    </row>
    <row r="118" spans="2:11" x14ac:dyDescent="0.35">
      <c r="B118" s="22">
        <f>'Outras emissões de processo'!B359</f>
        <v>0</v>
      </c>
      <c r="C118" s="22">
        <f>'Outras emissões de processo'!E359</f>
        <v>0</v>
      </c>
      <c r="D118" s="22" t="str">
        <f>IF($C118=$C$37,'Outras emissões de processo'!S359,"")</f>
        <v/>
      </c>
      <c r="E118" s="22" t="str">
        <f>IF($C118=$C$38,'Outras emissões de processo'!S359,"")</f>
        <v/>
      </c>
      <c r="F118" s="22" t="str">
        <f t="shared" si="8"/>
        <v/>
      </c>
      <c r="G118" s="22" t="str">
        <f t="shared" si="9"/>
        <v/>
      </c>
      <c r="H118" s="22" t="str">
        <f t="shared" si="10"/>
        <v/>
      </c>
      <c r="I118" s="22" t="str">
        <f t="shared" si="11"/>
        <v/>
      </c>
      <c r="J118" s="22" t="str">
        <f t="shared" si="12"/>
        <v/>
      </c>
      <c r="K118" s="22" t="str">
        <f t="shared" si="13"/>
        <v/>
      </c>
    </row>
    <row r="119" spans="2:11" x14ac:dyDescent="0.35">
      <c r="B119" s="22">
        <f>'Outras emissões de processo'!B360</f>
        <v>0</v>
      </c>
      <c r="C119" s="22">
        <f>'Outras emissões de processo'!E360</f>
        <v>0</v>
      </c>
      <c r="D119" s="22" t="str">
        <f>IF($C119=$C$37,'Outras emissões de processo'!S360,"")</f>
        <v/>
      </c>
      <c r="E119" s="22" t="str">
        <f>IF($C119=$C$38,'Outras emissões de processo'!S360,"")</f>
        <v/>
      </c>
      <c r="F119" s="22" t="str">
        <f t="shared" si="8"/>
        <v/>
      </c>
      <c r="G119" s="22" t="str">
        <f t="shared" si="9"/>
        <v/>
      </c>
      <c r="H119" s="22" t="str">
        <f t="shared" si="10"/>
        <v/>
      </c>
      <c r="I119" s="22" t="str">
        <f t="shared" si="11"/>
        <v/>
      </c>
      <c r="J119" s="22" t="str">
        <f t="shared" si="12"/>
        <v/>
      </c>
      <c r="K119" s="22" t="str">
        <f t="shared" si="13"/>
        <v/>
      </c>
    </row>
    <row r="120" spans="2:11" x14ac:dyDescent="0.35">
      <c r="B120" s="22">
        <f>'Outras emissões de processo'!B361</f>
        <v>0</v>
      </c>
      <c r="C120" s="22">
        <f>'Outras emissões de processo'!E361</f>
        <v>0</v>
      </c>
      <c r="D120" s="22" t="str">
        <f>IF($C120=$C$37,'Outras emissões de processo'!S361,"")</f>
        <v/>
      </c>
      <c r="E120" s="22" t="str">
        <f>IF($C120=$C$38,'Outras emissões de processo'!S361,"")</f>
        <v/>
      </c>
      <c r="F120" s="22" t="str">
        <f t="shared" si="8"/>
        <v/>
      </c>
      <c r="G120" s="22" t="str">
        <f t="shared" si="9"/>
        <v/>
      </c>
      <c r="H120" s="22" t="str">
        <f t="shared" si="10"/>
        <v/>
      </c>
      <c r="I120" s="22" t="str">
        <f t="shared" si="11"/>
        <v/>
      </c>
      <c r="J120" s="22" t="str">
        <f t="shared" si="12"/>
        <v/>
      </c>
      <c r="K120" s="22" t="str">
        <f t="shared" si="13"/>
        <v/>
      </c>
    </row>
    <row r="121" spans="2:11" x14ac:dyDescent="0.35">
      <c r="B121" s="22">
        <f>'Outras emissões de processo'!B362</f>
        <v>0</v>
      </c>
      <c r="C121" s="22">
        <f>'Outras emissões de processo'!E362</f>
        <v>0</v>
      </c>
      <c r="D121" s="22" t="str">
        <f>IF($C121=$C$37,'Outras emissões de processo'!S362,"")</f>
        <v/>
      </c>
      <c r="E121" s="22" t="str">
        <f>IF($C121=$C$38,'Outras emissões de processo'!S362,"")</f>
        <v/>
      </c>
      <c r="F121" s="22" t="str">
        <f t="shared" si="8"/>
        <v/>
      </c>
      <c r="G121" s="22" t="str">
        <f t="shared" si="9"/>
        <v/>
      </c>
      <c r="H121" s="22" t="str">
        <f t="shared" si="10"/>
        <v/>
      </c>
      <c r="I121" s="22" t="str">
        <f t="shared" si="11"/>
        <v/>
      </c>
      <c r="J121" s="22" t="str">
        <f t="shared" si="12"/>
        <v/>
      </c>
      <c r="K121" s="22" t="str">
        <f t="shared" si="13"/>
        <v/>
      </c>
    </row>
    <row r="122" spans="2:11" x14ac:dyDescent="0.35">
      <c r="B122" s="22">
        <f>'Outras emissões de processo'!B363</f>
        <v>0</v>
      </c>
      <c r="C122" s="22">
        <f>'Outras emissões de processo'!E363</f>
        <v>0</v>
      </c>
      <c r="D122" s="22" t="str">
        <f>IF($C122=$C$37,'Outras emissões de processo'!S363,"")</f>
        <v/>
      </c>
      <c r="E122" s="22" t="str">
        <f>IF($C122=$C$38,'Outras emissões de processo'!S363,"")</f>
        <v/>
      </c>
      <c r="F122" s="22" t="str">
        <f t="shared" si="8"/>
        <v/>
      </c>
      <c r="G122" s="22" t="str">
        <f t="shared" si="9"/>
        <v/>
      </c>
      <c r="H122" s="22" t="str">
        <f t="shared" si="10"/>
        <v/>
      </c>
      <c r="I122" s="22" t="str">
        <f t="shared" si="11"/>
        <v/>
      </c>
      <c r="J122" s="22" t="str">
        <f t="shared" si="12"/>
        <v/>
      </c>
      <c r="K122" s="22" t="str">
        <f t="shared" si="13"/>
        <v/>
      </c>
    </row>
    <row r="123" spans="2:11" x14ac:dyDescent="0.35">
      <c r="B123" s="22">
        <f>'Outras emissões de processo'!B364</f>
        <v>0</v>
      </c>
      <c r="C123" s="22">
        <f>'Outras emissões de processo'!E364</f>
        <v>0</v>
      </c>
      <c r="D123" s="22" t="str">
        <f>IF($C123=$C$37,'Outras emissões de processo'!S364,"")</f>
        <v/>
      </c>
      <c r="E123" s="22" t="str">
        <f>IF($C123=$C$38,'Outras emissões de processo'!S364,"")</f>
        <v/>
      </c>
      <c r="F123" s="22" t="str">
        <f t="shared" si="8"/>
        <v/>
      </c>
      <c r="G123" s="22" t="str">
        <f t="shared" si="9"/>
        <v/>
      </c>
      <c r="H123" s="22" t="str">
        <f t="shared" si="10"/>
        <v/>
      </c>
      <c r="I123" s="22" t="str">
        <f t="shared" si="11"/>
        <v/>
      </c>
      <c r="J123" s="22" t="str">
        <f t="shared" si="12"/>
        <v/>
      </c>
      <c r="K123" s="22" t="str">
        <f t="shared" si="13"/>
        <v/>
      </c>
    </row>
    <row r="124" spans="2:11" x14ac:dyDescent="0.35">
      <c r="B124" s="22">
        <f>'Outras emissões de processo'!B365</f>
        <v>0</v>
      </c>
      <c r="C124" s="22">
        <f>'Outras emissões de processo'!E365</f>
        <v>0</v>
      </c>
      <c r="D124" s="22" t="str">
        <f>IF($C124=$C$37,'Outras emissões de processo'!S365,"")</f>
        <v/>
      </c>
      <c r="E124" s="22" t="str">
        <f>IF($C124=$C$38,'Outras emissões de processo'!S365,"")</f>
        <v/>
      </c>
      <c r="F124" s="22" t="str">
        <f t="shared" si="8"/>
        <v/>
      </c>
      <c r="G124" s="22" t="str">
        <f t="shared" si="9"/>
        <v/>
      </c>
      <c r="H124" s="22" t="str">
        <f t="shared" si="10"/>
        <v/>
      </c>
      <c r="I124" s="22" t="str">
        <f t="shared" si="11"/>
        <v/>
      </c>
      <c r="J124" s="22" t="str">
        <f t="shared" si="12"/>
        <v/>
      </c>
      <c r="K124" s="22" t="str">
        <f t="shared" si="13"/>
        <v/>
      </c>
    </row>
    <row r="125" spans="2:11" x14ac:dyDescent="0.35">
      <c r="B125" s="22">
        <f>'Outras emissões de processo'!B366</f>
        <v>0</v>
      </c>
      <c r="C125" s="22">
        <f>'Outras emissões de processo'!E366</f>
        <v>0</v>
      </c>
      <c r="D125" s="22" t="str">
        <f>IF($C125=$C$37,'Outras emissões de processo'!S366,"")</f>
        <v/>
      </c>
      <c r="E125" s="22" t="str">
        <f>IF($C125=$C$38,'Outras emissões de processo'!S366,"")</f>
        <v/>
      </c>
      <c r="F125" s="22" t="str">
        <f t="shared" si="8"/>
        <v/>
      </c>
      <c r="G125" s="22" t="str">
        <f t="shared" si="9"/>
        <v/>
      </c>
      <c r="H125" s="22" t="str">
        <f t="shared" si="10"/>
        <v/>
      </c>
      <c r="I125" s="22" t="str">
        <f t="shared" si="11"/>
        <v/>
      </c>
      <c r="J125" s="22" t="str">
        <f t="shared" si="12"/>
        <v/>
      </c>
      <c r="K125" s="22" t="str">
        <f t="shared" si="13"/>
        <v/>
      </c>
    </row>
    <row r="126" spans="2:11" x14ac:dyDescent="0.35">
      <c r="B126" s="22">
        <f>'Outras emissões de processo'!B367</f>
        <v>0</v>
      </c>
      <c r="C126" s="22">
        <f>'Outras emissões de processo'!E367</f>
        <v>0</v>
      </c>
      <c r="D126" s="22" t="str">
        <f>IF($C126=$C$37,'Outras emissões de processo'!S367,"")</f>
        <v/>
      </c>
      <c r="E126" s="22" t="str">
        <f>IF($C126=$C$38,'Outras emissões de processo'!S367,"")</f>
        <v/>
      </c>
      <c r="F126" s="22" t="str">
        <f t="shared" si="8"/>
        <v/>
      </c>
      <c r="G126" s="22" t="str">
        <f t="shared" si="9"/>
        <v/>
      </c>
      <c r="H126" s="22" t="str">
        <f t="shared" si="10"/>
        <v/>
      </c>
      <c r="I126" s="22" t="str">
        <f t="shared" si="11"/>
        <v/>
      </c>
      <c r="J126" s="22" t="str">
        <f t="shared" si="12"/>
        <v/>
      </c>
      <c r="K126" s="22" t="str">
        <f t="shared" si="13"/>
        <v/>
      </c>
    </row>
    <row r="127" spans="2:11" x14ac:dyDescent="0.35">
      <c r="B127" s="22">
        <f>'Outras emissões de processo'!B368</f>
        <v>0</v>
      </c>
      <c r="C127" s="22">
        <f>'Outras emissões de processo'!E368</f>
        <v>0</v>
      </c>
      <c r="D127" s="22" t="str">
        <f>IF($C127=$C$37,'Outras emissões de processo'!S368,"")</f>
        <v/>
      </c>
      <c r="E127" s="22" t="str">
        <f>IF($C127=$C$38,'Outras emissões de processo'!S368,"")</f>
        <v/>
      </c>
      <c r="F127" s="22" t="str">
        <f t="shared" si="8"/>
        <v/>
      </c>
      <c r="G127" s="22" t="str">
        <f t="shared" si="9"/>
        <v/>
      </c>
      <c r="H127" s="22" t="str">
        <f t="shared" si="10"/>
        <v/>
      </c>
      <c r="I127" s="22" t="str">
        <f t="shared" si="11"/>
        <v/>
      </c>
      <c r="J127" s="22" t="str">
        <f t="shared" si="12"/>
        <v/>
      </c>
      <c r="K127" s="22" t="str">
        <f t="shared" si="13"/>
        <v/>
      </c>
    </row>
    <row r="128" spans="2:11" x14ac:dyDescent="0.35">
      <c r="B128" s="22">
        <f>'Outras emissões de processo'!B369</f>
        <v>0</v>
      </c>
      <c r="C128" s="22">
        <f>'Outras emissões de processo'!E369</f>
        <v>0</v>
      </c>
      <c r="D128" s="22" t="str">
        <f>IF($C128=$C$37,'Outras emissões de processo'!S369,"")</f>
        <v/>
      </c>
      <c r="E128" s="22" t="str">
        <f>IF($C128=$C$38,'Outras emissões de processo'!S369,"")</f>
        <v/>
      </c>
      <c r="F128" s="22" t="str">
        <f t="shared" si="8"/>
        <v/>
      </c>
      <c r="G128" s="22" t="str">
        <f t="shared" si="9"/>
        <v/>
      </c>
      <c r="H128" s="22" t="str">
        <f t="shared" si="10"/>
        <v/>
      </c>
      <c r="I128" s="22" t="str">
        <f t="shared" si="11"/>
        <v/>
      </c>
      <c r="J128" s="22" t="str">
        <f t="shared" si="12"/>
        <v/>
      </c>
      <c r="K128" s="22" t="str">
        <f t="shared" si="13"/>
        <v/>
      </c>
    </row>
    <row r="129" spans="2:11" x14ac:dyDescent="0.35">
      <c r="B129" s="22">
        <f>'Outras emissões de processo'!B370</f>
        <v>0</v>
      </c>
      <c r="C129" s="22">
        <f>'Outras emissões de processo'!E370</f>
        <v>0</v>
      </c>
      <c r="D129" s="22" t="str">
        <f>IF($C129=$C$37,'Outras emissões de processo'!S370,"")</f>
        <v/>
      </c>
      <c r="E129" s="22" t="str">
        <f>IF($C129=$C$38,'Outras emissões de processo'!S370,"")</f>
        <v/>
      </c>
      <c r="F129" s="22" t="str">
        <f t="shared" si="8"/>
        <v/>
      </c>
      <c r="G129" s="22" t="str">
        <f t="shared" si="9"/>
        <v/>
      </c>
      <c r="H129" s="22" t="str">
        <f t="shared" si="10"/>
        <v/>
      </c>
      <c r="I129" s="22" t="str">
        <f t="shared" si="11"/>
        <v/>
      </c>
      <c r="J129" s="22" t="str">
        <f t="shared" si="12"/>
        <v/>
      </c>
      <c r="K129" s="22" t="str">
        <f t="shared" si="13"/>
        <v/>
      </c>
    </row>
    <row r="130" spans="2:11" x14ac:dyDescent="0.35">
      <c r="B130" s="22">
        <f>'Outras emissões de processo'!B371</f>
        <v>0</v>
      </c>
      <c r="C130" s="22">
        <f>'Outras emissões de processo'!E371</f>
        <v>0</v>
      </c>
      <c r="D130" s="22" t="str">
        <f>IF($C130=$C$37,'Outras emissões de processo'!S371,"")</f>
        <v/>
      </c>
      <c r="E130" s="22" t="str">
        <f>IF($C130=$C$38,'Outras emissões de processo'!S371,"")</f>
        <v/>
      </c>
      <c r="F130" s="22" t="str">
        <f t="shared" si="8"/>
        <v/>
      </c>
      <c r="G130" s="22" t="str">
        <f t="shared" si="9"/>
        <v/>
      </c>
      <c r="H130" s="22" t="str">
        <f t="shared" si="10"/>
        <v/>
      </c>
      <c r="I130" s="22" t="str">
        <f t="shared" si="11"/>
        <v/>
      </c>
      <c r="J130" s="22" t="str">
        <f t="shared" si="12"/>
        <v/>
      </c>
      <c r="K130" s="22" t="str">
        <f t="shared" si="13"/>
        <v/>
      </c>
    </row>
    <row r="131" spans="2:11" x14ac:dyDescent="0.35">
      <c r="B131" s="22">
        <f>'Outras emissões de processo'!B372</f>
        <v>0</v>
      </c>
      <c r="C131" s="22">
        <f>'Outras emissões de processo'!E372</f>
        <v>0</v>
      </c>
      <c r="D131" s="22" t="str">
        <f>IF($C131=$C$37,'Outras emissões de processo'!S372,"")</f>
        <v/>
      </c>
      <c r="E131" s="22" t="str">
        <f>IF($C131=$C$38,'Outras emissões de processo'!S372,"")</f>
        <v/>
      </c>
      <c r="F131" s="22" t="str">
        <f t="shared" si="8"/>
        <v/>
      </c>
      <c r="G131" s="22" t="str">
        <f t="shared" si="9"/>
        <v/>
      </c>
      <c r="H131" s="22" t="str">
        <f t="shared" si="10"/>
        <v/>
      </c>
      <c r="I131" s="22" t="str">
        <f t="shared" si="11"/>
        <v/>
      </c>
      <c r="J131" s="22" t="str">
        <f t="shared" si="12"/>
        <v/>
      </c>
      <c r="K131" s="22" t="str">
        <f t="shared" si="13"/>
        <v/>
      </c>
    </row>
    <row r="132" spans="2:11" x14ac:dyDescent="0.35">
      <c r="B132" s="22">
        <f>'Outras emissões de processo'!B373</f>
        <v>0</v>
      </c>
      <c r="C132" s="22">
        <f>'Outras emissões de processo'!E373</f>
        <v>0</v>
      </c>
      <c r="D132" s="22" t="str">
        <f>IF($C132=$C$37,'Outras emissões de processo'!S373,"")</f>
        <v/>
      </c>
      <c r="E132" s="22" t="str">
        <f>IF($C132=$C$38,'Outras emissões de processo'!S373,"")</f>
        <v/>
      </c>
      <c r="F132" s="22" t="str">
        <f t="shared" si="8"/>
        <v/>
      </c>
      <c r="G132" s="22" t="str">
        <f t="shared" si="9"/>
        <v/>
      </c>
      <c r="H132" s="22" t="str">
        <f t="shared" si="10"/>
        <v/>
      </c>
      <c r="I132" s="22" t="str">
        <f t="shared" si="11"/>
        <v/>
      </c>
      <c r="J132" s="22" t="str">
        <f t="shared" si="12"/>
        <v/>
      </c>
      <c r="K132" s="22" t="str">
        <f t="shared" si="13"/>
        <v/>
      </c>
    </row>
    <row r="133" spans="2:11" x14ac:dyDescent="0.35">
      <c r="B133" s="22">
        <f>'Outras emissões de processo'!B374</f>
        <v>0</v>
      </c>
      <c r="C133" s="22">
        <f>'Outras emissões de processo'!E374</f>
        <v>0</v>
      </c>
      <c r="D133" s="22" t="str">
        <f>IF($C133=$C$37,'Outras emissões de processo'!S374,"")</f>
        <v/>
      </c>
      <c r="E133" s="22" t="str">
        <f>IF($C133=$C$38,'Outras emissões de processo'!S374,"")</f>
        <v/>
      </c>
      <c r="F133" s="22" t="str">
        <f t="shared" si="8"/>
        <v/>
      </c>
      <c r="G133" s="22" t="str">
        <f t="shared" si="9"/>
        <v/>
      </c>
      <c r="H133" s="22" t="str">
        <f t="shared" si="10"/>
        <v/>
      </c>
      <c r="I133" s="22" t="str">
        <f t="shared" si="11"/>
        <v/>
      </c>
      <c r="J133" s="22" t="str">
        <f t="shared" si="12"/>
        <v/>
      </c>
      <c r="K133" s="22" t="str">
        <f t="shared" si="13"/>
        <v/>
      </c>
    </row>
    <row r="134" spans="2:11" x14ac:dyDescent="0.35">
      <c r="B134" s="22">
        <f>'Outras emissões de processo'!B375</f>
        <v>0</v>
      </c>
      <c r="C134" s="22">
        <f>'Outras emissões de processo'!E375</f>
        <v>0</v>
      </c>
      <c r="D134" s="22" t="str">
        <f>IF($C134=$C$37,'Outras emissões de processo'!S375,"")</f>
        <v/>
      </c>
      <c r="E134" s="22" t="str">
        <f>IF($C134=$C$38,'Outras emissões de processo'!S375,"")</f>
        <v/>
      </c>
      <c r="F134" s="22" t="str">
        <f t="shared" si="8"/>
        <v/>
      </c>
      <c r="G134" s="22" t="str">
        <f t="shared" si="9"/>
        <v/>
      </c>
      <c r="H134" s="22" t="str">
        <f t="shared" si="10"/>
        <v/>
      </c>
      <c r="I134" s="22" t="str">
        <f t="shared" si="11"/>
        <v/>
      </c>
      <c r="J134" s="22" t="str">
        <f t="shared" si="12"/>
        <v/>
      </c>
      <c r="K134" s="22" t="str">
        <f t="shared" si="13"/>
        <v/>
      </c>
    </row>
    <row r="135" spans="2:11" x14ac:dyDescent="0.35">
      <c r="B135" s="22">
        <f>'Outras emissões de processo'!B376</f>
        <v>0</v>
      </c>
      <c r="C135" s="22">
        <f>'Outras emissões de processo'!E376</f>
        <v>0</v>
      </c>
      <c r="D135" s="22" t="str">
        <f>IF($C135=$C$37,'Outras emissões de processo'!S376,"")</f>
        <v/>
      </c>
      <c r="E135" s="22" t="str">
        <f>IF($C135=$C$38,'Outras emissões de processo'!S376,"")</f>
        <v/>
      </c>
      <c r="F135" s="22" t="str">
        <f t="shared" si="8"/>
        <v/>
      </c>
      <c r="G135" s="22" t="str">
        <f t="shared" si="9"/>
        <v/>
      </c>
      <c r="H135" s="22" t="str">
        <f t="shared" si="10"/>
        <v/>
      </c>
      <c r="I135" s="22" t="str">
        <f t="shared" si="11"/>
        <v/>
      </c>
      <c r="J135" s="22" t="str">
        <f t="shared" si="12"/>
        <v/>
      </c>
      <c r="K135" s="22" t="str">
        <f t="shared" si="13"/>
        <v/>
      </c>
    </row>
    <row r="136" spans="2:11" x14ac:dyDescent="0.35">
      <c r="B136" s="22">
        <f>'Outras emissões de processo'!B377</f>
        <v>0</v>
      </c>
      <c r="C136" s="22">
        <f>'Outras emissões de processo'!E377</f>
        <v>0</v>
      </c>
      <c r="D136" s="22" t="str">
        <f>IF($C136=$C$37,'Outras emissões de processo'!S377,"")</f>
        <v/>
      </c>
      <c r="E136" s="22" t="str">
        <f>IF($C136=$C$38,'Outras emissões de processo'!S377,"")</f>
        <v/>
      </c>
      <c r="F136" s="22" t="str">
        <f t="shared" si="8"/>
        <v/>
      </c>
      <c r="G136" s="22" t="str">
        <f t="shared" si="9"/>
        <v/>
      </c>
      <c r="H136" s="22" t="str">
        <f t="shared" si="10"/>
        <v/>
      </c>
      <c r="I136" s="22" t="str">
        <f t="shared" si="11"/>
        <v/>
      </c>
      <c r="J136" s="22" t="str">
        <f t="shared" si="12"/>
        <v/>
      </c>
      <c r="K136" s="22" t="str">
        <f t="shared" si="13"/>
        <v/>
      </c>
    </row>
    <row r="137" spans="2:11" x14ac:dyDescent="0.35">
      <c r="B137" s="22">
        <f>'Outras emissões de processo'!B378</f>
        <v>0</v>
      </c>
      <c r="C137" s="22">
        <f>'Outras emissões de processo'!E378</f>
        <v>0</v>
      </c>
      <c r="D137" s="22" t="str">
        <f>IF($C137=$C$37,'Outras emissões de processo'!S378,"")</f>
        <v/>
      </c>
      <c r="E137" s="22" t="str">
        <f>IF($C137=$C$38,'Outras emissões de processo'!S378,"")</f>
        <v/>
      </c>
      <c r="F137" s="22" t="str">
        <f t="shared" si="8"/>
        <v/>
      </c>
      <c r="G137" s="22" t="str">
        <f t="shared" si="9"/>
        <v/>
      </c>
      <c r="H137" s="22" t="str">
        <f t="shared" si="10"/>
        <v/>
      </c>
      <c r="I137" s="22" t="str">
        <f t="shared" si="11"/>
        <v/>
      </c>
      <c r="J137" s="22" t="str">
        <f t="shared" si="12"/>
        <v/>
      </c>
      <c r="K137" s="22" t="str">
        <f t="shared" si="13"/>
        <v/>
      </c>
    </row>
    <row r="138" spans="2:11" x14ac:dyDescent="0.35">
      <c r="B138" s="22">
        <f>'Outras emissões de processo'!B379</f>
        <v>0</v>
      </c>
      <c r="C138" s="22">
        <f>'Outras emissões de processo'!E379</f>
        <v>0</v>
      </c>
      <c r="D138" s="22" t="str">
        <f>IF($C138=$C$37,'Outras emissões de processo'!S379,"")</f>
        <v/>
      </c>
      <c r="E138" s="22" t="str">
        <f>IF($C138=$C$38,'Outras emissões de processo'!S379,"")</f>
        <v/>
      </c>
      <c r="F138" s="22" t="str">
        <f t="shared" si="8"/>
        <v/>
      </c>
      <c r="G138" s="22" t="str">
        <f t="shared" si="9"/>
        <v/>
      </c>
      <c r="H138" s="22" t="str">
        <f t="shared" si="10"/>
        <v/>
      </c>
      <c r="I138" s="22" t="str">
        <f t="shared" si="11"/>
        <v/>
      </c>
      <c r="J138" s="22" t="str">
        <f t="shared" si="12"/>
        <v/>
      </c>
      <c r="K138" s="22" t="str">
        <f t="shared" si="13"/>
        <v/>
      </c>
    </row>
    <row r="139" spans="2:11" x14ac:dyDescent="0.35">
      <c r="B139" s="22">
        <f>'Outras emissões de processo'!B380</f>
        <v>0</v>
      </c>
      <c r="C139" s="22">
        <f>'Outras emissões de processo'!E380</f>
        <v>0</v>
      </c>
      <c r="D139" s="22" t="str">
        <f>IF($C139=$C$37,'Outras emissões de processo'!S380,"")</f>
        <v/>
      </c>
      <c r="E139" s="22" t="str">
        <f>IF($C139=$C$38,'Outras emissões de processo'!S380,"")</f>
        <v/>
      </c>
      <c r="F139" s="22" t="str">
        <f t="shared" si="8"/>
        <v/>
      </c>
      <c r="G139" s="22" t="str">
        <f t="shared" si="9"/>
        <v/>
      </c>
      <c r="H139" s="22" t="str">
        <f t="shared" si="10"/>
        <v/>
      </c>
      <c r="I139" s="22" t="str">
        <f t="shared" si="11"/>
        <v/>
      </c>
      <c r="J139" s="22" t="str">
        <f t="shared" si="12"/>
        <v/>
      </c>
      <c r="K139" s="22" t="str">
        <f t="shared" si="13"/>
        <v/>
      </c>
    </row>
    <row r="140" spans="2:11" x14ac:dyDescent="0.35">
      <c r="B140" s="22">
        <f>'Outras emissões de processo'!B381</f>
        <v>0</v>
      </c>
      <c r="C140" s="22">
        <f>'Outras emissões de processo'!E381</f>
        <v>0</v>
      </c>
      <c r="D140" s="22" t="str">
        <f>IF($C140=$C$37,'Outras emissões de processo'!S381,"")</f>
        <v/>
      </c>
      <c r="E140" s="22" t="str">
        <f>IF($C140=$C$38,'Outras emissões de processo'!S381,"")</f>
        <v/>
      </c>
      <c r="F140" s="22" t="str">
        <f t="shared" si="8"/>
        <v/>
      </c>
      <c r="G140" s="22" t="str">
        <f t="shared" si="9"/>
        <v/>
      </c>
      <c r="H140" s="22" t="str">
        <f t="shared" si="10"/>
        <v/>
      </c>
      <c r="I140" s="22" t="str">
        <f t="shared" si="11"/>
        <v/>
      </c>
      <c r="J140" s="22" t="str">
        <f t="shared" si="12"/>
        <v/>
      </c>
      <c r="K140" s="22" t="str">
        <f t="shared" si="13"/>
        <v/>
      </c>
    </row>
    <row r="141" spans="2:11" x14ac:dyDescent="0.35">
      <c r="B141" s="22">
        <f>'Outras emissões de processo'!B382</f>
        <v>0</v>
      </c>
      <c r="C141" s="22">
        <f>'Outras emissões de processo'!E382</f>
        <v>0</v>
      </c>
      <c r="D141" s="22" t="str">
        <f>IF($C141=$C$37,'Outras emissões de processo'!S382,"")</f>
        <v/>
      </c>
      <c r="E141" s="22" t="str">
        <f>IF($C141=$C$38,'Outras emissões de processo'!S382,"")</f>
        <v/>
      </c>
      <c r="F141" s="22" t="str">
        <f t="shared" si="8"/>
        <v/>
      </c>
      <c r="G141" s="22" t="str">
        <f t="shared" si="9"/>
        <v/>
      </c>
      <c r="H141" s="22" t="str">
        <f t="shared" si="10"/>
        <v/>
      </c>
      <c r="I141" s="22" t="str">
        <f t="shared" si="11"/>
        <v/>
      </c>
      <c r="J141" s="22" t="str">
        <f t="shared" si="12"/>
        <v/>
      </c>
      <c r="K141" s="22" t="str">
        <f t="shared" si="13"/>
        <v/>
      </c>
    </row>
    <row r="142" spans="2:11" x14ac:dyDescent="0.35">
      <c r="B142" s="22">
        <f>'Outras emissões de processo'!B383</f>
        <v>0</v>
      </c>
      <c r="C142" s="22">
        <f>'Outras emissões de processo'!E383</f>
        <v>0</v>
      </c>
      <c r="D142" s="22" t="str">
        <f>IF($C142=$C$37,'Outras emissões de processo'!S383,"")</f>
        <v/>
      </c>
      <c r="E142" s="22" t="str">
        <f>IF($C142=$C$38,'Outras emissões de processo'!S383,"")</f>
        <v/>
      </c>
      <c r="F142" s="22" t="str">
        <f t="shared" si="8"/>
        <v/>
      </c>
      <c r="G142" s="22" t="str">
        <f t="shared" si="9"/>
        <v/>
      </c>
      <c r="H142" s="22" t="str">
        <f t="shared" si="10"/>
        <v/>
      </c>
      <c r="I142" s="22" t="str">
        <f t="shared" si="11"/>
        <v/>
      </c>
      <c r="J142" s="22" t="str">
        <f t="shared" si="12"/>
        <v/>
      </c>
      <c r="K142" s="22" t="str">
        <f t="shared" si="13"/>
        <v/>
      </c>
    </row>
    <row r="143" spans="2:11" x14ac:dyDescent="0.35">
      <c r="B143" s="22">
        <f>'Outras emissões de processo'!B384</f>
        <v>0</v>
      </c>
      <c r="C143" s="22">
        <f>'Outras emissões de processo'!E384</f>
        <v>0</v>
      </c>
      <c r="D143" s="22" t="str">
        <f>IF($C143=$C$37,'Outras emissões de processo'!S384,"")</f>
        <v/>
      </c>
      <c r="E143" s="22" t="str">
        <f>IF($C143=$C$38,'Outras emissões de processo'!S384,"")</f>
        <v/>
      </c>
      <c r="F143" s="22" t="str">
        <f t="shared" si="8"/>
        <v/>
      </c>
      <c r="G143" s="22" t="str">
        <f t="shared" si="9"/>
        <v/>
      </c>
      <c r="H143" s="22" t="str">
        <f t="shared" si="10"/>
        <v/>
      </c>
      <c r="I143" s="22" t="str">
        <f t="shared" si="11"/>
        <v/>
      </c>
      <c r="J143" s="22" t="str">
        <f t="shared" si="12"/>
        <v/>
      </c>
      <c r="K143" s="22" t="str">
        <f t="shared" si="13"/>
        <v/>
      </c>
    </row>
    <row r="144" spans="2:11" x14ac:dyDescent="0.35">
      <c r="B144" s="22">
        <f>'Outras emissões de processo'!B385</f>
        <v>0</v>
      </c>
      <c r="C144" s="22">
        <f>'Outras emissões de processo'!E385</f>
        <v>0</v>
      </c>
      <c r="D144" s="22" t="str">
        <f>IF($C144=$C$37,'Outras emissões de processo'!S385,"")</f>
        <v/>
      </c>
      <c r="E144" s="22" t="str">
        <f>IF($C144=$C$38,'Outras emissões de processo'!S385,"")</f>
        <v/>
      </c>
      <c r="F144" s="22" t="str">
        <f t="shared" si="8"/>
        <v/>
      </c>
      <c r="G144" s="22" t="str">
        <f t="shared" si="9"/>
        <v/>
      </c>
      <c r="H144" s="22" t="str">
        <f t="shared" si="10"/>
        <v/>
      </c>
      <c r="I144" s="22" t="str">
        <f t="shared" si="11"/>
        <v/>
      </c>
      <c r="J144" s="22" t="str">
        <f t="shared" si="12"/>
        <v/>
      </c>
      <c r="K144" s="22" t="str">
        <f t="shared" si="13"/>
        <v/>
      </c>
    </row>
    <row r="145" spans="2:11" x14ac:dyDescent="0.35">
      <c r="B145" s="22">
        <f>'Outras emissões de processo'!B386</f>
        <v>0</v>
      </c>
      <c r="C145" s="22">
        <f>'Outras emissões de processo'!E386</f>
        <v>0</v>
      </c>
      <c r="D145" s="22" t="str">
        <f>IF($C145=$C$37,'Outras emissões de processo'!S386,"")</f>
        <v/>
      </c>
      <c r="E145" s="22" t="str">
        <f>IF($C145=$C$38,'Outras emissões de processo'!S386,"")</f>
        <v/>
      </c>
      <c r="F145" s="22" t="str">
        <f t="shared" si="8"/>
        <v/>
      </c>
      <c r="G145" s="22" t="str">
        <f t="shared" si="9"/>
        <v/>
      </c>
      <c r="H145" s="22" t="str">
        <f t="shared" si="10"/>
        <v/>
      </c>
      <c r="I145" s="22" t="str">
        <f t="shared" si="11"/>
        <v/>
      </c>
      <c r="J145" s="22" t="str">
        <f t="shared" si="12"/>
        <v/>
      </c>
      <c r="K145" s="22" t="str">
        <f t="shared" si="13"/>
        <v/>
      </c>
    </row>
    <row r="146" spans="2:11" x14ac:dyDescent="0.35">
      <c r="B146" s="22">
        <f>'Outras emissões de processo'!B387</f>
        <v>0</v>
      </c>
      <c r="C146" s="22">
        <f>'Outras emissões de processo'!E387</f>
        <v>0</v>
      </c>
      <c r="D146" s="22" t="str">
        <f>IF($C146=$C$37,'Outras emissões de processo'!S387,"")</f>
        <v/>
      </c>
      <c r="E146" s="22" t="str">
        <f>IF($C146=$C$38,'Outras emissões de processo'!S387,"")</f>
        <v/>
      </c>
      <c r="F146" s="22" t="str">
        <f t="shared" si="8"/>
        <v/>
      </c>
      <c r="G146" s="22" t="str">
        <f t="shared" si="9"/>
        <v/>
      </c>
      <c r="H146" s="22" t="str">
        <f t="shared" si="10"/>
        <v/>
      </c>
      <c r="I146" s="22" t="str">
        <f t="shared" si="11"/>
        <v/>
      </c>
      <c r="J146" s="22" t="str">
        <f t="shared" si="12"/>
        <v/>
      </c>
      <c r="K146" s="22" t="str">
        <f t="shared" si="13"/>
        <v/>
      </c>
    </row>
    <row r="147" spans="2:11" x14ac:dyDescent="0.35">
      <c r="B147" s="22">
        <f>'Outras emissões de processo'!B388</f>
        <v>0</v>
      </c>
      <c r="C147" s="22">
        <f>'Outras emissões de processo'!E388</f>
        <v>0</v>
      </c>
      <c r="D147" s="22" t="str">
        <f>IF($C147=$C$37,'Outras emissões de processo'!S388,"")</f>
        <v/>
      </c>
      <c r="E147" s="22" t="str">
        <f>IF($C147=$C$38,'Outras emissões de processo'!S388,"")</f>
        <v/>
      </c>
      <c r="F147" s="22" t="str">
        <f t="shared" si="8"/>
        <v/>
      </c>
      <c r="G147" s="22" t="str">
        <f t="shared" si="9"/>
        <v/>
      </c>
      <c r="H147" s="22" t="str">
        <f t="shared" si="10"/>
        <v/>
      </c>
      <c r="I147" s="22" t="str">
        <f t="shared" si="11"/>
        <v/>
      </c>
      <c r="J147" s="22" t="str">
        <f t="shared" si="12"/>
        <v/>
      </c>
      <c r="K147" s="22" t="str">
        <f t="shared" si="13"/>
        <v/>
      </c>
    </row>
    <row r="148" spans="2:11" x14ac:dyDescent="0.35">
      <c r="B148" s="22">
        <f>'Outras emissões de processo'!B389</f>
        <v>0</v>
      </c>
      <c r="C148" s="22">
        <f>'Outras emissões de processo'!E389</f>
        <v>0</v>
      </c>
      <c r="D148" s="22" t="str">
        <f>IF($C148=$C$37,'Outras emissões de processo'!S389,"")</f>
        <v/>
      </c>
      <c r="E148" s="22" t="str">
        <f>IF($C148=$C$38,'Outras emissões de processo'!S389,"")</f>
        <v/>
      </c>
      <c r="F148" s="22" t="str">
        <f t="shared" si="8"/>
        <v/>
      </c>
      <c r="G148" s="22" t="str">
        <f t="shared" si="9"/>
        <v/>
      </c>
      <c r="H148" s="22" t="str">
        <f t="shared" si="10"/>
        <v/>
      </c>
      <c r="I148" s="22" t="str">
        <f t="shared" si="11"/>
        <v/>
      </c>
      <c r="J148" s="22" t="str">
        <f t="shared" si="12"/>
        <v/>
      </c>
      <c r="K148" s="22" t="str">
        <f t="shared" si="13"/>
        <v/>
      </c>
    </row>
    <row r="149" spans="2:11" x14ac:dyDescent="0.35">
      <c r="F149" s="302">
        <f>SUM(F49:F148)</f>
        <v>0</v>
      </c>
      <c r="G149" s="302">
        <f t="shared" ref="G149:I149" si="14">SUM(G49:G148)</f>
        <v>0</v>
      </c>
      <c r="H149" s="302">
        <f t="shared" si="14"/>
        <v>0</v>
      </c>
      <c r="I149" s="302">
        <f t="shared" si="14"/>
        <v>0</v>
      </c>
      <c r="J149" s="302">
        <f>SUM(J49:J148)</f>
        <v>0</v>
      </c>
      <c r="K149" s="302">
        <f>SUM(K49:K148)</f>
        <v>0</v>
      </c>
    </row>
    <row r="150" spans="2:11" x14ac:dyDescent="0.35">
      <c r="F150" s="118" t="s">
        <v>955</v>
      </c>
      <c r="G150" s="118" t="s">
        <v>956</v>
      </c>
      <c r="H150" s="118" t="str">
        <f>F150</f>
        <v>Diretas</v>
      </c>
      <c r="I150" s="118" t="str">
        <f t="shared" ref="I150" si="15">G150</f>
        <v>Indiretas</v>
      </c>
      <c r="J150" s="118" t="str">
        <f t="shared" ref="J150" si="16">H150</f>
        <v>Diretas</v>
      </c>
      <c r="K150" s="118" t="str">
        <f t="shared" ref="K150" si="17">I150</f>
        <v>Indiretas</v>
      </c>
    </row>
    <row r="151" spans="2:11" x14ac:dyDescent="0.35">
      <c r="F151" s="1189" t="str">
        <f>F47</f>
        <v>Construção ou fase preparatória</v>
      </c>
      <c r="G151" s="1189"/>
      <c r="H151" s="1189" t="str">
        <f>H47</f>
        <v>Exploração</v>
      </c>
      <c r="I151" s="1189"/>
      <c r="J151" s="1189" t="str">
        <f>J47</f>
        <v>Desativação</v>
      </c>
      <c r="K151" s="1189"/>
    </row>
  </sheetData>
  <mergeCells count="6">
    <mergeCell ref="F47:G47"/>
    <mergeCell ref="H47:I47"/>
    <mergeCell ref="J47:K47"/>
    <mergeCell ref="F151:G151"/>
    <mergeCell ref="H151:I151"/>
    <mergeCell ref="J151:K151"/>
  </mergeCells>
  <phoneticPr fontId="28" type="noConversion"/>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433E-7DC4-47CE-940A-6B13C2DE0319}">
  <sheetPr codeName="Folha17"/>
  <dimension ref="A9:AB223"/>
  <sheetViews>
    <sheetView showGridLines="0" zoomScale="55" zoomScaleNormal="55" workbookViewId="0">
      <selection activeCell="S62" sqref="S62:U73"/>
    </sheetView>
  </sheetViews>
  <sheetFormatPr defaultRowHeight="14.5" x14ac:dyDescent="0.35"/>
  <cols>
    <col min="1" max="1" width="18.7265625" customWidth="1"/>
    <col min="2" max="2" width="28.26953125" customWidth="1"/>
    <col min="3" max="3" width="52.26953125" customWidth="1"/>
    <col min="4" max="4" width="14.26953125" bestFit="1" customWidth="1"/>
    <col min="5" max="5" width="22.81640625" bestFit="1" customWidth="1"/>
    <col min="6" max="6" width="28.7265625" customWidth="1"/>
    <col min="7" max="9" width="11.54296875" bestFit="1" customWidth="1"/>
    <col min="10" max="10" width="13.26953125" customWidth="1"/>
    <col min="11" max="12" width="26.7265625" customWidth="1"/>
    <col min="14" max="14" width="23.26953125" customWidth="1"/>
    <col min="15" max="15" width="15.26953125" customWidth="1"/>
    <col min="17" max="17" width="13.7265625" customWidth="1"/>
    <col min="18" max="18" width="14.81640625" customWidth="1"/>
  </cols>
  <sheetData>
    <row r="9" spans="2:4" s="11" customFormat="1" ht="20" x14ac:dyDescent="0.85">
      <c r="B9" s="12" t="s">
        <v>1018</v>
      </c>
    </row>
    <row r="11" spans="2:4" x14ac:dyDescent="0.35">
      <c r="B11" s="51" t="s">
        <v>1019</v>
      </c>
    </row>
    <row r="13" spans="2:4" x14ac:dyDescent="0.35">
      <c r="B13" s="294" t="s">
        <v>1156</v>
      </c>
      <c r="C13" s="121" t="s">
        <v>1020</v>
      </c>
      <c r="D13" s="121" t="s">
        <v>1023</v>
      </c>
    </row>
    <row r="14" spans="2:4" x14ac:dyDescent="0.35">
      <c r="B14" s="294" t="s">
        <v>1157</v>
      </c>
      <c r="C14" s="121" t="s">
        <v>1021</v>
      </c>
      <c r="D14" s="121" t="s">
        <v>1024</v>
      </c>
    </row>
    <row r="15" spans="2:4" x14ac:dyDescent="0.35">
      <c r="B15" s="294" t="s">
        <v>1145</v>
      </c>
      <c r="C15" s="22" t="s">
        <v>1022</v>
      </c>
      <c r="D15" s="121" t="s">
        <v>1025</v>
      </c>
    </row>
    <row r="28" spans="1:28" s="11" customFormat="1" ht="20" x14ac:dyDescent="0.85">
      <c r="B28" s="12" t="s">
        <v>362</v>
      </c>
    </row>
    <row r="29" spans="1:28" x14ac:dyDescent="0.35">
      <c r="F29" s="292" t="s">
        <v>1123</v>
      </c>
      <c r="N29" s="292" t="s">
        <v>963</v>
      </c>
    </row>
    <row r="30" spans="1:28" ht="21" x14ac:dyDescent="0.5">
      <c r="A30" s="51" t="s">
        <v>326</v>
      </c>
      <c r="F30" s="883" t="s">
        <v>1133</v>
      </c>
      <c r="G30" s="884"/>
      <c r="H30" s="884"/>
      <c r="I30" s="884"/>
      <c r="J30" s="884"/>
      <c r="K30" s="884"/>
      <c r="L30" s="884"/>
      <c r="N30" s="885" t="s">
        <v>342</v>
      </c>
      <c r="O30" s="891"/>
    </row>
    <row r="31" spans="1:28" x14ac:dyDescent="0.35">
      <c r="A31" s="1237" t="s">
        <v>324</v>
      </c>
      <c r="B31" s="1237" t="s">
        <v>416</v>
      </c>
      <c r="C31" s="1237" t="s">
        <v>196</v>
      </c>
      <c r="D31" s="17"/>
      <c r="F31" s="3" t="s">
        <v>332</v>
      </c>
      <c r="G31" s="3" t="s">
        <v>333</v>
      </c>
      <c r="H31" s="3" t="s">
        <v>334</v>
      </c>
      <c r="I31" s="3" t="s">
        <v>335</v>
      </c>
      <c r="J31" s="3" t="s">
        <v>337</v>
      </c>
      <c r="K31" s="3" t="s">
        <v>339</v>
      </c>
      <c r="L31" s="3" t="s">
        <v>341</v>
      </c>
      <c r="N31" s="1232" t="s">
        <v>323</v>
      </c>
      <c r="O31" s="1232" t="s">
        <v>343</v>
      </c>
      <c r="W31" s="1239" t="s">
        <v>1121</v>
      </c>
      <c r="X31" s="1239"/>
      <c r="Y31" s="1239"/>
      <c r="Z31" s="1239"/>
      <c r="AA31" s="1239"/>
      <c r="AB31" s="1239"/>
    </row>
    <row r="32" spans="1:28" x14ac:dyDescent="0.35">
      <c r="A32" s="1238"/>
      <c r="B32" s="1238"/>
      <c r="C32" s="1238"/>
      <c r="D32" s="17"/>
      <c r="F32" s="291" t="s">
        <v>569</v>
      </c>
      <c r="G32" s="291" t="s">
        <v>569</v>
      </c>
      <c r="H32" s="291" t="s">
        <v>1124</v>
      </c>
      <c r="I32" s="291" t="s">
        <v>336</v>
      </c>
      <c r="J32" s="3" t="s">
        <v>338</v>
      </c>
      <c r="K32" s="3" t="s">
        <v>340</v>
      </c>
      <c r="L32" s="3" t="s">
        <v>340</v>
      </c>
      <c r="N32" s="1233"/>
      <c r="O32" s="1233"/>
      <c r="W32" s="287"/>
      <c r="X32" s="288" t="s">
        <v>1122</v>
      </c>
      <c r="Y32" s="288"/>
      <c r="Z32" s="288"/>
      <c r="AA32" s="288"/>
      <c r="AB32" s="146"/>
    </row>
    <row r="33" spans="1:28" x14ac:dyDescent="0.35">
      <c r="A33" s="1234" t="s">
        <v>410</v>
      </c>
      <c r="B33" s="5" t="str">
        <f>Q63</f>
        <v>Pinheiro-bravo</v>
      </c>
      <c r="C33" s="4" t="s">
        <v>381</v>
      </c>
      <c r="D33" s="1"/>
      <c r="F33" s="220">
        <v>30.86</v>
      </c>
      <c r="G33" s="220">
        <v>8.5100000000000051</v>
      </c>
      <c r="H33" s="220">
        <v>58.36</v>
      </c>
      <c r="I33" s="218">
        <v>0.52878684030157641</v>
      </c>
      <c r="J33" s="218">
        <v>0.27576150356448492</v>
      </c>
      <c r="K33" s="892">
        <v>0.51</v>
      </c>
      <c r="L33" s="10">
        <v>0.37</v>
      </c>
      <c r="N33" s="5" t="str">
        <f>B33</f>
        <v>Pinheiro-bravo</v>
      </c>
      <c r="O33" s="225">
        <v>5.5</v>
      </c>
      <c r="Q33" s="8"/>
      <c r="W33" s="289" t="s">
        <v>1123</v>
      </c>
      <c r="X33" s="286" t="s">
        <v>332</v>
      </c>
      <c r="Y33" s="286" t="s">
        <v>333</v>
      </c>
      <c r="Z33" s="286" t="s">
        <v>334</v>
      </c>
      <c r="AA33" s="286" t="s">
        <v>335</v>
      </c>
      <c r="AB33" s="286" t="s">
        <v>337</v>
      </c>
    </row>
    <row r="34" spans="1:28" x14ac:dyDescent="0.35">
      <c r="A34" s="1235"/>
      <c r="B34" s="5" t="str">
        <f>Q65</f>
        <v>Sobreiro</v>
      </c>
      <c r="C34" s="4" t="s">
        <v>382</v>
      </c>
      <c r="D34" s="1"/>
      <c r="F34" s="220">
        <v>26.17</v>
      </c>
      <c r="G34" s="220">
        <v>3.639999999999997</v>
      </c>
      <c r="H34" s="220">
        <v>21.93</v>
      </c>
      <c r="I34" s="218">
        <v>1.193342453260374</v>
      </c>
      <c r="J34" s="218">
        <v>0.13909056171188372</v>
      </c>
      <c r="K34" s="892">
        <v>0.48</v>
      </c>
      <c r="L34" s="10">
        <v>0.37</v>
      </c>
      <c r="N34" s="5" t="str">
        <f t="shared" ref="N34:N40" si="0">B34</f>
        <v>Sobreiro</v>
      </c>
      <c r="O34" s="225">
        <v>0.5</v>
      </c>
      <c r="Q34" s="8"/>
      <c r="W34" s="289"/>
      <c r="X34" s="286" t="s">
        <v>569</v>
      </c>
      <c r="Y34" s="286" t="s">
        <v>569</v>
      </c>
      <c r="Z34" s="286" t="s">
        <v>1124</v>
      </c>
      <c r="AA34" s="286" t="s">
        <v>336</v>
      </c>
      <c r="AB34" s="286"/>
    </row>
    <row r="35" spans="1:28" x14ac:dyDescent="0.35">
      <c r="A35" s="1235"/>
      <c r="B35" s="5" t="str">
        <f>Q64</f>
        <v>Eucalipto</v>
      </c>
      <c r="C35" s="4" t="s">
        <v>383</v>
      </c>
      <c r="D35" s="1"/>
      <c r="F35" s="220">
        <v>24.98</v>
      </c>
      <c r="G35" s="220">
        <v>6.2100000000000009</v>
      </c>
      <c r="H35" s="220">
        <v>39.18</v>
      </c>
      <c r="I35" s="218">
        <v>0.63757018887187344</v>
      </c>
      <c r="J35" s="218">
        <v>0.24859887910328266</v>
      </c>
      <c r="K35" s="892">
        <v>0.48</v>
      </c>
      <c r="L35" s="10">
        <v>0.37</v>
      </c>
      <c r="N35" s="5" t="str">
        <f t="shared" si="0"/>
        <v>Eucalipto</v>
      </c>
      <c r="O35" s="225">
        <v>15</v>
      </c>
      <c r="Q35" s="17"/>
      <c r="W35" s="288" t="s">
        <v>1125</v>
      </c>
      <c r="X35" s="290">
        <v>30.86</v>
      </c>
      <c r="Y35" s="290">
        <v>8.5100000000000051</v>
      </c>
      <c r="Z35" s="290">
        <v>58.36</v>
      </c>
      <c r="AA35" s="290">
        <v>0.52878684030157641</v>
      </c>
      <c r="AB35" s="290">
        <v>0.27576150356448492</v>
      </c>
    </row>
    <row r="36" spans="1:28" x14ac:dyDescent="0.35">
      <c r="A36" s="1235"/>
      <c r="B36" s="5" t="str">
        <f>Q66</f>
        <v>Azinheira</v>
      </c>
      <c r="C36" s="4" t="s">
        <v>384</v>
      </c>
      <c r="D36" s="1"/>
      <c r="F36" s="220">
        <v>4.93</v>
      </c>
      <c r="G36" s="220">
        <v>3.7300000000000004</v>
      </c>
      <c r="H36" s="220">
        <v>6.25</v>
      </c>
      <c r="I36" s="218">
        <v>0.78879999999999995</v>
      </c>
      <c r="J36" s="218">
        <v>0.75659229208924961</v>
      </c>
      <c r="K36" s="892">
        <v>0.48</v>
      </c>
      <c r="L36" s="10">
        <v>0.37</v>
      </c>
      <c r="N36" s="5" t="str">
        <f t="shared" si="0"/>
        <v>Azinheira</v>
      </c>
      <c r="O36" s="225">
        <v>0.5</v>
      </c>
      <c r="Q36" s="8"/>
      <c r="W36" s="288" t="s">
        <v>1126</v>
      </c>
      <c r="X36" s="290">
        <v>26.17</v>
      </c>
      <c r="Y36" s="290">
        <v>3.639999999999997</v>
      </c>
      <c r="Z36" s="290">
        <v>21.93</v>
      </c>
      <c r="AA36" s="290">
        <v>1.193342453260374</v>
      </c>
      <c r="AB36" s="290">
        <v>0.13909056171188372</v>
      </c>
    </row>
    <row r="37" spans="1:28" x14ac:dyDescent="0.35">
      <c r="A37" s="1235"/>
      <c r="B37" s="5" t="str">
        <f>Q67</f>
        <v>Carvalhos</v>
      </c>
      <c r="C37" s="4" t="s">
        <v>385</v>
      </c>
      <c r="D37" s="1"/>
      <c r="F37" s="220">
        <v>3.3000000000000003</v>
      </c>
      <c r="G37" s="220">
        <v>0.94</v>
      </c>
      <c r="H37" s="220">
        <v>3.3800000000000003</v>
      </c>
      <c r="I37" s="218">
        <v>0.97633136094674555</v>
      </c>
      <c r="J37" s="218">
        <v>0.2848484848484848</v>
      </c>
      <c r="K37" s="892">
        <v>0.48</v>
      </c>
      <c r="L37" s="10">
        <v>0.37</v>
      </c>
      <c r="N37" s="5" t="str">
        <f t="shared" si="0"/>
        <v>Carvalhos</v>
      </c>
      <c r="O37" s="225">
        <v>2</v>
      </c>
      <c r="Q37" s="293"/>
      <c r="W37" s="288" t="s">
        <v>1127</v>
      </c>
      <c r="X37" s="290">
        <v>24.98</v>
      </c>
      <c r="Y37" s="290">
        <v>6.2100000000000009</v>
      </c>
      <c r="Z37" s="290">
        <v>39.18</v>
      </c>
      <c r="AA37" s="290">
        <v>0.63757018887187344</v>
      </c>
      <c r="AB37" s="290">
        <v>0.24859887910328266</v>
      </c>
    </row>
    <row r="38" spans="1:28" ht="29" x14ac:dyDescent="0.35">
      <c r="A38" s="1235"/>
      <c r="B38" s="5" t="str">
        <f>Q72</f>
        <v>Outras folhosas</v>
      </c>
      <c r="C38" s="4" t="s">
        <v>386</v>
      </c>
      <c r="D38" s="1"/>
      <c r="F38" s="220">
        <v>8.76</v>
      </c>
      <c r="G38" s="220">
        <v>6.740000000000002</v>
      </c>
      <c r="H38" s="220">
        <v>9.3999999999999986</v>
      </c>
      <c r="I38" s="218">
        <v>0.9319148936170214</v>
      </c>
      <c r="J38" s="218">
        <v>0.76940639269406419</v>
      </c>
      <c r="K38" s="892">
        <v>0.48</v>
      </c>
      <c r="L38" s="10">
        <v>0.37</v>
      </c>
      <c r="N38" s="5" t="str">
        <f t="shared" si="0"/>
        <v>Outras folhosas</v>
      </c>
      <c r="O38" s="225">
        <v>4</v>
      </c>
      <c r="Q38" s="17"/>
      <c r="W38" s="288" t="s">
        <v>1128</v>
      </c>
      <c r="X38" s="290">
        <v>4.93</v>
      </c>
      <c r="Y38" s="290">
        <v>3.7300000000000004</v>
      </c>
      <c r="Z38" s="290">
        <v>6.25</v>
      </c>
      <c r="AA38" s="290">
        <v>0.78879999999999995</v>
      </c>
      <c r="AB38" s="290">
        <v>0.75659229208924961</v>
      </c>
    </row>
    <row r="39" spans="1:28" x14ac:dyDescent="0.35">
      <c r="A39" s="1235"/>
      <c r="B39" s="5" t="str">
        <f>Q68</f>
        <v>Pinheiro-manso</v>
      </c>
      <c r="C39" s="4" t="s">
        <v>387</v>
      </c>
      <c r="D39" s="1"/>
      <c r="F39" s="220">
        <v>7.46</v>
      </c>
      <c r="G39" s="220">
        <v>0.28000000000000025</v>
      </c>
      <c r="H39" s="220">
        <v>4.3</v>
      </c>
      <c r="I39" s="218">
        <v>1.7348837209302326</v>
      </c>
      <c r="J39" s="218">
        <v>3.7533512064343195E-2</v>
      </c>
      <c r="K39" s="892">
        <v>0.51</v>
      </c>
      <c r="L39" s="10">
        <v>0.37</v>
      </c>
      <c r="N39" s="5" t="str">
        <f t="shared" si="0"/>
        <v>Pinheiro-manso</v>
      </c>
      <c r="O39" s="225">
        <v>5.5</v>
      </c>
      <c r="Q39" s="8"/>
      <c r="W39" s="288" t="s">
        <v>1129</v>
      </c>
      <c r="X39" s="290">
        <v>3.3000000000000003</v>
      </c>
      <c r="Y39" s="290">
        <v>0.94</v>
      </c>
      <c r="Z39" s="290">
        <v>3.3800000000000003</v>
      </c>
      <c r="AA39" s="290">
        <v>0.97633136094674555</v>
      </c>
      <c r="AB39" s="290">
        <v>0.2848484848484848</v>
      </c>
    </row>
    <row r="40" spans="1:28" ht="29" x14ac:dyDescent="0.35">
      <c r="A40" s="1236"/>
      <c r="B40" s="5" t="s">
        <v>418</v>
      </c>
      <c r="C40" s="4" t="s">
        <v>388</v>
      </c>
      <c r="D40" s="1"/>
      <c r="F40" s="220">
        <v>2.2000000000000002</v>
      </c>
      <c r="G40" s="220">
        <v>0.60999999999999988</v>
      </c>
      <c r="H40" s="220">
        <v>4.1500000000000004</v>
      </c>
      <c r="I40" s="218">
        <v>0.53012048192771088</v>
      </c>
      <c r="J40" s="218">
        <v>0.27727272727272717</v>
      </c>
      <c r="K40" s="892">
        <v>0.51</v>
      </c>
      <c r="L40" s="10">
        <v>0.37</v>
      </c>
      <c r="N40" s="5" t="str">
        <f t="shared" si="0"/>
        <v>Outras coníferas</v>
      </c>
      <c r="O40" s="225">
        <v>17</v>
      </c>
      <c r="Q40" s="17"/>
      <c r="W40" s="288" t="s">
        <v>1130</v>
      </c>
      <c r="X40" s="290">
        <v>8.76</v>
      </c>
      <c r="Y40" s="290">
        <v>6.740000000000002</v>
      </c>
      <c r="Z40" s="290">
        <v>9.3999999999999986</v>
      </c>
      <c r="AA40" s="290">
        <v>0.9319148936170214</v>
      </c>
      <c r="AB40" s="290">
        <v>0.76940639269406419</v>
      </c>
    </row>
    <row r="41" spans="1:28" ht="43.5" x14ac:dyDescent="0.35">
      <c r="A41" s="1234" t="s">
        <v>411</v>
      </c>
      <c r="B41" s="5" t="s">
        <v>397</v>
      </c>
      <c r="C41" s="4" t="s">
        <v>399</v>
      </c>
      <c r="D41" s="9"/>
      <c r="F41" s="5"/>
      <c r="G41" s="5"/>
      <c r="H41" s="5"/>
      <c r="I41" s="5"/>
      <c r="J41" s="5">
        <v>1</v>
      </c>
      <c r="K41" s="892">
        <v>0.51</v>
      </c>
      <c r="L41" s="10">
        <v>0.37</v>
      </c>
      <c r="W41" s="288" t="s">
        <v>1131</v>
      </c>
      <c r="X41" s="290">
        <v>7.46</v>
      </c>
      <c r="Y41" s="290">
        <v>0.28000000000000025</v>
      </c>
      <c r="Z41" s="290">
        <v>4.3</v>
      </c>
      <c r="AA41" s="290">
        <v>1.7348837209302326</v>
      </c>
      <c r="AB41" s="290">
        <v>3.7533512064343195E-2</v>
      </c>
    </row>
    <row r="42" spans="1:28" ht="29" x14ac:dyDescent="0.5">
      <c r="A42" s="1235"/>
      <c r="B42" s="5" t="s">
        <v>398</v>
      </c>
      <c r="C42" s="4" t="s">
        <v>389</v>
      </c>
      <c r="D42" s="9"/>
      <c r="F42" s="5"/>
      <c r="G42" s="5"/>
      <c r="H42" s="5"/>
      <c r="I42" s="5"/>
      <c r="J42" s="5">
        <v>1</v>
      </c>
      <c r="K42" s="892">
        <v>0.47</v>
      </c>
      <c r="L42" s="10">
        <v>0.37</v>
      </c>
      <c r="N42" s="885" t="s">
        <v>351</v>
      </c>
      <c r="O42" s="891"/>
      <c r="P42" s="891"/>
      <c r="Q42" s="891"/>
      <c r="R42" s="891"/>
      <c r="W42" s="288" t="s">
        <v>1132</v>
      </c>
      <c r="X42" s="290">
        <v>2.2000000000000002</v>
      </c>
      <c r="Y42" s="290">
        <v>0.60999999999999988</v>
      </c>
      <c r="Z42" s="290">
        <v>4.1500000000000004</v>
      </c>
      <c r="AA42" s="290">
        <v>0.53012048192771088</v>
      </c>
      <c r="AB42" s="290">
        <v>0.27727272727272717</v>
      </c>
    </row>
    <row r="43" spans="1:28" ht="43.5" x14ac:dyDescent="0.35">
      <c r="A43" s="1235"/>
      <c r="B43" s="5" t="s">
        <v>400</v>
      </c>
      <c r="C43" s="4" t="s">
        <v>401</v>
      </c>
      <c r="D43" s="1"/>
      <c r="F43" s="5"/>
      <c r="G43" s="5"/>
      <c r="H43" s="5"/>
      <c r="I43" s="5"/>
      <c r="J43" s="5">
        <v>1</v>
      </c>
      <c r="K43" s="892">
        <v>0.47</v>
      </c>
      <c r="L43" s="10">
        <v>0.37</v>
      </c>
      <c r="N43" s="226" t="s">
        <v>352</v>
      </c>
      <c r="O43" s="227" t="s">
        <v>353</v>
      </c>
      <c r="P43" s="227" t="s">
        <v>354</v>
      </c>
      <c r="Q43" s="226" t="s">
        <v>358</v>
      </c>
      <c r="R43" s="119" t="s">
        <v>359</v>
      </c>
    </row>
    <row r="44" spans="1:28" ht="29" x14ac:dyDescent="0.35">
      <c r="A44" s="1235"/>
      <c r="B44" s="5" t="s">
        <v>402</v>
      </c>
      <c r="C44" s="4" t="s">
        <v>390</v>
      </c>
      <c r="D44" s="9"/>
      <c r="F44" s="5">
        <v>7.117</v>
      </c>
      <c r="G44" s="5">
        <v>6.1130000000000004</v>
      </c>
      <c r="H44" s="5"/>
      <c r="I44" s="5"/>
      <c r="J44" s="5">
        <v>0.85899999999999999</v>
      </c>
      <c r="K44" s="892">
        <v>0.47</v>
      </c>
      <c r="L44" s="10">
        <v>0.37</v>
      </c>
      <c r="N44" s="5" t="str">
        <f>B41</f>
        <v>Culturas anuais de sequeiro</v>
      </c>
      <c r="O44" s="144">
        <v>0.31</v>
      </c>
      <c r="P44" s="144">
        <v>0.31</v>
      </c>
      <c r="Q44" s="144">
        <v>1</v>
      </c>
      <c r="R44" s="3">
        <f>(O44+P44)</f>
        <v>0.62</v>
      </c>
    </row>
    <row r="45" spans="1:28" x14ac:dyDescent="0.35">
      <c r="A45" s="1235"/>
      <c r="B45" s="5" t="s">
        <v>403</v>
      </c>
      <c r="C45" s="4" t="s">
        <v>391</v>
      </c>
      <c r="D45" s="1"/>
      <c r="F45" s="5">
        <v>16.706</v>
      </c>
      <c r="G45" s="5">
        <v>2.4380000000000002</v>
      </c>
      <c r="H45" s="5"/>
      <c r="I45" s="5"/>
      <c r="J45" s="5">
        <v>0.14599999999999999</v>
      </c>
      <c r="K45" s="892">
        <v>0.47</v>
      </c>
      <c r="L45" s="10">
        <v>0.37</v>
      </c>
      <c r="N45" s="5" t="str">
        <f t="shared" ref="N45:N54" si="1">B42</f>
        <v>Culturas anuais irrigadas</v>
      </c>
      <c r="O45" s="144">
        <v>0.31</v>
      </c>
      <c r="P45" s="144">
        <v>0.31</v>
      </c>
      <c r="Q45" s="144">
        <v>1</v>
      </c>
      <c r="R45" s="3">
        <f t="shared" ref="R45:R51" si="2">(O45+P45)</f>
        <v>0.62</v>
      </c>
    </row>
    <row r="46" spans="1:28" ht="45.4" customHeight="1" x14ac:dyDescent="0.35">
      <c r="A46" s="1236"/>
      <c r="B46" s="5" t="s">
        <v>404</v>
      </c>
      <c r="C46" s="4" t="s">
        <v>392</v>
      </c>
      <c r="D46" s="9"/>
      <c r="F46" s="5">
        <v>18.003</v>
      </c>
      <c r="G46" s="5">
        <v>3.15</v>
      </c>
      <c r="H46" s="5"/>
      <c r="I46" s="5"/>
      <c r="J46" s="5">
        <v>0.17499999999999999</v>
      </c>
      <c r="K46" s="892">
        <v>0.47</v>
      </c>
      <c r="L46" s="10">
        <v>0.37</v>
      </c>
      <c r="N46" s="5" t="str">
        <f t="shared" si="1"/>
        <v>Arrozais</v>
      </c>
      <c r="O46" s="144">
        <v>0.31</v>
      </c>
      <c r="P46" s="144">
        <v>0.31</v>
      </c>
      <c r="Q46" s="144">
        <v>1</v>
      </c>
      <c r="R46" s="3">
        <f t="shared" si="2"/>
        <v>0.62</v>
      </c>
    </row>
    <row r="47" spans="1:28" ht="29" x14ac:dyDescent="0.35">
      <c r="A47" s="5" t="s">
        <v>412</v>
      </c>
      <c r="B47" s="5" t="s">
        <v>405</v>
      </c>
      <c r="C47" s="4" t="s">
        <v>393</v>
      </c>
      <c r="D47" s="1"/>
      <c r="F47" s="5"/>
      <c r="G47" s="5"/>
      <c r="H47" s="5"/>
      <c r="I47" s="5"/>
      <c r="J47" s="5">
        <v>1.778</v>
      </c>
      <c r="K47" s="892">
        <v>0.47</v>
      </c>
      <c r="L47" s="10">
        <v>0.37</v>
      </c>
      <c r="N47" s="5" t="str">
        <f t="shared" si="1"/>
        <v>Vinhas</v>
      </c>
      <c r="O47" s="144">
        <v>0.17</v>
      </c>
      <c r="P47" s="144">
        <v>0.14000000000000001</v>
      </c>
      <c r="Q47" s="144">
        <v>20</v>
      </c>
      <c r="R47" s="3">
        <f t="shared" si="2"/>
        <v>0.31000000000000005</v>
      </c>
    </row>
    <row r="48" spans="1:28" ht="58" x14ac:dyDescent="0.35">
      <c r="A48" s="5" t="s">
        <v>406</v>
      </c>
      <c r="B48" s="5" t="s">
        <v>406</v>
      </c>
      <c r="C48" s="4" t="s">
        <v>394</v>
      </c>
      <c r="D48" s="9"/>
      <c r="F48" s="5"/>
      <c r="G48" s="5"/>
      <c r="H48" s="5"/>
      <c r="I48" s="5"/>
      <c r="J48" s="5"/>
      <c r="K48" s="892">
        <v>0.47</v>
      </c>
      <c r="L48" s="10">
        <v>0.37</v>
      </c>
      <c r="N48" s="5" t="str">
        <f t="shared" si="1"/>
        <v>Olivais</v>
      </c>
      <c r="O48" s="144">
        <v>0.39</v>
      </c>
      <c r="P48" s="144">
        <v>0.06</v>
      </c>
      <c r="Q48" s="144">
        <v>20</v>
      </c>
      <c r="R48" s="3">
        <f t="shared" si="2"/>
        <v>0.45</v>
      </c>
    </row>
    <row r="49" spans="1:20" ht="43.5" x14ac:dyDescent="0.35">
      <c r="A49" s="142" t="s">
        <v>409</v>
      </c>
      <c r="B49" s="5" t="s">
        <v>408</v>
      </c>
      <c r="C49" s="4" t="s">
        <v>417</v>
      </c>
      <c r="D49" s="9"/>
      <c r="F49" s="5"/>
      <c r="G49" s="5"/>
      <c r="H49" s="5"/>
      <c r="I49" s="5"/>
      <c r="J49" s="5">
        <v>0.56299999999999994</v>
      </c>
      <c r="K49" s="892">
        <v>0.47</v>
      </c>
      <c r="L49" s="10">
        <v>0.37</v>
      </c>
      <c r="N49" s="5" t="str">
        <f t="shared" si="1"/>
        <v>Outras culturas permanentes</v>
      </c>
      <c r="O49" s="144">
        <v>0.42</v>
      </c>
      <c r="P49" s="144">
        <v>7.0000000000000007E-2</v>
      </c>
      <c r="Q49" s="144">
        <v>20</v>
      </c>
      <c r="R49" s="3">
        <f t="shared" si="2"/>
        <v>0.49</v>
      </c>
    </row>
    <row r="50" spans="1:20" ht="43.5" x14ac:dyDescent="0.35">
      <c r="A50" s="16"/>
      <c r="B50" s="5" t="s">
        <v>409</v>
      </c>
      <c r="C50" s="4" t="s">
        <v>396</v>
      </c>
      <c r="D50" s="9"/>
      <c r="F50" s="5"/>
      <c r="G50" s="5"/>
      <c r="H50" s="5"/>
      <c r="I50" s="5"/>
      <c r="J50" s="5">
        <v>0.56299999999999994</v>
      </c>
      <c r="K50" s="892">
        <v>0.47</v>
      </c>
      <c r="L50" s="10">
        <v>0.37</v>
      </c>
      <c r="N50" s="5" t="str">
        <f t="shared" si="1"/>
        <v>Todos os prados/pastagens</v>
      </c>
      <c r="O50" s="144">
        <v>0.53</v>
      </c>
      <c r="P50" s="144">
        <v>0.94</v>
      </c>
      <c r="Q50" s="144">
        <v>1</v>
      </c>
      <c r="R50" s="3">
        <f t="shared" si="2"/>
        <v>1.47</v>
      </c>
    </row>
    <row r="51" spans="1:20" ht="58" x14ac:dyDescent="0.35">
      <c r="A51" s="5" t="s">
        <v>407</v>
      </c>
      <c r="B51" s="5" t="s">
        <v>407</v>
      </c>
      <c r="C51" s="4" t="s">
        <v>395</v>
      </c>
      <c r="F51" s="5"/>
      <c r="G51" s="5"/>
      <c r="H51" s="5"/>
      <c r="I51" s="5"/>
      <c r="J51" s="5"/>
      <c r="K51" s="892">
        <v>0.47</v>
      </c>
      <c r="L51" s="10">
        <v>0.37</v>
      </c>
      <c r="N51" s="5" t="str">
        <f t="shared" si="1"/>
        <v>Zonas húmidas</v>
      </c>
      <c r="O51" s="144">
        <v>0</v>
      </c>
      <c r="P51" s="144">
        <v>0</v>
      </c>
      <c r="Q51" s="144">
        <v>1</v>
      </c>
      <c r="R51" s="3">
        <f t="shared" si="2"/>
        <v>0</v>
      </c>
    </row>
    <row r="52" spans="1:20" x14ac:dyDescent="0.35">
      <c r="N52" s="5" t="str">
        <f t="shared" si="1"/>
        <v>Arbustos</v>
      </c>
      <c r="O52" s="144">
        <v>0.44</v>
      </c>
      <c r="P52" s="144">
        <v>0.25</v>
      </c>
      <c r="Q52" s="144">
        <v>20</v>
      </c>
      <c r="R52" s="3">
        <f>(O52+P52)</f>
        <v>0.69</v>
      </c>
    </row>
    <row r="53" spans="1:20" x14ac:dyDescent="0.35">
      <c r="N53" s="5" t="str">
        <f t="shared" si="1"/>
        <v>Outros terrenos</v>
      </c>
      <c r="O53" s="144">
        <v>0.05</v>
      </c>
      <c r="P53" s="144">
        <v>0.03</v>
      </c>
      <c r="Q53" s="144">
        <v>20</v>
      </c>
      <c r="R53" s="3">
        <f>(O53+P53)</f>
        <v>0.08</v>
      </c>
    </row>
    <row r="54" spans="1:20" x14ac:dyDescent="0.35">
      <c r="N54" s="5" t="str">
        <f t="shared" si="1"/>
        <v>Áreas urbanizadas</v>
      </c>
      <c r="O54" s="144">
        <v>0</v>
      </c>
      <c r="P54" s="144">
        <v>0</v>
      </c>
      <c r="Q54" s="144">
        <v>1</v>
      </c>
      <c r="R54" s="3">
        <f>(O54+P54)</f>
        <v>0</v>
      </c>
    </row>
    <row r="57" spans="1:20" x14ac:dyDescent="0.35">
      <c r="N57" s="217" t="s">
        <v>356</v>
      </c>
      <c r="O57" s="144">
        <v>44.01</v>
      </c>
    </row>
    <row r="58" spans="1:20" x14ac:dyDescent="0.35">
      <c r="N58" s="217" t="s">
        <v>357</v>
      </c>
      <c r="O58" s="144">
        <v>12.01</v>
      </c>
    </row>
    <row r="61" spans="1:20" ht="21" x14ac:dyDescent="0.5">
      <c r="B61" s="885" t="s">
        <v>1566</v>
      </c>
      <c r="C61" s="882"/>
      <c r="D61" s="882"/>
      <c r="E61" s="882"/>
      <c r="F61" s="882"/>
      <c r="G61" s="882"/>
      <c r="H61" s="882"/>
      <c r="I61" s="882"/>
      <c r="J61" s="882"/>
    </row>
    <row r="62" spans="1:20" ht="39" x14ac:dyDescent="0.35">
      <c r="B62" s="886" t="s">
        <v>344</v>
      </c>
      <c r="C62" s="223" t="s">
        <v>360</v>
      </c>
      <c r="D62" s="223" t="s">
        <v>361</v>
      </c>
      <c r="E62" s="224" t="s">
        <v>355</v>
      </c>
      <c r="F62" s="223" t="s">
        <v>346</v>
      </c>
      <c r="G62" s="223" t="s">
        <v>347</v>
      </c>
      <c r="H62" s="223" t="s">
        <v>348</v>
      </c>
      <c r="I62" s="224" t="s">
        <v>349</v>
      </c>
      <c r="J62" s="224" t="s">
        <v>350</v>
      </c>
      <c r="K62" s="894"/>
      <c r="L62" s="898"/>
      <c r="N62" s="3" t="s">
        <v>37</v>
      </c>
      <c r="Q62" s="53" t="s">
        <v>502</v>
      </c>
      <c r="R62" s="906" t="s">
        <v>512</v>
      </c>
      <c r="S62" s="894"/>
      <c r="T62" s="898"/>
    </row>
    <row r="63" spans="1:20" ht="40" x14ac:dyDescent="0.35">
      <c r="A63" s="1258"/>
      <c r="B63" s="887" t="str">
        <f>B33</f>
        <v>Pinheiro-bravo</v>
      </c>
      <c r="C63" s="34">
        <f>O33</f>
        <v>5.5</v>
      </c>
      <c r="D63" s="22"/>
      <c r="E63" s="890">
        <f>I33</f>
        <v>0.52878684030157641</v>
      </c>
      <c r="F63" s="889">
        <f>J33</f>
        <v>0.27576150356448492</v>
      </c>
      <c r="G63" s="889">
        <f>F63+1</f>
        <v>1.2757615035644849</v>
      </c>
      <c r="H63" s="52">
        <f>K33</f>
        <v>0.51</v>
      </c>
      <c r="I63" s="35">
        <f>C63*E63*G63*H63</f>
        <v>1.8922695339273476</v>
      </c>
      <c r="J63" s="905">
        <f>I63*($O$57/$O$58)</f>
        <v>6.9341200822766504</v>
      </c>
      <c r="K63" s="895"/>
      <c r="L63" s="1"/>
      <c r="N63" s="144" t="s">
        <v>1092</v>
      </c>
      <c r="Q63" s="54" t="s">
        <v>503</v>
      </c>
      <c r="R63" s="897">
        <f>'Fatores de Emissão'!I334</f>
        <v>0</v>
      </c>
      <c r="S63" s="895"/>
      <c r="T63" s="1"/>
    </row>
    <row r="64" spans="1:20" ht="20" x14ac:dyDescent="0.35">
      <c r="A64" s="1258"/>
      <c r="B64" s="887" t="str">
        <f t="shared" ref="B64:B80" si="3">B34</f>
        <v>Sobreiro</v>
      </c>
      <c r="C64" s="34">
        <f t="shared" ref="C64:C70" si="4">O34</f>
        <v>0.5</v>
      </c>
      <c r="D64" s="22"/>
      <c r="E64" s="890">
        <f t="shared" ref="E64:F70" si="5">I34</f>
        <v>1.193342453260374</v>
      </c>
      <c r="F64" s="889">
        <f t="shared" si="5"/>
        <v>0.13909056171188372</v>
      </c>
      <c r="G64" s="889">
        <f t="shared" ref="G64:G78" si="6">F64+1</f>
        <v>1.1390905617118836</v>
      </c>
      <c r="H64" s="52">
        <f t="shared" ref="H64:H78" si="7">K34</f>
        <v>0.48</v>
      </c>
      <c r="I64" s="35">
        <f t="shared" ref="I64:I70" si="8">C64*E64*G64*H64</f>
        <v>0.32623803009575919</v>
      </c>
      <c r="J64" s="905">
        <f t="shared" ref="J64:J78" si="9">I64*($O$57/$O$58)</f>
        <v>1.1954817405923699</v>
      </c>
      <c r="K64" s="895"/>
      <c r="L64" s="1"/>
      <c r="N64" s="144" t="s">
        <v>36</v>
      </c>
      <c r="Q64" s="54" t="s">
        <v>1563</v>
      </c>
      <c r="R64" s="897">
        <f>'Fatores de Emissão'!I335</f>
        <v>0</v>
      </c>
      <c r="S64" s="895"/>
      <c r="T64" s="1"/>
    </row>
    <row r="65" spans="1:20" ht="20" x14ac:dyDescent="0.35">
      <c r="A65" s="1258"/>
      <c r="B65" s="887" t="str">
        <f t="shared" si="3"/>
        <v>Eucalipto</v>
      </c>
      <c r="C65" s="34">
        <f t="shared" si="4"/>
        <v>15</v>
      </c>
      <c r="D65" s="22"/>
      <c r="E65" s="890">
        <f t="shared" si="5"/>
        <v>0.63757018887187344</v>
      </c>
      <c r="F65" s="889">
        <f t="shared" si="5"/>
        <v>0.24859887910328266</v>
      </c>
      <c r="G65" s="889">
        <f t="shared" si="6"/>
        <v>1.2485988791032827</v>
      </c>
      <c r="H65" s="52">
        <f t="shared" si="7"/>
        <v>0.48</v>
      </c>
      <c r="I65" s="35">
        <f t="shared" si="8"/>
        <v>5.7316998468606437</v>
      </c>
      <c r="J65" s="905">
        <f t="shared" si="9"/>
        <v>21.003506266472684</v>
      </c>
      <c r="K65" s="895"/>
      <c r="L65" s="1"/>
      <c r="N65" s="144" t="s">
        <v>255</v>
      </c>
      <c r="Q65" s="54" t="s">
        <v>504</v>
      </c>
      <c r="R65" s="897">
        <f>'Fatores de Emissão'!I336</f>
        <v>0</v>
      </c>
      <c r="S65" s="895"/>
      <c r="T65" s="1"/>
    </row>
    <row r="66" spans="1:20" ht="20" x14ac:dyDescent="0.35">
      <c r="A66" s="1258"/>
      <c r="B66" s="887" t="str">
        <f t="shared" si="3"/>
        <v>Azinheira</v>
      </c>
      <c r="C66" s="34">
        <f t="shared" si="4"/>
        <v>0.5</v>
      </c>
      <c r="D66" s="22"/>
      <c r="E66" s="890">
        <f t="shared" si="5"/>
        <v>0.78879999999999995</v>
      </c>
      <c r="F66" s="889">
        <f t="shared" si="5"/>
        <v>0.75659229208924961</v>
      </c>
      <c r="G66" s="889">
        <f t="shared" si="6"/>
        <v>1.7565922920892496</v>
      </c>
      <c r="H66" s="52">
        <f t="shared" si="7"/>
        <v>0.48</v>
      </c>
      <c r="I66" s="35">
        <f t="shared" si="8"/>
        <v>0.33254399999999995</v>
      </c>
      <c r="J66" s="905">
        <f t="shared" si="9"/>
        <v>1.2185896286427975</v>
      </c>
      <c r="K66" s="895"/>
      <c r="L66" s="1"/>
      <c r="Q66" s="54" t="s">
        <v>505</v>
      </c>
      <c r="R66" s="897">
        <f>'Fatores de Emissão'!I337</f>
        <v>0</v>
      </c>
      <c r="S66" s="895"/>
      <c r="T66" s="1"/>
    </row>
    <row r="67" spans="1:20" ht="20" x14ac:dyDescent="0.35">
      <c r="A67" s="1258"/>
      <c r="B67" s="887" t="str">
        <f t="shared" si="3"/>
        <v>Carvalhos</v>
      </c>
      <c r="C67" s="34">
        <f t="shared" si="4"/>
        <v>2</v>
      </c>
      <c r="D67" s="22"/>
      <c r="E67" s="890">
        <f t="shared" si="5"/>
        <v>0.97633136094674555</v>
      </c>
      <c r="F67" s="889">
        <f t="shared" si="5"/>
        <v>0.2848484848484848</v>
      </c>
      <c r="G67" s="889">
        <f t="shared" si="6"/>
        <v>1.2848484848484847</v>
      </c>
      <c r="H67" s="52">
        <f t="shared" si="7"/>
        <v>0.48</v>
      </c>
      <c r="I67" s="35">
        <f t="shared" si="8"/>
        <v>1.2042603550295856</v>
      </c>
      <c r="J67" s="905">
        <f t="shared" si="9"/>
        <v>4.4129473959077492</v>
      </c>
      <c r="K67" s="895"/>
      <c r="L67" s="1"/>
      <c r="Q67" s="54" t="s">
        <v>506</v>
      </c>
      <c r="R67" s="897">
        <f>'Fatores de Emissão'!I338</f>
        <v>0</v>
      </c>
      <c r="S67" s="895"/>
      <c r="T67" s="1"/>
    </row>
    <row r="68" spans="1:20" ht="40" x14ac:dyDescent="0.35">
      <c r="A68" s="1258"/>
      <c r="B68" s="887" t="str">
        <f t="shared" si="3"/>
        <v>Outras folhosas</v>
      </c>
      <c r="C68" s="34">
        <f t="shared" si="4"/>
        <v>4</v>
      </c>
      <c r="D68" s="22"/>
      <c r="E68" s="890">
        <f t="shared" si="5"/>
        <v>0.9319148936170214</v>
      </c>
      <c r="F68" s="889">
        <f t="shared" si="5"/>
        <v>0.76940639269406419</v>
      </c>
      <c r="G68" s="889">
        <f t="shared" si="6"/>
        <v>1.7694063926940642</v>
      </c>
      <c r="H68" s="52">
        <f t="shared" si="7"/>
        <v>0.48</v>
      </c>
      <c r="I68" s="35">
        <f t="shared" si="8"/>
        <v>3.1659574468085117</v>
      </c>
      <c r="J68" s="905">
        <f t="shared" si="9"/>
        <v>11.60148103530746</v>
      </c>
      <c r="K68" s="895"/>
      <c r="L68" s="1"/>
      <c r="Q68" s="54" t="s">
        <v>507</v>
      </c>
      <c r="R68" s="897">
        <f>'Fatores de Emissão'!I339</f>
        <v>0</v>
      </c>
      <c r="S68" s="895"/>
      <c r="T68" s="1"/>
    </row>
    <row r="69" spans="1:20" ht="20" x14ac:dyDescent="0.35">
      <c r="A69" s="1258"/>
      <c r="B69" s="887" t="str">
        <f t="shared" si="3"/>
        <v>Pinheiro-manso</v>
      </c>
      <c r="C69" s="34">
        <f t="shared" si="4"/>
        <v>5.5</v>
      </c>
      <c r="D69" s="22"/>
      <c r="E69" s="890">
        <f t="shared" si="5"/>
        <v>1.7348837209302326</v>
      </c>
      <c r="F69" s="889">
        <f t="shared" si="5"/>
        <v>3.7533512064343195E-2</v>
      </c>
      <c r="G69" s="889">
        <f t="shared" si="6"/>
        <v>1.0375335120643432</v>
      </c>
      <c r="H69" s="52">
        <f t="shared" si="7"/>
        <v>0.51</v>
      </c>
      <c r="I69" s="35">
        <f t="shared" si="8"/>
        <v>5.0490000000000004</v>
      </c>
      <c r="J69" s="905">
        <f t="shared" si="9"/>
        <v>18.501789342214824</v>
      </c>
      <c r="K69" s="895"/>
      <c r="L69" s="1"/>
      <c r="Q69" s="54" t="s">
        <v>508</v>
      </c>
      <c r="R69" s="897">
        <f>'Fatores de Emissão'!I340</f>
        <v>0</v>
      </c>
      <c r="S69" s="895"/>
      <c r="T69" s="1"/>
    </row>
    <row r="70" spans="1:20" ht="20" x14ac:dyDescent="0.35">
      <c r="A70" s="1258"/>
      <c r="B70" s="887" t="str">
        <f t="shared" si="3"/>
        <v>Outras coníferas</v>
      </c>
      <c r="C70" s="34">
        <f t="shared" si="4"/>
        <v>17</v>
      </c>
      <c r="D70" s="22"/>
      <c r="E70" s="890">
        <f t="shared" si="5"/>
        <v>0.53012048192771088</v>
      </c>
      <c r="F70" s="889">
        <f t="shared" si="5"/>
        <v>0.27727272727272717</v>
      </c>
      <c r="G70" s="889">
        <f t="shared" si="6"/>
        <v>1.2772727272727271</v>
      </c>
      <c r="H70" s="52">
        <f t="shared" si="7"/>
        <v>0.51</v>
      </c>
      <c r="I70" s="35">
        <f t="shared" si="8"/>
        <v>5.8705301204819271</v>
      </c>
      <c r="J70" s="905">
        <f t="shared" si="9"/>
        <v>21.51224234824393</v>
      </c>
      <c r="K70" s="895"/>
      <c r="L70" s="1"/>
      <c r="Q70" s="54" t="s">
        <v>509</v>
      </c>
      <c r="R70" s="897">
        <f>'Fatores de Emissão'!I341</f>
        <v>0</v>
      </c>
      <c r="S70" s="895"/>
      <c r="T70" s="1"/>
    </row>
    <row r="71" spans="1:20" ht="20" x14ac:dyDescent="0.35">
      <c r="A71" s="1258"/>
      <c r="B71" s="887" t="str">
        <f t="shared" si="3"/>
        <v>Culturas anuais de sequeiro</v>
      </c>
      <c r="C71" s="34"/>
      <c r="D71" s="34">
        <f>R44</f>
        <v>0.62</v>
      </c>
      <c r="E71" s="890"/>
      <c r="F71" s="889">
        <f t="shared" ref="F71:F78" si="10">J41</f>
        <v>1</v>
      </c>
      <c r="G71" s="889">
        <f t="shared" si="6"/>
        <v>2</v>
      </c>
      <c r="H71" s="52">
        <f t="shared" si="7"/>
        <v>0.51</v>
      </c>
      <c r="I71" s="35">
        <f>D71*G71*H71</f>
        <v>0.63239999999999996</v>
      </c>
      <c r="J71" s="905">
        <f>I71*($O$57/$O$58)</f>
        <v>2.3173958368026644</v>
      </c>
      <c r="K71" s="895"/>
      <c r="L71" s="1"/>
      <c r="Q71" s="54" t="s">
        <v>510</v>
      </c>
      <c r="R71" s="897">
        <f>'Fatores de Emissão'!I342</f>
        <v>0</v>
      </c>
      <c r="S71" s="895"/>
      <c r="T71" s="1"/>
    </row>
    <row r="72" spans="1:20" ht="40" x14ac:dyDescent="0.35">
      <c r="A72" s="1258"/>
      <c r="B72" s="887" t="str">
        <f t="shared" si="3"/>
        <v>Culturas anuais irrigadas</v>
      </c>
      <c r="C72" s="34"/>
      <c r="D72" s="34">
        <f t="shared" ref="D72:D78" si="11">R45</f>
        <v>0.62</v>
      </c>
      <c r="E72" s="890"/>
      <c r="F72" s="889">
        <f t="shared" si="10"/>
        <v>1</v>
      </c>
      <c r="G72" s="889">
        <f t="shared" si="6"/>
        <v>2</v>
      </c>
      <c r="H72" s="52">
        <f t="shared" si="7"/>
        <v>0.47</v>
      </c>
      <c r="I72" s="35">
        <f t="shared" ref="I72:I78" si="12">D72*G72*H72</f>
        <v>0.58279999999999998</v>
      </c>
      <c r="J72" s="905">
        <f t="shared" si="9"/>
        <v>2.1356393005828478</v>
      </c>
      <c r="K72" s="895"/>
      <c r="L72" s="1"/>
      <c r="Q72" s="54" t="s">
        <v>419</v>
      </c>
      <c r="R72" s="897">
        <f>'Fatores de Emissão'!I343</f>
        <v>0</v>
      </c>
      <c r="S72" s="895"/>
      <c r="T72" s="1"/>
    </row>
    <row r="73" spans="1:20" ht="40" x14ac:dyDescent="0.35">
      <c r="A73" s="1258"/>
      <c r="B73" s="887" t="str">
        <f t="shared" si="3"/>
        <v>Arrozais</v>
      </c>
      <c r="C73" s="34"/>
      <c r="D73" s="34">
        <f t="shared" si="11"/>
        <v>0.62</v>
      </c>
      <c r="E73" s="890"/>
      <c r="F73" s="889">
        <f>J43</f>
        <v>1</v>
      </c>
      <c r="G73" s="889">
        <f>F73+1</f>
        <v>2</v>
      </c>
      <c r="H73" s="52">
        <f t="shared" si="7"/>
        <v>0.47</v>
      </c>
      <c r="I73" s="35">
        <f t="shared" si="12"/>
        <v>0.58279999999999998</v>
      </c>
      <c r="J73" s="905">
        <f t="shared" si="9"/>
        <v>2.1356393005828478</v>
      </c>
      <c r="K73" s="895"/>
      <c r="L73" s="1"/>
      <c r="Q73" s="54" t="s">
        <v>511</v>
      </c>
      <c r="R73" s="897">
        <f>'Fatores de Emissão'!I344</f>
        <v>0</v>
      </c>
      <c r="S73" s="895"/>
      <c r="T73" s="1"/>
    </row>
    <row r="74" spans="1:20" x14ac:dyDescent="0.35">
      <c r="A74" s="1258"/>
      <c r="B74" s="887" t="str">
        <f t="shared" si="3"/>
        <v>Vinhas</v>
      </c>
      <c r="C74" s="34"/>
      <c r="D74" s="34">
        <f t="shared" si="11"/>
        <v>0.31000000000000005</v>
      </c>
      <c r="E74" s="890"/>
      <c r="F74" s="889">
        <f t="shared" si="10"/>
        <v>0.85899999999999999</v>
      </c>
      <c r="G74" s="889">
        <f t="shared" si="6"/>
        <v>1.859</v>
      </c>
      <c r="H74" s="52">
        <f t="shared" si="7"/>
        <v>0.47</v>
      </c>
      <c r="I74" s="35">
        <f t="shared" si="12"/>
        <v>0.27085630000000005</v>
      </c>
      <c r="J74" s="905">
        <f t="shared" si="9"/>
        <v>0.99253836494587866</v>
      </c>
      <c r="K74" s="895"/>
      <c r="L74" s="1"/>
    </row>
    <row r="75" spans="1:20" x14ac:dyDescent="0.35">
      <c r="A75" s="1258"/>
      <c r="B75" s="887" t="str">
        <f t="shared" si="3"/>
        <v>Olivais</v>
      </c>
      <c r="C75" s="34"/>
      <c r="D75" s="34">
        <f t="shared" si="11"/>
        <v>0.45</v>
      </c>
      <c r="E75" s="890"/>
      <c r="F75" s="889">
        <f t="shared" si="10"/>
        <v>0.14599999999999999</v>
      </c>
      <c r="G75" s="889">
        <f t="shared" si="6"/>
        <v>1.1459999999999999</v>
      </c>
      <c r="H75" s="52">
        <f t="shared" si="7"/>
        <v>0.47</v>
      </c>
      <c r="I75" s="35">
        <f t="shared" si="12"/>
        <v>0.24237899999999996</v>
      </c>
      <c r="J75" s="905">
        <f t="shared" si="9"/>
        <v>0.88818482847626967</v>
      </c>
      <c r="K75" s="895"/>
      <c r="L75" s="1"/>
    </row>
    <row r="76" spans="1:20" x14ac:dyDescent="0.35">
      <c r="A76" s="1258"/>
      <c r="B76" s="887" t="str">
        <f t="shared" si="3"/>
        <v>Outras culturas permanentes</v>
      </c>
      <c r="C76" s="34"/>
      <c r="D76" s="34">
        <f t="shared" si="11"/>
        <v>0.49</v>
      </c>
      <c r="E76" s="890"/>
      <c r="F76" s="889">
        <f t="shared" si="10"/>
        <v>0.17499999999999999</v>
      </c>
      <c r="G76" s="889">
        <f t="shared" si="6"/>
        <v>1.175</v>
      </c>
      <c r="H76" s="52">
        <f t="shared" si="7"/>
        <v>0.47</v>
      </c>
      <c r="I76" s="35">
        <f t="shared" si="12"/>
        <v>0.27060249999999997</v>
      </c>
      <c r="J76" s="905">
        <f t="shared" si="9"/>
        <v>0.99160832847626967</v>
      </c>
      <c r="K76" s="895"/>
      <c r="L76" s="1"/>
    </row>
    <row r="77" spans="1:20" x14ac:dyDescent="0.35">
      <c r="A77" s="888"/>
      <c r="B77" s="887" t="str">
        <f t="shared" si="3"/>
        <v>Todos os prados/pastagens</v>
      </c>
      <c r="C77" s="34"/>
      <c r="D77" s="34">
        <f t="shared" si="11"/>
        <v>1.47</v>
      </c>
      <c r="E77" s="890"/>
      <c r="F77" s="889">
        <f t="shared" si="10"/>
        <v>1.778</v>
      </c>
      <c r="G77" s="889">
        <f t="shared" si="6"/>
        <v>2.778</v>
      </c>
      <c r="H77" s="52">
        <f t="shared" si="7"/>
        <v>0.47</v>
      </c>
      <c r="I77" s="35">
        <f t="shared" si="12"/>
        <v>1.9193202</v>
      </c>
      <c r="J77" s="905">
        <f t="shared" si="9"/>
        <v>7.0332457953372192</v>
      </c>
      <c r="K77" s="895"/>
      <c r="L77" s="1"/>
    </row>
    <row r="78" spans="1:20" x14ac:dyDescent="0.35">
      <c r="A78" s="888"/>
      <c r="B78" s="887" t="str">
        <f t="shared" si="3"/>
        <v>Zonas húmidas</v>
      </c>
      <c r="C78" s="34"/>
      <c r="D78" s="34">
        <f t="shared" si="11"/>
        <v>0</v>
      </c>
      <c r="E78" s="890"/>
      <c r="F78" s="889">
        <f t="shared" si="10"/>
        <v>0</v>
      </c>
      <c r="G78" s="889">
        <f t="shared" si="6"/>
        <v>1</v>
      </c>
      <c r="H78" s="52">
        <f t="shared" si="7"/>
        <v>0.47</v>
      </c>
      <c r="I78" s="35">
        <f t="shared" si="12"/>
        <v>0</v>
      </c>
      <c r="J78" s="905">
        <f t="shared" si="9"/>
        <v>0</v>
      </c>
      <c r="K78" s="895"/>
      <c r="L78" s="1"/>
    </row>
    <row r="79" spans="1:20" x14ac:dyDescent="0.35">
      <c r="A79" s="888"/>
      <c r="B79" s="887" t="str">
        <f t="shared" si="3"/>
        <v>Arbustos</v>
      </c>
      <c r="C79" s="34"/>
      <c r="D79" s="34">
        <f>R52</f>
        <v>0.69</v>
      </c>
      <c r="E79" s="890"/>
      <c r="F79" s="889">
        <f>J49</f>
        <v>0.56299999999999994</v>
      </c>
      <c r="G79" s="889">
        <f>F79+1</f>
        <v>1.5629999999999999</v>
      </c>
      <c r="H79" s="52">
        <f>K49</f>
        <v>0.47</v>
      </c>
      <c r="I79" s="35">
        <f>D79*G79*H79</f>
        <v>0.50688089999999986</v>
      </c>
      <c r="J79" s="905">
        <f>I79*($O$57/$O$58)</f>
        <v>1.8574378358867605</v>
      </c>
      <c r="K79" s="895"/>
      <c r="L79" s="1"/>
    </row>
    <row r="80" spans="1:20" x14ac:dyDescent="0.35">
      <c r="A80" s="888"/>
      <c r="B80" s="887" t="str">
        <f t="shared" si="3"/>
        <v>Outros terrenos</v>
      </c>
      <c r="C80" s="34"/>
      <c r="D80" s="34">
        <f>R53</f>
        <v>0.08</v>
      </c>
      <c r="E80" s="890"/>
      <c r="F80" s="889">
        <f>J50</f>
        <v>0.56299999999999994</v>
      </c>
      <c r="G80" s="889">
        <f>F80+1</f>
        <v>1.5629999999999999</v>
      </c>
      <c r="H80" s="52">
        <f>K50</f>
        <v>0.47</v>
      </c>
      <c r="I80" s="35">
        <f>D80*G80*H80</f>
        <v>5.8768799999999989E-2</v>
      </c>
      <c r="J80" s="905">
        <f>I80*($O$57/$O$58)</f>
        <v>0.21535511140716065</v>
      </c>
      <c r="K80" s="895"/>
      <c r="L80" s="1"/>
    </row>
    <row r="81" spans="1:12" x14ac:dyDescent="0.35">
      <c r="A81" s="888"/>
      <c r="B81" s="887" t="s">
        <v>1093</v>
      </c>
      <c r="C81" s="34"/>
      <c r="D81" s="34"/>
      <c r="E81" s="890"/>
      <c r="F81" s="889"/>
      <c r="G81" s="889"/>
      <c r="H81" s="52"/>
      <c r="I81" s="35"/>
      <c r="J81" s="905"/>
      <c r="K81" s="895"/>
      <c r="L81" s="1"/>
    </row>
    <row r="82" spans="1:12" x14ac:dyDescent="0.35">
      <c r="A82" s="888"/>
      <c r="B82" s="887" t="str">
        <f>B51</f>
        <v>Áreas urbanizadas</v>
      </c>
      <c r="C82" s="34"/>
      <c r="D82" s="34">
        <f>R54</f>
        <v>0</v>
      </c>
      <c r="E82" s="890"/>
      <c r="F82" s="889">
        <f>J51</f>
        <v>0</v>
      </c>
      <c r="G82" s="889">
        <f>F82+1</f>
        <v>1</v>
      </c>
      <c r="H82" s="52">
        <f>K51</f>
        <v>0.47</v>
      </c>
      <c r="I82" s="35">
        <f>D82*G82*H82</f>
        <v>0</v>
      </c>
      <c r="J82" s="905">
        <f>I82*($O$57/$O$58)</f>
        <v>0</v>
      </c>
      <c r="K82" s="895"/>
      <c r="L82" s="1"/>
    </row>
    <row r="85" spans="1:12" s="11" customFormat="1" ht="20" x14ac:dyDescent="0.85">
      <c r="B85" s="12" t="s">
        <v>366</v>
      </c>
    </row>
    <row r="88" spans="1:12" ht="18.5" x14ac:dyDescent="0.45">
      <c r="A88" s="883" t="s">
        <v>365</v>
      </c>
      <c r="B88" s="884"/>
      <c r="C88" s="884"/>
      <c r="D88" s="884"/>
      <c r="E88" s="884"/>
      <c r="F88" s="884"/>
      <c r="G88" s="884"/>
      <c r="H88" s="884"/>
      <c r="I88" s="884"/>
    </row>
    <row r="89" spans="1:12" x14ac:dyDescent="0.35">
      <c r="A89" s="1247" t="s">
        <v>344</v>
      </c>
      <c r="B89" s="1248"/>
      <c r="C89" s="1244" t="s">
        <v>367</v>
      </c>
      <c r="D89" s="1245"/>
      <c r="E89" s="1246"/>
      <c r="F89" s="1244" t="s">
        <v>369</v>
      </c>
      <c r="G89" s="1245"/>
      <c r="H89" s="1246"/>
      <c r="I89" s="217" t="s">
        <v>371</v>
      </c>
    </row>
    <row r="90" spans="1:12" x14ac:dyDescent="0.35">
      <c r="A90" s="1249"/>
      <c r="B90" s="1250"/>
      <c r="C90" s="217">
        <v>1995</v>
      </c>
      <c r="D90" s="217">
        <v>2005</v>
      </c>
      <c r="E90" s="217">
        <v>2010</v>
      </c>
      <c r="F90" s="217">
        <v>1995</v>
      </c>
      <c r="G90" s="217">
        <v>2005</v>
      </c>
      <c r="H90" s="217">
        <v>2010</v>
      </c>
      <c r="I90" s="217" t="s">
        <v>370</v>
      </c>
    </row>
    <row r="91" spans="1:12" x14ac:dyDescent="0.35">
      <c r="A91" s="1251"/>
      <c r="B91" s="1252"/>
      <c r="C91" s="217" t="s">
        <v>368</v>
      </c>
      <c r="D91" s="217" t="s">
        <v>368</v>
      </c>
      <c r="E91" s="217" t="s">
        <v>368</v>
      </c>
      <c r="F91" s="217" t="s">
        <v>368</v>
      </c>
      <c r="G91" s="217" t="s">
        <v>368</v>
      </c>
      <c r="H91" s="217" t="s">
        <v>368</v>
      </c>
      <c r="I91" s="217" t="s">
        <v>368</v>
      </c>
    </row>
    <row r="92" spans="1:12" x14ac:dyDescent="0.35">
      <c r="A92" s="1240" t="s">
        <v>325</v>
      </c>
      <c r="B92" s="221" t="str">
        <f>B63</f>
        <v>Pinheiro-bravo</v>
      </c>
      <c r="C92" s="221">
        <v>28.29</v>
      </c>
      <c r="D92" s="221">
        <v>26.74</v>
      </c>
      <c r="E92" s="221">
        <v>26.74</v>
      </c>
      <c r="F92" s="221">
        <v>3.33</v>
      </c>
      <c r="G92" s="221">
        <v>3.14</v>
      </c>
      <c r="H92" s="221">
        <v>3.14</v>
      </c>
      <c r="I92" s="221">
        <v>2.96</v>
      </c>
    </row>
    <row r="93" spans="1:12" x14ac:dyDescent="0.35">
      <c r="A93" s="1241"/>
      <c r="B93" s="221" t="str">
        <f t="shared" ref="B93:B99" si="13">B64</f>
        <v>Sobreiro</v>
      </c>
      <c r="C93" s="221">
        <v>20.67</v>
      </c>
      <c r="D93" s="221">
        <v>20.04</v>
      </c>
      <c r="E93" s="221">
        <v>20.04</v>
      </c>
      <c r="F93" s="221">
        <v>3.03</v>
      </c>
      <c r="G93" s="221">
        <v>2.94</v>
      </c>
      <c r="H93" s="221">
        <v>2.94</v>
      </c>
      <c r="I93" s="221">
        <v>2.04</v>
      </c>
    </row>
    <row r="94" spans="1:12" x14ac:dyDescent="0.35">
      <c r="A94" s="1241"/>
      <c r="B94" s="221" t="str">
        <f t="shared" si="13"/>
        <v>Eucalipto</v>
      </c>
      <c r="C94" s="221">
        <v>16.72</v>
      </c>
      <c r="D94" s="221">
        <v>17.97</v>
      </c>
      <c r="E94" s="221">
        <v>17.97</v>
      </c>
      <c r="F94" s="221">
        <v>3.88</v>
      </c>
      <c r="G94" s="221">
        <v>4.2</v>
      </c>
      <c r="H94" s="221">
        <v>4.2</v>
      </c>
      <c r="I94" s="221">
        <v>1.85</v>
      </c>
    </row>
    <row r="95" spans="1:12" x14ac:dyDescent="0.35">
      <c r="A95" s="1241"/>
      <c r="B95" s="221" t="str">
        <f t="shared" si="13"/>
        <v>Azinheira</v>
      </c>
      <c r="C95" s="221">
        <v>9.4700000000000006</v>
      </c>
      <c r="D95" s="221">
        <v>8.3699999999999992</v>
      </c>
      <c r="E95" s="221">
        <v>8.3699999999999992</v>
      </c>
      <c r="F95" s="221">
        <v>5.03</v>
      </c>
      <c r="G95" s="221">
        <v>4.92</v>
      </c>
      <c r="H95" s="221">
        <v>4.92</v>
      </c>
      <c r="I95" s="221">
        <v>2.04</v>
      </c>
    </row>
    <row r="96" spans="1:12" x14ac:dyDescent="0.35">
      <c r="A96" s="1241"/>
      <c r="B96" s="221" t="str">
        <f t="shared" si="13"/>
        <v>Carvalhos</v>
      </c>
      <c r="C96" s="221">
        <v>15.45</v>
      </c>
      <c r="D96" s="221">
        <v>15.87</v>
      </c>
      <c r="E96" s="221">
        <v>15.87</v>
      </c>
      <c r="F96" s="221">
        <v>4.83</v>
      </c>
      <c r="G96" s="221">
        <v>4.6900000000000004</v>
      </c>
      <c r="H96" s="221">
        <v>4.6900000000000004</v>
      </c>
      <c r="I96" s="221">
        <v>1.85</v>
      </c>
    </row>
    <row r="97" spans="1:14" x14ac:dyDescent="0.35">
      <c r="A97" s="1241"/>
      <c r="B97" s="221" t="str">
        <f t="shared" si="13"/>
        <v>Outras folhosas</v>
      </c>
      <c r="C97" s="221">
        <v>20.399999999999999</v>
      </c>
      <c r="D97" s="221">
        <v>30.79</v>
      </c>
      <c r="E97" s="221">
        <v>30.79</v>
      </c>
      <c r="F97" s="221">
        <v>7.67</v>
      </c>
      <c r="G97" s="221">
        <v>13.34</v>
      </c>
      <c r="H97" s="221">
        <v>13.34</v>
      </c>
      <c r="I97" s="221">
        <v>1.85</v>
      </c>
    </row>
    <row r="98" spans="1:14" x14ac:dyDescent="0.35">
      <c r="A98" s="1241"/>
      <c r="B98" s="221" t="str">
        <f t="shared" si="13"/>
        <v>Pinheiro-manso</v>
      </c>
      <c r="C98" s="221">
        <v>25.4</v>
      </c>
      <c r="D98" s="221">
        <v>18.79</v>
      </c>
      <c r="E98" s="221">
        <v>18.79</v>
      </c>
      <c r="F98" s="221">
        <v>1.96</v>
      </c>
      <c r="G98" s="221">
        <v>1.46</v>
      </c>
      <c r="H98" s="221">
        <v>1.46</v>
      </c>
      <c r="I98" s="221">
        <v>2.41</v>
      </c>
    </row>
    <row r="99" spans="1:14" x14ac:dyDescent="0.35">
      <c r="A99" s="1242"/>
      <c r="B99" s="221" t="str">
        <f t="shared" si="13"/>
        <v>Outras coníferas</v>
      </c>
      <c r="C99" s="221">
        <v>8.6999999999999993</v>
      </c>
      <c r="D99" s="221">
        <v>14.51</v>
      </c>
      <c r="E99" s="221">
        <v>14.51</v>
      </c>
      <c r="F99" s="221">
        <v>1.62</v>
      </c>
      <c r="G99" s="221">
        <v>1.76</v>
      </c>
      <c r="H99" s="221">
        <v>1.76</v>
      </c>
      <c r="I99" s="221">
        <v>2.96</v>
      </c>
    </row>
    <row r="100" spans="1:14" x14ac:dyDescent="0.35">
      <c r="A100" s="1234" t="s">
        <v>327</v>
      </c>
      <c r="B100" s="5" t="str">
        <f>B71</f>
        <v>Culturas anuais de sequeiro</v>
      </c>
      <c r="C100" s="144">
        <v>0.31</v>
      </c>
      <c r="D100" s="144">
        <v>0.31</v>
      </c>
      <c r="E100" s="144">
        <v>0.31</v>
      </c>
      <c r="F100" s="144">
        <v>0.31</v>
      </c>
      <c r="G100" s="144">
        <v>0.31</v>
      </c>
      <c r="H100" s="144">
        <v>0.31</v>
      </c>
      <c r="I100" s="144">
        <v>0.33</v>
      </c>
    </row>
    <row r="101" spans="1:14" x14ac:dyDescent="0.35">
      <c r="A101" s="1235"/>
      <c r="B101" s="5" t="str">
        <f t="shared" ref="B101:B109" si="14">B72</f>
        <v>Culturas anuais irrigadas</v>
      </c>
      <c r="C101" s="144">
        <v>0.31</v>
      </c>
      <c r="D101" s="144">
        <v>0.31</v>
      </c>
      <c r="E101" s="144">
        <v>0.31</v>
      </c>
      <c r="F101" s="144">
        <v>0.31</v>
      </c>
      <c r="G101" s="144">
        <v>0.31</v>
      </c>
      <c r="H101" s="144">
        <v>0.31</v>
      </c>
      <c r="I101" s="144">
        <v>0.33</v>
      </c>
    </row>
    <row r="102" spans="1:14" x14ac:dyDescent="0.35">
      <c r="A102" s="1235"/>
      <c r="B102" s="5" t="str">
        <f t="shared" si="14"/>
        <v>Arrozais</v>
      </c>
      <c r="C102" s="144">
        <v>0.31</v>
      </c>
      <c r="D102" s="144">
        <v>0.31</v>
      </c>
      <c r="E102" s="144">
        <v>0.31</v>
      </c>
      <c r="F102" s="144">
        <v>0.31</v>
      </c>
      <c r="G102" s="144">
        <v>0.31</v>
      </c>
      <c r="H102" s="144">
        <v>0.31</v>
      </c>
      <c r="I102" s="144">
        <v>0.33</v>
      </c>
    </row>
    <row r="103" spans="1:14" x14ac:dyDescent="0.35">
      <c r="A103" s="1235"/>
      <c r="B103" s="5" t="str">
        <f t="shared" si="14"/>
        <v>Vinhas</v>
      </c>
      <c r="C103" s="144">
        <v>3.34</v>
      </c>
      <c r="D103" s="144">
        <v>3.34</v>
      </c>
      <c r="E103" s="144">
        <v>3.34</v>
      </c>
      <c r="F103" s="144">
        <v>2.87</v>
      </c>
      <c r="G103" s="144">
        <v>2.87</v>
      </c>
      <c r="H103" s="144">
        <v>2.87</v>
      </c>
      <c r="I103" s="144">
        <v>0.33</v>
      </c>
    </row>
    <row r="104" spans="1:14" x14ac:dyDescent="0.35">
      <c r="A104" s="1235"/>
      <c r="B104" s="5" t="str">
        <f t="shared" si="14"/>
        <v>Olivais</v>
      </c>
      <c r="C104" s="144">
        <v>7.85</v>
      </c>
      <c r="D104" s="144">
        <v>7.85</v>
      </c>
      <c r="E104" s="144">
        <v>7.85</v>
      </c>
      <c r="F104" s="144">
        <v>1.1499999999999999</v>
      </c>
      <c r="G104" s="144">
        <v>1.1499999999999999</v>
      </c>
      <c r="H104" s="144">
        <v>1.1499999999999999</v>
      </c>
      <c r="I104" s="144">
        <v>0.33</v>
      </c>
    </row>
    <row r="105" spans="1:14" x14ac:dyDescent="0.35">
      <c r="A105" s="1236"/>
      <c r="B105" s="5" t="str">
        <f t="shared" si="14"/>
        <v>Outras culturas permanentes</v>
      </c>
      <c r="C105" s="144">
        <v>8.4600000000000009</v>
      </c>
      <c r="D105" s="144">
        <v>8.4600000000000009</v>
      </c>
      <c r="E105" s="144">
        <v>8.4600000000000009</v>
      </c>
      <c r="F105" s="144">
        <v>1.48</v>
      </c>
      <c r="G105" s="144">
        <v>1.48</v>
      </c>
      <c r="H105" s="144">
        <v>1.48</v>
      </c>
      <c r="I105" s="144">
        <v>0.33</v>
      </c>
    </row>
    <row r="106" spans="1:14" x14ac:dyDescent="0.35">
      <c r="A106" s="5" t="s">
        <v>328</v>
      </c>
      <c r="B106" s="5" t="str">
        <f t="shared" si="14"/>
        <v>Todos os prados/pastagens</v>
      </c>
      <c r="C106" s="144">
        <v>0.53</v>
      </c>
      <c r="D106" s="144">
        <v>0.53</v>
      </c>
      <c r="E106" s="144">
        <v>0.53</v>
      </c>
      <c r="F106" s="144">
        <v>0.94</v>
      </c>
      <c r="G106" s="144">
        <v>0.94</v>
      </c>
      <c r="H106" s="144">
        <v>0.94</v>
      </c>
      <c r="I106" s="144">
        <v>0.41</v>
      </c>
    </row>
    <row r="107" spans="1:14" x14ac:dyDescent="0.35">
      <c r="A107" s="5" t="s">
        <v>329</v>
      </c>
      <c r="B107" s="5" t="str">
        <f t="shared" si="14"/>
        <v>Zonas húmidas</v>
      </c>
      <c r="C107" s="218">
        <v>0</v>
      </c>
      <c r="D107" s="218">
        <v>0</v>
      </c>
      <c r="E107" s="218">
        <v>0</v>
      </c>
      <c r="F107" s="218">
        <v>0</v>
      </c>
      <c r="G107" s="218">
        <v>0</v>
      </c>
      <c r="H107" s="218">
        <v>0</v>
      </c>
      <c r="I107" s="218">
        <v>0</v>
      </c>
    </row>
    <row r="108" spans="1:14" x14ac:dyDescent="0.35">
      <c r="A108" s="142" t="s">
        <v>331</v>
      </c>
      <c r="B108" s="5" t="str">
        <f t="shared" si="14"/>
        <v>Arbustos</v>
      </c>
      <c r="C108" s="144">
        <v>8.7799999999999994</v>
      </c>
      <c r="D108" s="144">
        <v>8.7799999999999994</v>
      </c>
      <c r="E108" s="144">
        <v>8.7799999999999994</v>
      </c>
      <c r="F108" s="144">
        <v>4.9400000000000004</v>
      </c>
      <c r="G108" s="144">
        <v>4.9400000000000004</v>
      </c>
      <c r="H108" s="144">
        <v>4.9400000000000004</v>
      </c>
      <c r="I108" s="144">
        <v>4.96</v>
      </c>
    </row>
    <row r="109" spans="1:14" x14ac:dyDescent="0.35">
      <c r="A109" s="16"/>
      <c r="B109" s="5" t="str">
        <f t="shared" si="14"/>
        <v>Outros terrenos</v>
      </c>
      <c r="C109" s="144">
        <v>1.05</v>
      </c>
      <c r="D109" s="144">
        <v>1.05</v>
      </c>
      <c r="E109" s="144">
        <v>1.05</v>
      </c>
      <c r="F109" s="144">
        <v>0.59</v>
      </c>
      <c r="G109" s="144">
        <v>0.59</v>
      </c>
      <c r="H109" s="144">
        <v>0.59</v>
      </c>
      <c r="I109" s="144">
        <v>2.0699999999999998</v>
      </c>
    </row>
    <row r="110" spans="1:14" x14ac:dyDescent="0.35">
      <c r="A110" s="5" t="s">
        <v>330</v>
      </c>
      <c r="B110" s="5" t="str">
        <f>B82</f>
        <v>Áreas urbanizadas</v>
      </c>
      <c r="C110" s="218">
        <v>0</v>
      </c>
      <c r="D110" s="218">
        <v>0</v>
      </c>
      <c r="E110" s="218">
        <v>0</v>
      </c>
      <c r="F110" s="218">
        <v>0</v>
      </c>
      <c r="G110" s="218">
        <v>0</v>
      </c>
      <c r="H110" s="218">
        <v>0</v>
      </c>
      <c r="I110" s="218">
        <v>0</v>
      </c>
    </row>
    <row r="111" spans="1:14" ht="18.5" x14ac:dyDescent="0.45">
      <c r="K111" s="883" t="s">
        <v>1565</v>
      </c>
      <c r="L111" s="884"/>
    </row>
    <row r="112" spans="1:14" ht="20" x14ac:dyDescent="0.35">
      <c r="K112" s="219" t="s">
        <v>502</v>
      </c>
      <c r="L112" s="896" t="s">
        <v>512</v>
      </c>
      <c r="M112" s="894"/>
      <c r="N112" s="898"/>
    </row>
    <row r="113" spans="1:18" ht="20" x14ac:dyDescent="0.35">
      <c r="K113" s="54" t="str">
        <f>Q63</f>
        <v>Pinheiro-bravo</v>
      </c>
      <c r="L113" s="897">
        <f>'Fatores de Emissão'!C412</f>
        <v>119</v>
      </c>
      <c r="M113" s="895"/>
      <c r="N113" s="1"/>
    </row>
    <row r="114" spans="1:18" ht="20" x14ac:dyDescent="0.45">
      <c r="A114" s="883"/>
      <c r="B114" s="884"/>
      <c r="C114" s="884"/>
      <c r="D114" s="884"/>
      <c r="E114" s="884"/>
      <c r="F114" s="884"/>
      <c r="G114" s="391"/>
      <c r="H114" s="391"/>
      <c r="I114" s="391"/>
      <c r="K114" s="54" t="str">
        <f t="shared" ref="K114:K123" si="15">Q64</f>
        <v>Eucalipto</v>
      </c>
      <c r="L114" s="897">
        <f>'Fatores de Emissão'!C413</f>
        <v>72</v>
      </c>
      <c r="M114" s="895"/>
      <c r="N114" s="1"/>
    </row>
    <row r="115" spans="1:18" ht="26" x14ac:dyDescent="0.35">
      <c r="A115" s="215" t="s">
        <v>344</v>
      </c>
      <c r="B115" s="216" t="s">
        <v>345</v>
      </c>
      <c r="C115" s="216" t="s">
        <v>372</v>
      </c>
      <c r="D115" s="216" t="s">
        <v>373</v>
      </c>
      <c r="E115" s="216" t="s">
        <v>363</v>
      </c>
      <c r="F115" s="899" t="s">
        <v>364</v>
      </c>
      <c r="G115" s="894"/>
      <c r="H115" s="898"/>
      <c r="K115" s="54" t="str">
        <f t="shared" si="15"/>
        <v>Sobreiro</v>
      </c>
      <c r="L115" s="897">
        <f>'Fatores de Emissão'!C414</f>
        <v>79</v>
      </c>
      <c r="M115" s="895"/>
      <c r="N115" s="1"/>
    </row>
    <row r="116" spans="1:18" ht="20" x14ac:dyDescent="0.35">
      <c r="A116" s="1240" t="s">
        <v>325</v>
      </c>
      <c r="B116" s="221" t="str">
        <f>B92</f>
        <v>Pinheiro-bravo</v>
      </c>
      <c r="C116" s="222">
        <f>E92</f>
        <v>26.74</v>
      </c>
      <c r="D116" s="221">
        <f t="shared" ref="D116:D131" si="16">H92</f>
        <v>3.14</v>
      </c>
      <c r="E116" s="222">
        <f>C116+D116</f>
        <v>29.88</v>
      </c>
      <c r="F116" s="900">
        <f>E116*($O$57/$O$58)</f>
        <v>109.49365528726061</v>
      </c>
      <c r="G116" s="903"/>
      <c r="H116" s="902"/>
      <c r="K116" s="54" t="str">
        <f t="shared" si="15"/>
        <v>Azinheira</v>
      </c>
      <c r="L116" s="897">
        <f>'Fatores de Emissão'!C415</f>
        <v>47</v>
      </c>
      <c r="M116" s="895"/>
      <c r="N116" s="1"/>
    </row>
    <row r="117" spans="1:18" ht="20" x14ac:dyDescent="0.35">
      <c r="A117" s="1241"/>
      <c r="B117" s="221" t="str">
        <f t="shared" ref="B117:B123" si="17">B93</f>
        <v>Sobreiro</v>
      </c>
      <c r="C117" s="222">
        <f t="shared" ref="C117:C131" si="18">E93</f>
        <v>20.04</v>
      </c>
      <c r="D117" s="221">
        <f t="shared" si="16"/>
        <v>2.94</v>
      </c>
      <c r="E117" s="222">
        <f t="shared" ref="E117:E131" si="19">C117+D117</f>
        <v>22.98</v>
      </c>
      <c r="F117" s="900">
        <f t="shared" ref="F117:F131" si="20">E117*($O$57/$O$58)</f>
        <v>84.208975853455456</v>
      </c>
      <c r="G117" s="903"/>
      <c r="H117" s="902"/>
      <c r="K117" s="54" t="str">
        <f t="shared" si="15"/>
        <v>Carvalhos</v>
      </c>
      <c r="L117" s="897">
        <f>'Fatores de Emissão'!C416</f>
        <v>112</v>
      </c>
      <c r="M117" s="895"/>
      <c r="N117" s="1"/>
    </row>
    <row r="118" spans="1:18" ht="20" x14ac:dyDescent="0.35">
      <c r="A118" s="1241"/>
      <c r="B118" s="221" t="str">
        <f t="shared" si="17"/>
        <v>Eucalipto</v>
      </c>
      <c r="C118" s="222">
        <f t="shared" si="18"/>
        <v>17.97</v>
      </c>
      <c r="D118" s="221">
        <f t="shared" si="16"/>
        <v>4.2</v>
      </c>
      <c r="E118" s="222">
        <f t="shared" si="19"/>
        <v>22.169999999999998</v>
      </c>
      <c r="F118" s="900">
        <f t="shared" si="20"/>
        <v>81.240774354704413</v>
      </c>
      <c r="G118" s="903"/>
      <c r="H118" s="902"/>
      <c r="K118" s="54" t="str">
        <f t="shared" si="15"/>
        <v>Pinheiro-manso</v>
      </c>
      <c r="L118" s="897">
        <f>'Fatores de Emissão'!C417</f>
        <v>73</v>
      </c>
      <c r="M118" s="895"/>
      <c r="N118" s="1"/>
      <c r="Q118" s="55"/>
      <c r="R118" s="7"/>
    </row>
    <row r="119" spans="1:18" ht="20" x14ac:dyDescent="0.35">
      <c r="A119" s="1241"/>
      <c r="B119" s="221" t="str">
        <f t="shared" si="17"/>
        <v>Azinheira</v>
      </c>
      <c r="C119" s="222">
        <f t="shared" si="18"/>
        <v>8.3699999999999992</v>
      </c>
      <c r="D119" s="221">
        <f t="shared" si="16"/>
        <v>4.92</v>
      </c>
      <c r="E119" s="222">
        <f t="shared" si="19"/>
        <v>13.29</v>
      </c>
      <c r="F119" s="900">
        <f t="shared" si="20"/>
        <v>48.700491257285591</v>
      </c>
      <c r="G119" s="903"/>
      <c r="H119" s="902"/>
      <c r="K119" s="54" t="str">
        <f t="shared" si="15"/>
        <v>Castanheiro</v>
      </c>
      <c r="L119" s="897">
        <f>'Fatores de Emissão'!C418</f>
        <v>251</v>
      </c>
      <c r="M119" s="895"/>
      <c r="N119" s="1"/>
      <c r="Q119" s="55"/>
      <c r="R119" s="7"/>
    </row>
    <row r="120" spans="1:18" ht="20" x14ac:dyDescent="0.35">
      <c r="A120" s="1241"/>
      <c r="B120" s="221" t="str">
        <f t="shared" si="17"/>
        <v>Carvalhos</v>
      </c>
      <c r="C120" s="222">
        <f t="shared" si="18"/>
        <v>15.87</v>
      </c>
      <c r="D120" s="221">
        <f t="shared" si="16"/>
        <v>4.6900000000000004</v>
      </c>
      <c r="E120" s="222">
        <f t="shared" si="19"/>
        <v>20.56</v>
      </c>
      <c r="F120" s="900">
        <f t="shared" si="20"/>
        <v>75.341015820149877</v>
      </c>
      <c r="G120" s="903"/>
      <c r="H120" s="902"/>
      <c r="K120" s="54" t="str">
        <f t="shared" si="15"/>
        <v>Alfarrobeira</v>
      </c>
      <c r="L120" s="897">
        <f>'Fatores de Emissão'!C419</f>
        <v>56</v>
      </c>
      <c r="M120" s="895"/>
      <c r="N120" s="1"/>
      <c r="Q120" s="55"/>
      <c r="R120" s="7"/>
    </row>
    <row r="121" spans="1:18" ht="20" x14ac:dyDescent="0.35">
      <c r="A121" s="1241"/>
      <c r="B121" s="221" t="str">
        <f t="shared" si="17"/>
        <v>Outras folhosas</v>
      </c>
      <c r="C121" s="222">
        <f t="shared" si="18"/>
        <v>30.79</v>
      </c>
      <c r="D121" s="221">
        <f t="shared" si="16"/>
        <v>13.34</v>
      </c>
      <c r="E121" s="222">
        <f t="shared" si="19"/>
        <v>44.129999999999995</v>
      </c>
      <c r="F121" s="900">
        <f t="shared" si="20"/>
        <v>161.7120149875104</v>
      </c>
      <c r="G121" s="903"/>
      <c r="H121" s="902"/>
      <c r="K121" s="54" t="str">
        <f t="shared" si="15"/>
        <v>Acácias</v>
      </c>
      <c r="L121" s="897">
        <f>'Fatores de Emissão'!C420</f>
        <v>135</v>
      </c>
      <c r="M121" s="895"/>
      <c r="N121" s="1"/>
      <c r="Q121" s="55"/>
      <c r="R121" s="7"/>
    </row>
    <row r="122" spans="1:18" ht="20" x14ac:dyDescent="0.35">
      <c r="A122" s="1241"/>
      <c r="B122" s="221" t="str">
        <f t="shared" si="17"/>
        <v>Pinheiro-manso</v>
      </c>
      <c r="C122" s="222">
        <f t="shared" si="18"/>
        <v>18.79</v>
      </c>
      <c r="D122" s="221">
        <f t="shared" si="16"/>
        <v>1.46</v>
      </c>
      <c r="E122" s="222">
        <f t="shared" si="19"/>
        <v>20.25</v>
      </c>
      <c r="F122" s="900">
        <f t="shared" si="20"/>
        <v>74.205037468776027</v>
      </c>
      <c r="G122" s="903"/>
      <c r="H122" s="902"/>
      <c r="K122" s="54" t="str">
        <f t="shared" si="15"/>
        <v>Outras folhosas</v>
      </c>
      <c r="L122" s="897">
        <f>'Fatores de Emissão'!C421</f>
        <v>97</v>
      </c>
      <c r="M122" s="895"/>
      <c r="N122" s="1"/>
      <c r="Q122" s="55"/>
      <c r="R122" s="7"/>
    </row>
    <row r="123" spans="1:18" ht="20" x14ac:dyDescent="0.35">
      <c r="A123" s="1242"/>
      <c r="B123" s="221" t="str">
        <f t="shared" si="17"/>
        <v>Outras coníferas</v>
      </c>
      <c r="C123" s="222">
        <f t="shared" si="18"/>
        <v>14.51</v>
      </c>
      <c r="D123" s="221">
        <f t="shared" si="16"/>
        <v>1.76</v>
      </c>
      <c r="E123" s="222">
        <f t="shared" si="19"/>
        <v>16.27</v>
      </c>
      <c r="F123" s="900">
        <f t="shared" si="20"/>
        <v>59.620541215653624</v>
      </c>
      <c r="G123" s="903"/>
      <c r="H123" s="902"/>
      <c r="K123" s="54" t="str">
        <f t="shared" si="15"/>
        <v>Outras resinosas</v>
      </c>
      <c r="L123" s="897">
        <f>'Fatores de Emissão'!C422</f>
        <v>128</v>
      </c>
      <c r="M123" s="895"/>
      <c r="N123" s="1"/>
      <c r="Q123" s="55"/>
      <c r="R123" s="7"/>
    </row>
    <row r="124" spans="1:18" ht="40" x14ac:dyDescent="0.35">
      <c r="A124" s="1234" t="s">
        <v>327</v>
      </c>
      <c r="B124" s="5" t="str">
        <f>B100</f>
        <v>Culturas anuais de sequeiro</v>
      </c>
      <c r="C124" s="893">
        <f>E100</f>
        <v>0.31</v>
      </c>
      <c r="D124" s="144">
        <f>H100</f>
        <v>0.31</v>
      </c>
      <c r="E124" s="893">
        <f>C124+D124</f>
        <v>0.62</v>
      </c>
      <c r="F124" s="901">
        <f>E124*($O$57/$O$58)</f>
        <v>2.2719567027477101</v>
      </c>
      <c r="G124" s="895"/>
      <c r="H124" s="1"/>
      <c r="K124" s="54" t="str">
        <f>B124</f>
        <v>Culturas anuais de sequeiro</v>
      </c>
      <c r="L124" s="881">
        <f t="shared" ref="L124:L134" si="21">F124</f>
        <v>2.2719567027477101</v>
      </c>
      <c r="Q124" s="55"/>
      <c r="R124" s="7"/>
    </row>
    <row r="125" spans="1:18" ht="20" x14ac:dyDescent="0.35">
      <c r="A125" s="1235"/>
      <c r="B125" s="5" t="str">
        <f t="shared" ref="B125:B134" si="22">B101</f>
        <v>Culturas anuais irrigadas</v>
      </c>
      <c r="C125" s="893">
        <f>E101</f>
        <v>0.31</v>
      </c>
      <c r="D125" s="144">
        <f t="shared" si="16"/>
        <v>0.31</v>
      </c>
      <c r="E125" s="893">
        <f t="shared" si="19"/>
        <v>0.62</v>
      </c>
      <c r="F125" s="901">
        <f t="shared" si="20"/>
        <v>2.2719567027477101</v>
      </c>
      <c r="G125" s="895"/>
      <c r="H125" s="1"/>
      <c r="K125" s="54" t="str">
        <f t="shared" ref="K125:K134" si="23">B125</f>
        <v>Culturas anuais irrigadas</v>
      </c>
      <c r="L125" s="881">
        <f>F125</f>
        <v>2.2719567027477101</v>
      </c>
      <c r="Q125" s="55"/>
      <c r="R125" s="7"/>
    </row>
    <row r="126" spans="1:18" ht="20" x14ac:dyDescent="0.35">
      <c r="A126" s="1235"/>
      <c r="B126" s="5" t="str">
        <f t="shared" si="22"/>
        <v>Arrozais</v>
      </c>
      <c r="C126" s="893">
        <f t="shared" si="18"/>
        <v>0.31</v>
      </c>
      <c r="D126" s="144">
        <f t="shared" si="16"/>
        <v>0.31</v>
      </c>
      <c r="E126" s="893">
        <f t="shared" si="19"/>
        <v>0.62</v>
      </c>
      <c r="F126" s="901">
        <f t="shared" si="20"/>
        <v>2.2719567027477101</v>
      </c>
      <c r="G126" s="895"/>
      <c r="H126" s="1"/>
      <c r="K126" s="54" t="str">
        <f t="shared" si="23"/>
        <v>Arrozais</v>
      </c>
      <c r="L126" s="881">
        <f t="shared" si="21"/>
        <v>2.2719567027477101</v>
      </c>
    </row>
    <row r="127" spans="1:18" ht="20" x14ac:dyDescent="0.35">
      <c r="A127" s="1235"/>
      <c r="B127" s="5" t="str">
        <f t="shared" si="22"/>
        <v>Vinhas</v>
      </c>
      <c r="C127" s="893">
        <f t="shared" si="18"/>
        <v>3.34</v>
      </c>
      <c r="D127" s="144">
        <f t="shared" si="16"/>
        <v>2.87</v>
      </c>
      <c r="E127" s="893">
        <f t="shared" si="19"/>
        <v>6.21</v>
      </c>
      <c r="F127" s="901">
        <f t="shared" si="20"/>
        <v>22.756211490424647</v>
      </c>
      <c r="G127" s="895"/>
      <c r="H127" s="1"/>
      <c r="K127" s="54" t="str">
        <f t="shared" si="23"/>
        <v>Vinhas</v>
      </c>
      <c r="L127" s="881">
        <f t="shared" si="21"/>
        <v>22.756211490424647</v>
      </c>
    </row>
    <row r="128" spans="1:18" ht="20" x14ac:dyDescent="0.35">
      <c r="A128" s="1235"/>
      <c r="B128" s="5" t="str">
        <f t="shared" si="22"/>
        <v>Olivais</v>
      </c>
      <c r="C128" s="893">
        <f t="shared" si="18"/>
        <v>7.85</v>
      </c>
      <c r="D128" s="144">
        <f t="shared" si="16"/>
        <v>1.1499999999999999</v>
      </c>
      <c r="E128" s="893">
        <f t="shared" si="19"/>
        <v>9</v>
      </c>
      <c r="F128" s="901">
        <f t="shared" si="20"/>
        <v>32.980016652789345</v>
      </c>
      <c r="G128" s="895"/>
      <c r="H128" s="1"/>
      <c r="K128" s="54" t="str">
        <f t="shared" si="23"/>
        <v>Olivais</v>
      </c>
      <c r="L128" s="881">
        <f t="shared" si="21"/>
        <v>32.980016652789345</v>
      </c>
    </row>
    <row r="129" spans="1:12" ht="40" x14ac:dyDescent="0.35">
      <c r="A129" s="1236"/>
      <c r="B129" s="5" t="str">
        <f t="shared" si="22"/>
        <v>Outras culturas permanentes</v>
      </c>
      <c r="C129" s="893">
        <f t="shared" si="18"/>
        <v>8.4600000000000009</v>
      </c>
      <c r="D129" s="144">
        <f t="shared" si="16"/>
        <v>1.48</v>
      </c>
      <c r="E129" s="893">
        <f t="shared" si="19"/>
        <v>9.9400000000000013</v>
      </c>
      <c r="F129" s="901">
        <f t="shared" si="20"/>
        <v>36.424596169858454</v>
      </c>
      <c r="G129" s="895"/>
      <c r="H129" s="1"/>
      <c r="K129" s="54" t="str">
        <f t="shared" si="23"/>
        <v>Outras culturas permanentes</v>
      </c>
      <c r="L129" s="881">
        <f t="shared" si="21"/>
        <v>36.424596169858454</v>
      </c>
    </row>
    <row r="130" spans="1:12" ht="40" x14ac:dyDescent="0.35">
      <c r="A130" s="5" t="s">
        <v>328</v>
      </c>
      <c r="B130" s="5" t="str">
        <f t="shared" si="22"/>
        <v>Todos os prados/pastagens</v>
      </c>
      <c r="C130" s="893">
        <f t="shared" si="18"/>
        <v>0.53</v>
      </c>
      <c r="D130" s="144">
        <f>H106</f>
        <v>0.94</v>
      </c>
      <c r="E130" s="893">
        <f t="shared" si="19"/>
        <v>1.47</v>
      </c>
      <c r="F130" s="901">
        <f>E130*($O$57/$O$58)</f>
        <v>5.3867360532889261</v>
      </c>
      <c r="G130" s="895"/>
      <c r="H130" s="1"/>
      <c r="K130" s="54" t="str">
        <f t="shared" si="23"/>
        <v>Todos os prados/pastagens</v>
      </c>
      <c r="L130" s="881">
        <f>F130</f>
        <v>5.3867360532889261</v>
      </c>
    </row>
    <row r="131" spans="1:12" ht="20" x14ac:dyDescent="0.35">
      <c r="A131" s="5" t="s">
        <v>329</v>
      </c>
      <c r="B131" s="5" t="str">
        <f t="shared" si="22"/>
        <v>Zonas húmidas</v>
      </c>
      <c r="C131" s="893">
        <f t="shared" si="18"/>
        <v>0</v>
      </c>
      <c r="D131" s="144">
        <f t="shared" si="16"/>
        <v>0</v>
      </c>
      <c r="E131" s="893">
        <f t="shared" si="19"/>
        <v>0</v>
      </c>
      <c r="F131" s="901">
        <f t="shared" si="20"/>
        <v>0</v>
      </c>
      <c r="G131" s="895"/>
      <c r="H131" s="1"/>
      <c r="K131" s="54" t="str">
        <f t="shared" si="23"/>
        <v>Zonas húmidas</v>
      </c>
      <c r="L131" s="881">
        <f t="shared" si="21"/>
        <v>0</v>
      </c>
    </row>
    <row r="132" spans="1:12" ht="20" x14ac:dyDescent="0.35">
      <c r="A132" s="142" t="s">
        <v>331</v>
      </c>
      <c r="B132" s="5" t="str">
        <f t="shared" si="22"/>
        <v>Arbustos</v>
      </c>
      <c r="C132" s="893">
        <f>E108</f>
        <v>8.7799999999999994</v>
      </c>
      <c r="D132" s="144">
        <f>H108</f>
        <v>4.9400000000000004</v>
      </c>
      <c r="E132" s="893">
        <f>C132+D132</f>
        <v>13.719999999999999</v>
      </c>
      <c r="F132" s="901">
        <f>E132*($O$57/$O$58)</f>
        <v>50.276203164029972</v>
      </c>
      <c r="G132" s="895"/>
      <c r="H132" s="1"/>
      <c r="K132" s="54" t="str">
        <f t="shared" si="23"/>
        <v>Arbustos</v>
      </c>
      <c r="L132" s="881">
        <f t="shared" si="21"/>
        <v>50.276203164029972</v>
      </c>
    </row>
    <row r="133" spans="1:12" ht="20" x14ac:dyDescent="0.35">
      <c r="A133" s="16"/>
      <c r="B133" s="5" t="str">
        <f t="shared" si="22"/>
        <v>Outros terrenos</v>
      </c>
      <c r="C133" s="893">
        <f>E109</f>
        <v>1.05</v>
      </c>
      <c r="D133" s="144">
        <f>H109</f>
        <v>0.59</v>
      </c>
      <c r="E133" s="893">
        <f>C133+D133</f>
        <v>1.6400000000000001</v>
      </c>
      <c r="F133" s="901">
        <f>E133*($O$57/$O$58)</f>
        <v>6.0096919233971695</v>
      </c>
      <c r="G133" s="895"/>
      <c r="H133" s="1"/>
      <c r="K133" s="54" t="str">
        <f t="shared" si="23"/>
        <v>Outros terrenos</v>
      </c>
      <c r="L133" s="881">
        <f t="shared" si="21"/>
        <v>6.0096919233971695</v>
      </c>
    </row>
    <row r="134" spans="1:12" ht="20" x14ac:dyDescent="0.35">
      <c r="A134" s="5" t="s">
        <v>330</v>
      </c>
      <c r="B134" s="5" t="str">
        <f t="shared" si="22"/>
        <v>Áreas urbanizadas</v>
      </c>
      <c r="C134" s="893">
        <f>E110</f>
        <v>0</v>
      </c>
      <c r="D134" s="144">
        <f>H110</f>
        <v>0</v>
      </c>
      <c r="E134" s="893">
        <f>C134+D134</f>
        <v>0</v>
      </c>
      <c r="F134" s="901">
        <f>E134*($O$57/$O$58)</f>
        <v>0</v>
      </c>
      <c r="G134" s="904"/>
      <c r="H134" s="1"/>
      <c r="K134" s="54" t="str">
        <f t="shared" si="23"/>
        <v>Áreas urbanizadas</v>
      </c>
      <c r="L134" s="881">
        <f t="shared" si="21"/>
        <v>0</v>
      </c>
    </row>
    <row r="135" spans="1:12" ht="20" x14ac:dyDescent="0.35">
      <c r="K135" s="54" t="s">
        <v>1093</v>
      </c>
      <c r="L135" s="881"/>
    </row>
    <row r="137" spans="1:12" s="11" customFormat="1" ht="20" x14ac:dyDescent="0.85">
      <c r="B137" s="12" t="s">
        <v>380</v>
      </c>
    </row>
    <row r="139" spans="1:12" x14ac:dyDescent="0.35">
      <c r="A139" s="51" t="s">
        <v>374</v>
      </c>
    </row>
    <row r="140" spans="1:12" ht="34.9" customHeight="1" x14ac:dyDescent="0.35">
      <c r="A140" s="1255" t="s">
        <v>375</v>
      </c>
      <c r="B140" s="1253" t="s">
        <v>376</v>
      </c>
      <c r="C140" s="1254"/>
      <c r="D140" s="1254"/>
      <c r="E140" s="1243"/>
      <c r="F140" s="1257"/>
      <c r="H140" s="1227"/>
      <c r="I140" s="1227"/>
    </row>
    <row r="141" spans="1:12" ht="14.65" customHeight="1" x14ac:dyDescent="0.35">
      <c r="A141" s="1256"/>
      <c r="B141" s="50" t="s">
        <v>377</v>
      </c>
      <c r="C141" s="50" t="s">
        <v>378</v>
      </c>
      <c r="D141" s="880" t="s">
        <v>379</v>
      </c>
      <c r="E141" s="1243"/>
      <c r="F141" s="1257"/>
      <c r="H141" s="1227"/>
      <c r="I141" s="1227"/>
    </row>
    <row r="142" spans="1:12" ht="29" x14ac:dyDescent="0.35">
      <c r="A142" s="147" t="s">
        <v>413</v>
      </c>
      <c r="B142" s="144">
        <v>6.0999999999999999E-2</v>
      </c>
      <c r="C142" s="144">
        <v>1E-3</v>
      </c>
      <c r="D142" s="145">
        <v>0.2</v>
      </c>
      <c r="E142" s="895"/>
      <c r="F142" s="1"/>
      <c r="H142" s="1227"/>
      <c r="I142" s="1227"/>
    </row>
    <row r="143" spans="1:12" ht="29" x14ac:dyDescent="0.35">
      <c r="A143" s="147" t="s">
        <v>414</v>
      </c>
      <c r="B143" s="144">
        <v>0.15</v>
      </c>
      <c r="C143" s="144">
        <v>-0.05</v>
      </c>
      <c r="D143" s="145">
        <v>1.1000000000000001</v>
      </c>
      <c r="E143" s="895"/>
      <c r="F143" s="1"/>
      <c r="H143" s="1227"/>
      <c r="I143" s="1227"/>
    </row>
    <row r="144" spans="1:12" ht="28.15" customHeight="1" x14ac:dyDescent="0.35">
      <c r="A144" s="147" t="s">
        <v>415</v>
      </c>
      <c r="B144" s="144">
        <v>4.3999999999999997E-2</v>
      </c>
      <c r="C144" s="144">
        <v>3.2000000000000001E-2</v>
      </c>
      <c r="D144" s="145">
        <v>0.09</v>
      </c>
      <c r="E144" s="895"/>
      <c r="F144" s="1"/>
      <c r="H144" s="1227"/>
      <c r="I144" s="1227"/>
    </row>
    <row r="147" spans="1:5" s="11" customFormat="1" ht="20" x14ac:dyDescent="0.85">
      <c r="B147" s="12" t="s">
        <v>421</v>
      </c>
    </row>
    <row r="150" spans="1:5" x14ac:dyDescent="0.35">
      <c r="A150" s="1139" t="s">
        <v>35</v>
      </c>
      <c r="B150" s="1228" t="s">
        <v>538</v>
      </c>
      <c r="C150" s="1142" t="s">
        <v>46</v>
      </c>
      <c r="D150" s="1143"/>
      <c r="E150" s="1144"/>
    </row>
    <row r="151" spans="1:5" ht="20" x14ac:dyDescent="0.35">
      <c r="A151" s="1140"/>
      <c r="B151" s="1229"/>
      <c r="C151" s="23" t="s">
        <v>25</v>
      </c>
      <c r="D151" s="24" t="s">
        <v>36</v>
      </c>
      <c r="E151" s="25" t="s">
        <v>255</v>
      </c>
    </row>
    <row r="152" spans="1:5" ht="17" x14ac:dyDescent="0.35">
      <c r="A152" s="32" t="e">
        <f>#REF!</f>
        <v>#REF!</v>
      </c>
      <c r="B152" s="32" t="e">
        <f>#REF!</f>
        <v>#REF!</v>
      </c>
      <c r="C152" s="5" t="e">
        <f>IF($A152=$C$151,$B152,0)</f>
        <v>#REF!</v>
      </c>
      <c r="D152" s="5" t="e">
        <f>IF($A152=$D$151,$B152,0)</f>
        <v>#REF!</v>
      </c>
      <c r="E152" s="5" t="e">
        <f>IF($A152=$E$151,$B152,0)</f>
        <v>#REF!</v>
      </c>
    </row>
    <row r="153" spans="1:5" ht="17" x14ac:dyDescent="0.35">
      <c r="A153" s="32" t="e">
        <f>#REF!</f>
        <v>#REF!</v>
      </c>
      <c r="B153" s="32" t="e">
        <f>#REF!</f>
        <v>#REF!</v>
      </c>
      <c r="C153" s="5" t="e">
        <f t="shared" ref="C153:C182" si="24">IF($A153=$C$151,$B153,0)</f>
        <v>#REF!</v>
      </c>
      <c r="D153" s="5" t="e">
        <f t="shared" ref="D153:D182" si="25">IF($A153=$D$151,$B153,0)</f>
        <v>#REF!</v>
      </c>
      <c r="E153" s="5" t="e">
        <f t="shared" ref="E153:E182" si="26">IF($A153=$E$151,$B153,0)</f>
        <v>#REF!</v>
      </c>
    </row>
    <row r="154" spans="1:5" ht="17" x14ac:dyDescent="0.35">
      <c r="A154" s="32" t="e">
        <f>#REF!</f>
        <v>#REF!</v>
      </c>
      <c r="B154" s="32" t="e">
        <f>#REF!</f>
        <v>#REF!</v>
      </c>
      <c r="C154" s="5" t="e">
        <f t="shared" si="24"/>
        <v>#REF!</v>
      </c>
      <c r="D154" s="5" t="e">
        <f t="shared" si="25"/>
        <v>#REF!</v>
      </c>
      <c r="E154" s="5" t="e">
        <f t="shared" si="26"/>
        <v>#REF!</v>
      </c>
    </row>
    <row r="155" spans="1:5" ht="17" x14ac:dyDescent="0.35">
      <c r="A155" s="32" t="e">
        <f>#REF!</f>
        <v>#REF!</v>
      </c>
      <c r="B155" s="32" t="e">
        <f>#REF!</f>
        <v>#REF!</v>
      </c>
      <c r="C155" s="5" t="e">
        <f t="shared" si="24"/>
        <v>#REF!</v>
      </c>
      <c r="D155" s="5" t="e">
        <f t="shared" si="25"/>
        <v>#REF!</v>
      </c>
      <c r="E155" s="5" t="e">
        <f t="shared" si="26"/>
        <v>#REF!</v>
      </c>
    </row>
    <row r="156" spans="1:5" ht="17" x14ac:dyDescent="0.35">
      <c r="A156" s="32" t="e">
        <f>#REF!</f>
        <v>#REF!</v>
      </c>
      <c r="B156" s="32" t="e">
        <f>#REF!</f>
        <v>#REF!</v>
      </c>
      <c r="C156" s="5" t="e">
        <f t="shared" si="24"/>
        <v>#REF!</v>
      </c>
      <c r="D156" s="5" t="e">
        <f t="shared" si="25"/>
        <v>#REF!</v>
      </c>
      <c r="E156" s="5" t="e">
        <f t="shared" si="26"/>
        <v>#REF!</v>
      </c>
    </row>
    <row r="157" spans="1:5" ht="17" x14ac:dyDescent="0.35">
      <c r="A157" s="32" t="e">
        <f>#REF!</f>
        <v>#REF!</v>
      </c>
      <c r="B157" s="32" t="e">
        <f>#REF!</f>
        <v>#REF!</v>
      </c>
      <c r="C157" s="5" t="e">
        <f t="shared" si="24"/>
        <v>#REF!</v>
      </c>
      <c r="D157" s="5" t="e">
        <f t="shared" si="25"/>
        <v>#REF!</v>
      </c>
      <c r="E157" s="5" t="e">
        <f t="shared" si="26"/>
        <v>#REF!</v>
      </c>
    </row>
    <row r="158" spans="1:5" ht="17" x14ac:dyDescent="0.35">
      <c r="A158" s="32" t="e">
        <f>#REF!</f>
        <v>#REF!</v>
      </c>
      <c r="B158" s="32" t="e">
        <f>#REF!</f>
        <v>#REF!</v>
      </c>
      <c r="C158" s="5" t="e">
        <f t="shared" si="24"/>
        <v>#REF!</v>
      </c>
      <c r="D158" s="5" t="e">
        <f t="shared" si="25"/>
        <v>#REF!</v>
      </c>
      <c r="E158" s="5" t="e">
        <f t="shared" si="26"/>
        <v>#REF!</v>
      </c>
    </row>
    <row r="159" spans="1:5" ht="17" x14ac:dyDescent="0.35">
      <c r="A159" s="32" t="e">
        <f>#REF!</f>
        <v>#REF!</v>
      </c>
      <c r="B159" s="32" t="e">
        <f>#REF!</f>
        <v>#REF!</v>
      </c>
      <c r="C159" s="5" t="e">
        <f t="shared" si="24"/>
        <v>#REF!</v>
      </c>
      <c r="D159" s="5" t="e">
        <f t="shared" si="25"/>
        <v>#REF!</v>
      </c>
      <c r="E159" s="5" t="e">
        <f t="shared" si="26"/>
        <v>#REF!</v>
      </c>
    </row>
    <row r="160" spans="1:5" ht="17" x14ac:dyDescent="0.35">
      <c r="A160" s="32" t="e">
        <f>#REF!</f>
        <v>#REF!</v>
      </c>
      <c r="B160" s="32" t="e">
        <f>#REF!</f>
        <v>#REF!</v>
      </c>
      <c r="C160" s="5" t="e">
        <f t="shared" si="24"/>
        <v>#REF!</v>
      </c>
      <c r="D160" s="5" t="e">
        <f t="shared" si="25"/>
        <v>#REF!</v>
      </c>
      <c r="E160" s="5" t="e">
        <f t="shared" si="26"/>
        <v>#REF!</v>
      </c>
    </row>
    <row r="161" spans="1:5" ht="17" x14ac:dyDescent="0.35">
      <c r="A161" s="32" t="e">
        <f>#REF!</f>
        <v>#REF!</v>
      </c>
      <c r="B161" s="32" t="e">
        <f>#REF!</f>
        <v>#REF!</v>
      </c>
      <c r="C161" s="5" t="e">
        <f t="shared" si="24"/>
        <v>#REF!</v>
      </c>
      <c r="D161" s="5" t="e">
        <f t="shared" si="25"/>
        <v>#REF!</v>
      </c>
      <c r="E161" s="5" t="e">
        <f t="shared" si="26"/>
        <v>#REF!</v>
      </c>
    </row>
    <row r="162" spans="1:5" ht="17" x14ac:dyDescent="0.35">
      <c r="A162" s="32" t="e">
        <f>#REF!</f>
        <v>#REF!</v>
      </c>
      <c r="B162" s="32" t="e">
        <f>#REF!</f>
        <v>#REF!</v>
      </c>
      <c r="C162" s="5" t="e">
        <f t="shared" si="24"/>
        <v>#REF!</v>
      </c>
      <c r="D162" s="5" t="e">
        <f t="shared" si="25"/>
        <v>#REF!</v>
      </c>
      <c r="E162" s="5" t="e">
        <f t="shared" si="26"/>
        <v>#REF!</v>
      </c>
    </row>
    <row r="163" spans="1:5" ht="17" x14ac:dyDescent="0.35">
      <c r="A163" s="32" t="e">
        <f>#REF!</f>
        <v>#REF!</v>
      </c>
      <c r="B163" s="32" t="e">
        <f>#REF!</f>
        <v>#REF!</v>
      </c>
      <c r="C163" s="5" t="e">
        <f t="shared" si="24"/>
        <v>#REF!</v>
      </c>
      <c r="D163" s="5" t="e">
        <f t="shared" si="25"/>
        <v>#REF!</v>
      </c>
      <c r="E163" s="5" t="e">
        <f t="shared" si="26"/>
        <v>#REF!</v>
      </c>
    </row>
    <row r="164" spans="1:5" ht="17" x14ac:dyDescent="0.35">
      <c r="A164" s="32" t="e">
        <f>#REF!</f>
        <v>#REF!</v>
      </c>
      <c r="B164" s="32" t="e">
        <f>#REF!</f>
        <v>#REF!</v>
      </c>
      <c r="C164" s="5" t="e">
        <f t="shared" si="24"/>
        <v>#REF!</v>
      </c>
      <c r="D164" s="5" t="e">
        <f t="shared" si="25"/>
        <v>#REF!</v>
      </c>
      <c r="E164" s="5" t="e">
        <f t="shared" si="26"/>
        <v>#REF!</v>
      </c>
    </row>
    <row r="165" spans="1:5" ht="17" x14ac:dyDescent="0.35">
      <c r="A165" s="32" t="e">
        <f>#REF!</f>
        <v>#REF!</v>
      </c>
      <c r="B165" s="32" t="e">
        <f>#REF!</f>
        <v>#REF!</v>
      </c>
      <c r="C165" s="5" t="e">
        <f t="shared" si="24"/>
        <v>#REF!</v>
      </c>
      <c r="D165" s="5" t="e">
        <f t="shared" si="25"/>
        <v>#REF!</v>
      </c>
      <c r="E165" s="5" t="e">
        <f t="shared" si="26"/>
        <v>#REF!</v>
      </c>
    </row>
    <row r="166" spans="1:5" ht="17" x14ac:dyDescent="0.35">
      <c r="A166" s="32" t="e">
        <f>#REF!</f>
        <v>#REF!</v>
      </c>
      <c r="B166" s="32" t="e">
        <f>#REF!</f>
        <v>#REF!</v>
      </c>
      <c r="C166" s="5" t="e">
        <f t="shared" si="24"/>
        <v>#REF!</v>
      </c>
      <c r="D166" s="5" t="e">
        <f t="shared" si="25"/>
        <v>#REF!</v>
      </c>
      <c r="E166" s="5" t="e">
        <f t="shared" si="26"/>
        <v>#REF!</v>
      </c>
    </row>
    <row r="167" spans="1:5" ht="17" x14ac:dyDescent="0.35">
      <c r="A167" s="32" t="e">
        <f>#REF!</f>
        <v>#REF!</v>
      </c>
      <c r="B167" s="32" t="e">
        <f>#REF!</f>
        <v>#REF!</v>
      </c>
      <c r="C167" s="5" t="e">
        <f t="shared" si="24"/>
        <v>#REF!</v>
      </c>
      <c r="D167" s="5" t="e">
        <f t="shared" si="25"/>
        <v>#REF!</v>
      </c>
      <c r="E167" s="5" t="e">
        <f t="shared" si="26"/>
        <v>#REF!</v>
      </c>
    </row>
    <row r="168" spans="1:5" ht="17" x14ac:dyDescent="0.35">
      <c r="A168" s="32" t="e">
        <f>#REF!</f>
        <v>#REF!</v>
      </c>
      <c r="B168" s="32" t="e">
        <f>#REF!</f>
        <v>#REF!</v>
      </c>
      <c r="C168" s="5" t="e">
        <f t="shared" si="24"/>
        <v>#REF!</v>
      </c>
      <c r="D168" s="5" t="e">
        <f t="shared" si="25"/>
        <v>#REF!</v>
      </c>
      <c r="E168" s="5" t="e">
        <f t="shared" si="26"/>
        <v>#REF!</v>
      </c>
    </row>
    <row r="169" spans="1:5" ht="17" x14ac:dyDescent="0.35">
      <c r="A169" s="32" t="e">
        <f>#REF!</f>
        <v>#REF!</v>
      </c>
      <c r="B169" s="32" t="e">
        <f>#REF!</f>
        <v>#REF!</v>
      </c>
      <c r="C169" s="5" t="e">
        <f t="shared" si="24"/>
        <v>#REF!</v>
      </c>
      <c r="D169" s="5" t="e">
        <f t="shared" si="25"/>
        <v>#REF!</v>
      </c>
      <c r="E169" s="5" t="e">
        <f t="shared" si="26"/>
        <v>#REF!</v>
      </c>
    </row>
    <row r="170" spans="1:5" ht="17" x14ac:dyDescent="0.35">
      <c r="A170" s="32" t="e">
        <f>#REF!</f>
        <v>#REF!</v>
      </c>
      <c r="B170" s="32" t="e">
        <f>#REF!</f>
        <v>#REF!</v>
      </c>
      <c r="C170" s="5" t="e">
        <f t="shared" si="24"/>
        <v>#REF!</v>
      </c>
      <c r="D170" s="5" t="e">
        <f t="shared" si="25"/>
        <v>#REF!</v>
      </c>
      <c r="E170" s="5" t="e">
        <f t="shared" si="26"/>
        <v>#REF!</v>
      </c>
    </row>
    <row r="171" spans="1:5" ht="17" x14ac:dyDescent="0.35">
      <c r="A171" s="32" t="e">
        <f>#REF!</f>
        <v>#REF!</v>
      </c>
      <c r="B171" s="32" t="e">
        <f>#REF!</f>
        <v>#REF!</v>
      </c>
      <c r="C171" s="5" t="e">
        <f t="shared" si="24"/>
        <v>#REF!</v>
      </c>
      <c r="D171" s="5" t="e">
        <f t="shared" si="25"/>
        <v>#REF!</v>
      </c>
      <c r="E171" s="5" t="e">
        <f t="shared" si="26"/>
        <v>#REF!</v>
      </c>
    </row>
    <row r="172" spans="1:5" ht="17" x14ac:dyDescent="0.35">
      <c r="A172" s="32" t="e">
        <f>#REF!</f>
        <v>#REF!</v>
      </c>
      <c r="B172" s="32" t="e">
        <f>#REF!</f>
        <v>#REF!</v>
      </c>
      <c r="C172" s="5" t="e">
        <f t="shared" si="24"/>
        <v>#REF!</v>
      </c>
      <c r="D172" s="5" t="e">
        <f t="shared" si="25"/>
        <v>#REF!</v>
      </c>
      <c r="E172" s="5" t="e">
        <f t="shared" si="26"/>
        <v>#REF!</v>
      </c>
    </row>
    <row r="173" spans="1:5" ht="17" x14ac:dyDescent="0.35">
      <c r="A173" s="32" t="e">
        <f>#REF!</f>
        <v>#REF!</v>
      </c>
      <c r="B173" s="32" t="e">
        <f>#REF!</f>
        <v>#REF!</v>
      </c>
      <c r="C173" s="5" t="e">
        <f t="shared" si="24"/>
        <v>#REF!</v>
      </c>
      <c r="D173" s="5" t="e">
        <f t="shared" si="25"/>
        <v>#REF!</v>
      </c>
      <c r="E173" s="5" t="e">
        <f t="shared" si="26"/>
        <v>#REF!</v>
      </c>
    </row>
    <row r="174" spans="1:5" ht="17" x14ac:dyDescent="0.35">
      <c r="A174" s="32" t="e">
        <f>#REF!</f>
        <v>#REF!</v>
      </c>
      <c r="B174" s="32" t="e">
        <f>#REF!</f>
        <v>#REF!</v>
      </c>
      <c r="C174" s="5" t="e">
        <f t="shared" si="24"/>
        <v>#REF!</v>
      </c>
      <c r="D174" s="5" t="e">
        <f t="shared" si="25"/>
        <v>#REF!</v>
      </c>
      <c r="E174" s="5" t="e">
        <f t="shared" si="26"/>
        <v>#REF!</v>
      </c>
    </row>
    <row r="175" spans="1:5" ht="17" x14ac:dyDescent="0.35">
      <c r="A175" s="32" t="e">
        <f>#REF!</f>
        <v>#REF!</v>
      </c>
      <c r="B175" s="32" t="e">
        <f>#REF!</f>
        <v>#REF!</v>
      </c>
      <c r="C175" s="5" t="e">
        <f t="shared" si="24"/>
        <v>#REF!</v>
      </c>
      <c r="D175" s="5" t="e">
        <f t="shared" si="25"/>
        <v>#REF!</v>
      </c>
      <c r="E175" s="5" t="e">
        <f t="shared" si="26"/>
        <v>#REF!</v>
      </c>
    </row>
    <row r="176" spans="1:5" ht="17" x14ac:dyDescent="0.35">
      <c r="A176" s="32" t="e">
        <f>#REF!</f>
        <v>#REF!</v>
      </c>
      <c r="B176" s="32" t="e">
        <f>#REF!</f>
        <v>#REF!</v>
      </c>
      <c r="C176" s="5" t="e">
        <f t="shared" si="24"/>
        <v>#REF!</v>
      </c>
      <c r="D176" s="5" t="e">
        <f t="shared" si="25"/>
        <v>#REF!</v>
      </c>
      <c r="E176" s="5" t="e">
        <f t="shared" si="26"/>
        <v>#REF!</v>
      </c>
    </row>
    <row r="177" spans="1:5" ht="17" x14ac:dyDescent="0.35">
      <c r="A177" s="32" t="e">
        <f>#REF!</f>
        <v>#REF!</v>
      </c>
      <c r="B177" s="32" t="e">
        <f>#REF!</f>
        <v>#REF!</v>
      </c>
      <c r="C177" s="5" t="e">
        <f t="shared" si="24"/>
        <v>#REF!</v>
      </c>
      <c r="D177" s="5" t="e">
        <f t="shared" si="25"/>
        <v>#REF!</v>
      </c>
      <c r="E177" s="5" t="e">
        <f t="shared" si="26"/>
        <v>#REF!</v>
      </c>
    </row>
    <row r="178" spans="1:5" ht="17" x14ac:dyDescent="0.35">
      <c r="A178" s="32" t="e">
        <f>#REF!</f>
        <v>#REF!</v>
      </c>
      <c r="B178" s="32" t="e">
        <f>#REF!</f>
        <v>#REF!</v>
      </c>
      <c r="C178" s="5" t="e">
        <f t="shared" si="24"/>
        <v>#REF!</v>
      </c>
      <c r="D178" s="5" t="e">
        <f t="shared" si="25"/>
        <v>#REF!</v>
      </c>
      <c r="E178" s="5" t="e">
        <f t="shared" si="26"/>
        <v>#REF!</v>
      </c>
    </row>
    <row r="179" spans="1:5" ht="17" x14ac:dyDescent="0.35">
      <c r="A179" s="32" t="e">
        <f>#REF!</f>
        <v>#REF!</v>
      </c>
      <c r="B179" s="32" t="e">
        <f>#REF!</f>
        <v>#REF!</v>
      </c>
      <c r="C179" s="5" t="e">
        <f t="shared" si="24"/>
        <v>#REF!</v>
      </c>
      <c r="D179" s="5" t="e">
        <f t="shared" si="25"/>
        <v>#REF!</v>
      </c>
      <c r="E179" s="5" t="e">
        <f t="shared" si="26"/>
        <v>#REF!</v>
      </c>
    </row>
    <row r="180" spans="1:5" ht="17" x14ac:dyDescent="0.35">
      <c r="A180" s="32" t="e">
        <f>#REF!</f>
        <v>#REF!</v>
      </c>
      <c r="B180" s="32" t="e">
        <f>#REF!</f>
        <v>#REF!</v>
      </c>
      <c r="C180" s="5" t="e">
        <f t="shared" si="24"/>
        <v>#REF!</v>
      </c>
      <c r="D180" s="5" t="e">
        <f t="shared" si="25"/>
        <v>#REF!</v>
      </c>
      <c r="E180" s="5" t="e">
        <f t="shared" si="26"/>
        <v>#REF!</v>
      </c>
    </row>
    <row r="181" spans="1:5" ht="17" x14ac:dyDescent="0.35">
      <c r="A181" s="32" t="e">
        <f>#REF!</f>
        <v>#REF!</v>
      </c>
      <c r="B181" s="32" t="e">
        <f>#REF!</f>
        <v>#REF!</v>
      </c>
      <c r="C181" s="5" t="e">
        <f t="shared" si="24"/>
        <v>#REF!</v>
      </c>
      <c r="D181" s="5" t="e">
        <f t="shared" si="25"/>
        <v>#REF!</v>
      </c>
      <c r="E181" s="5" t="e">
        <f t="shared" si="26"/>
        <v>#REF!</v>
      </c>
    </row>
    <row r="182" spans="1:5" ht="17" x14ac:dyDescent="0.35">
      <c r="A182" s="32" t="e">
        <f>#REF!</f>
        <v>#REF!</v>
      </c>
      <c r="B182" s="32" t="e">
        <f>#REF!</f>
        <v>#REF!</v>
      </c>
      <c r="C182" s="5" t="e">
        <f t="shared" si="24"/>
        <v>#REF!</v>
      </c>
      <c r="D182" s="5" t="e">
        <f t="shared" si="25"/>
        <v>#REF!</v>
      </c>
      <c r="E182" s="5" t="e">
        <f t="shared" si="26"/>
        <v>#REF!</v>
      </c>
    </row>
    <row r="183" spans="1:5" x14ac:dyDescent="0.35">
      <c r="C183" s="5" t="e">
        <f>SUM(C152:C182)</f>
        <v>#REF!</v>
      </c>
      <c r="D183" s="5" t="e">
        <f t="shared" ref="D183:E183" si="27">SUM(D152:D182)</f>
        <v>#REF!</v>
      </c>
      <c r="E183" s="5" t="e">
        <f t="shared" si="27"/>
        <v>#REF!</v>
      </c>
    </row>
    <row r="184" spans="1:5" ht="20" x14ac:dyDescent="0.35">
      <c r="C184" s="13" t="s">
        <v>25</v>
      </c>
      <c r="D184" s="14" t="s">
        <v>36</v>
      </c>
      <c r="E184" s="15" t="s">
        <v>255</v>
      </c>
    </row>
    <row r="186" spans="1:5" s="11" customFormat="1" ht="20" x14ac:dyDescent="0.85">
      <c r="B186" s="12" t="s">
        <v>422</v>
      </c>
    </row>
    <row r="189" spans="1:5" x14ac:dyDescent="0.35">
      <c r="A189" s="1139" t="s">
        <v>35</v>
      </c>
      <c r="B189" s="1230" t="s">
        <v>423</v>
      </c>
      <c r="C189" s="1142" t="s">
        <v>46</v>
      </c>
      <c r="D189" s="1143"/>
      <c r="E189" s="1144"/>
    </row>
    <row r="190" spans="1:5" ht="20" x14ac:dyDescent="0.35">
      <c r="A190" s="1140"/>
      <c r="B190" s="1231"/>
      <c r="C190" s="23" t="s">
        <v>25</v>
      </c>
      <c r="D190" s="24" t="s">
        <v>36</v>
      </c>
      <c r="E190" s="25" t="s">
        <v>255</v>
      </c>
    </row>
    <row r="191" spans="1:5" ht="17" x14ac:dyDescent="0.35">
      <c r="A191" s="32" t="e">
        <f>#REF!</f>
        <v>#REF!</v>
      </c>
      <c r="B191" s="32" t="e">
        <f>#REF!</f>
        <v>#REF!</v>
      </c>
      <c r="C191" s="5" t="e">
        <f>IF($A191=$C$151,$B191,0)</f>
        <v>#REF!</v>
      </c>
      <c r="D191" s="5" t="e">
        <f>IF($A191=$D$151,$B191,0)</f>
        <v>#REF!</v>
      </c>
      <c r="E191" s="5" t="e">
        <f>IF($A191=$E$151,$B191,0)</f>
        <v>#REF!</v>
      </c>
    </row>
    <row r="192" spans="1:5" ht="17" x14ac:dyDescent="0.35">
      <c r="A192" s="32" t="e">
        <f>#REF!</f>
        <v>#REF!</v>
      </c>
      <c r="B192" s="32" t="e">
        <f>#REF!</f>
        <v>#REF!</v>
      </c>
      <c r="C192" s="5" t="e">
        <f t="shared" ref="C192:C221" si="28">IF($A192=$C$151,$B192,0)</f>
        <v>#REF!</v>
      </c>
      <c r="D192" s="5" t="e">
        <f t="shared" ref="D192:D221" si="29">IF($A192=$D$151,$B192,0)</f>
        <v>#REF!</v>
      </c>
      <c r="E192" s="5" t="e">
        <f t="shared" ref="E192:E221" si="30">IF($A192=$E$151,$B192,0)</f>
        <v>#REF!</v>
      </c>
    </row>
    <row r="193" spans="1:5" ht="17" x14ac:dyDescent="0.35">
      <c r="A193" s="32" t="e">
        <f>#REF!</f>
        <v>#REF!</v>
      </c>
      <c r="B193" s="32" t="e">
        <f>#REF!</f>
        <v>#REF!</v>
      </c>
      <c r="C193" s="5" t="e">
        <f t="shared" si="28"/>
        <v>#REF!</v>
      </c>
      <c r="D193" s="5" t="e">
        <f t="shared" si="29"/>
        <v>#REF!</v>
      </c>
      <c r="E193" s="5" t="e">
        <f t="shared" si="30"/>
        <v>#REF!</v>
      </c>
    </row>
    <row r="194" spans="1:5" ht="17" x14ac:dyDescent="0.35">
      <c r="A194" s="32" t="e">
        <f>#REF!</f>
        <v>#REF!</v>
      </c>
      <c r="B194" s="32" t="e">
        <f>#REF!</f>
        <v>#REF!</v>
      </c>
      <c r="C194" s="5" t="e">
        <f t="shared" si="28"/>
        <v>#REF!</v>
      </c>
      <c r="D194" s="5" t="e">
        <f t="shared" si="29"/>
        <v>#REF!</v>
      </c>
      <c r="E194" s="5" t="e">
        <f t="shared" si="30"/>
        <v>#REF!</v>
      </c>
    </row>
    <row r="195" spans="1:5" ht="17" x14ac:dyDescent="0.35">
      <c r="A195" s="32" t="e">
        <f>#REF!</f>
        <v>#REF!</v>
      </c>
      <c r="B195" s="32" t="e">
        <f>#REF!</f>
        <v>#REF!</v>
      </c>
      <c r="C195" s="5" t="e">
        <f t="shared" si="28"/>
        <v>#REF!</v>
      </c>
      <c r="D195" s="5" t="e">
        <f t="shared" si="29"/>
        <v>#REF!</v>
      </c>
      <c r="E195" s="5" t="e">
        <f t="shared" si="30"/>
        <v>#REF!</v>
      </c>
    </row>
    <row r="196" spans="1:5" ht="17" x14ac:dyDescent="0.35">
      <c r="A196" s="32" t="e">
        <f>#REF!</f>
        <v>#REF!</v>
      </c>
      <c r="B196" s="32" t="e">
        <f>#REF!</f>
        <v>#REF!</v>
      </c>
      <c r="C196" s="5" t="e">
        <f t="shared" si="28"/>
        <v>#REF!</v>
      </c>
      <c r="D196" s="5" t="e">
        <f t="shared" si="29"/>
        <v>#REF!</v>
      </c>
      <c r="E196" s="5" t="e">
        <f t="shared" si="30"/>
        <v>#REF!</v>
      </c>
    </row>
    <row r="197" spans="1:5" ht="17" x14ac:dyDescent="0.35">
      <c r="A197" s="32" t="e">
        <f>#REF!</f>
        <v>#REF!</v>
      </c>
      <c r="B197" s="32" t="e">
        <f>#REF!</f>
        <v>#REF!</v>
      </c>
      <c r="C197" s="5" t="e">
        <f t="shared" si="28"/>
        <v>#REF!</v>
      </c>
      <c r="D197" s="5" t="e">
        <f t="shared" si="29"/>
        <v>#REF!</v>
      </c>
      <c r="E197" s="5" t="e">
        <f t="shared" si="30"/>
        <v>#REF!</v>
      </c>
    </row>
    <row r="198" spans="1:5" ht="17" x14ac:dyDescent="0.35">
      <c r="A198" s="32" t="e">
        <f>#REF!</f>
        <v>#REF!</v>
      </c>
      <c r="B198" s="32" t="e">
        <f>#REF!</f>
        <v>#REF!</v>
      </c>
      <c r="C198" s="5" t="e">
        <f t="shared" si="28"/>
        <v>#REF!</v>
      </c>
      <c r="D198" s="5" t="e">
        <f t="shared" si="29"/>
        <v>#REF!</v>
      </c>
      <c r="E198" s="5" t="e">
        <f t="shared" si="30"/>
        <v>#REF!</v>
      </c>
    </row>
    <row r="199" spans="1:5" ht="17" x14ac:dyDescent="0.35">
      <c r="A199" s="32" t="e">
        <f>#REF!</f>
        <v>#REF!</v>
      </c>
      <c r="B199" s="32" t="e">
        <f>#REF!</f>
        <v>#REF!</v>
      </c>
      <c r="C199" s="5" t="e">
        <f t="shared" si="28"/>
        <v>#REF!</v>
      </c>
      <c r="D199" s="5" t="e">
        <f t="shared" si="29"/>
        <v>#REF!</v>
      </c>
      <c r="E199" s="5" t="e">
        <f t="shared" si="30"/>
        <v>#REF!</v>
      </c>
    </row>
    <row r="200" spans="1:5" ht="17" x14ac:dyDescent="0.35">
      <c r="A200" s="32" t="e">
        <f>#REF!</f>
        <v>#REF!</v>
      </c>
      <c r="B200" s="32" t="e">
        <f>#REF!</f>
        <v>#REF!</v>
      </c>
      <c r="C200" s="5" t="e">
        <f t="shared" si="28"/>
        <v>#REF!</v>
      </c>
      <c r="D200" s="5" t="e">
        <f t="shared" si="29"/>
        <v>#REF!</v>
      </c>
      <c r="E200" s="5" t="e">
        <f t="shared" si="30"/>
        <v>#REF!</v>
      </c>
    </row>
    <row r="201" spans="1:5" ht="17" x14ac:dyDescent="0.35">
      <c r="A201" s="32" t="e">
        <f>#REF!</f>
        <v>#REF!</v>
      </c>
      <c r="B201" s="32" t="e">
        <f>#REF!</f>
        <v>#REF!</v>
      </c>
      <c r="C201" s="5" t="e">
        <f t="shared" si="28"/>
        <v>#REF!</v>
      </c>
      <c r="D201" s="5" t="e">
        <f t="shared" si="29"/>
        <v>#REF!</v>
      </c>
      <c r="E201" s="5" t="e">
        <f t="shared" si="30"/>
        <v>#REF!</v>
      </c>
    </row>
    <row r="202" spans="1:5" ht="17" x14ac:dyDescent="0.35">
      <c r="A202" s="32" t="e">
        <f>#REF!</f>
        <v>#REF!</v>
      </c>
      <c r="B202" s="32" t="e">
        <f>#REF!</f>
        <v>#REF!</v>
      </c>
      <c r="C202" s="5" t="e">
        <f t="shared" si="28"/>
        <v>#REF!</v>
      </c>
      <c r="D202" s="5" t="e">
        <f t="shared" si="29"/>
        <v>#REF!</v>
      </c>
      <c r="E202" s="5" t="e">
        <f t="shared" si="30"/>
        <v>#REF!</v>
      </c>
    </row>
    <row r="203" spans="1:5" ht="17" x14ac:dyDescent="0.35">
      <c r="A203" s="32" t="e">
        <f>#REF!</f>
        <v>#REF!</v>
      </c>
      <c r="B203" s="32" t="e">
        <f>#REF!</f>
        <v>#REF!</v>
      </c>
      <c r="C203" s="5" t="e">
        <f t="shared" si="28"/>
        <v>#REF!</v>
      </c>
      <c r="D203" s="5" t="e">
        <f t="shared" si="29"/>
        <v>#REF!</v>
      </c>
      <c r="E203" s="5" t="e">
        <f t="shared" si="30"/>
        <v>#REF!</v>
      </c>
    </row>
    <row r="204" spans="1:5" ht="17" x14ac:dyDescent="0.35">
      <c r="A204" s="32" t="e">
        <f>#REF!</f>
        <v>#REF!</v>
      </c>
      <c r="B204" s="32" t="e">
        <f>#REF!</f>
        <v>#REF!</v>
      </c>
      <c r="C204" s="5" t="e">
        <f t="shared" si="28"/>
        <v>#REF!</v>
      </c>
      <c r="D204" s="5" t="e">
        <f t="shared" si="29"/>
        <v>#REF!</v>
      </c>
      <c r="E204" s="5" t="e">
        <f t="shared" si="30"/>
        <v>#REF!</v>
      </c>
    </row>
    <row r="205" spans="1:5" ht="17" x14ac:dyDescent="0.35">
      <c r="A205" s="32" t="e">
        <f>#REF!</f>
        <v>#REF!</v>
      </c>
      <c r="B205" s="32" t="e">
        <f>#REF!</f>
        <v>#REF!</v>
      </c>
      <c r="C205" s="5" t="e">
        <f t="shared" si="28"/>
        <v>#REF!</v>
      </c>
      <c r="D205" s="5" t="e">
        <f t="shared" si="29"/>
        <v>#REF!</v>
      </c>
      <c r="E205" s="5" t="e">
        <f t="shared" si="30"/>
        <v>#REF!</v>
      </c>
    </row>
    <row r="206" spans="1:5" ht="17" x14ac:dyDescent="0.35">
      <c r="A206" s="32" t="e">
        <f>#REF!</f>
        <v>#REF!</v>
      </c>
      <c r="B206" s="32" t="e">
        <f>#REF!</f>
        <v>#REF!</v>
      </c>
      <c r="C206" s="5" t="e">
        <f t="shared" si="28"/>
        <v>#REF!</v>
      </c>
      <c r="D206" s="5" t="e">
        <f t="shared" si="29"/>
        <v>#REF!</v>
      </c>
      <c r="E206" s="5" t="e">
        <f t="shared" si="30"/>
        <v>#REF!</v>
      </c>
    </row>
    <row r="207" spans="1:5" ht="17" x14ac:dyDescent="0.35">
      <c r="A207" s="32" t="e">
        <f>#REF!</f>
        <v>#REF!</v>
      </c>
      <c r="B207" s="32" t="e">
        <f>#REF!</f>
        <v>#REF!</v>
      </c>
      <c r="C207" s="5" t="e">
        <f t="shared" si="28"/>
        <v>#REF!</v>
      </c>
      <c r="D207" s="5" t="e">
        <f t="shared" si="29"/>
        <v>#REF!</v>
      </c>
      <c r="E207" s="5" t="e">
        <f t="shared" si="30"/>
        <v>#REF!</v>
      </c>
    </row>
    <row r="208" spans="1:5" ht="17" x14ac:dyDescent="0.35">
      <c r="A208" s="32" t="e">
        <f>#REF!</f>
        <v>#REF!</v>
      </c>
      <c r="B208" s="32" t="e">
        <f>#REF!</f>
        <v>#REF!</v>
      </c>
      <c r="C208" s="5" t="e">
        <f t="shared" si="28"/>
        <v>#REF!</v>
      </c>
      <c r="D208" s="5" t="e">
        <f t="shared" si="29"/>
        <v>#REF!</v>
      </c>
      <c r="E208" s="5" t="e">
        <f t="shared" si="30"/>
        <v>#REF!</v>
      </c>
    </row>
    <row r="209" spans="1:5" ht="17" x14ac:dyDescent="0.35">
      <c r="A209" s="32" t="e">
        <f>#REF!</f>
        <v>#REF!</v>
      </c>
      <c r="B209" s="32" t="e">
        <f>#REF!</f>
        <v>#REF!</v>
      </c>
      <c r="C209" s="5" t="e">
        <f t="shared" si="28"/>
        <v>#REF!</v>
      </c>
      <c r="D209" s="5" t="e">
        <f t="shared" si="29"/>
        <v>#REF!</v>
      </c>
      <c r="E209" s="5" t="e">
        <f t="shared" si="30"/>
        <v>#REF!</v>
      </c>
    </row>
    <row r="210" spans="1:5" ht="17" x14ac:dyDescent="0.35">
      <c r="A210" s="32" t="e">
        <f>#REF!</f>
        <v>#REF!</v>
      </c>
      <c r="B210" s="32" t="e">
        <f>#REF!</f>
        <v>#REF!</v>
      </c>
      <c r="C210" s="5" t="e">
        <f t="shared" si="28"/>
        <v>#REF!</v>
      </c>
      <c r="D210" s="5" t="e">
        <f t="shared" si="29"/>
        <v>#REF!</v>
      </c>
      <c r="E210" s="5" t="e">
        <f t="shared" si="30"/>
        <v>#REF!</v>
      </c>
    </row>
    <row r="211" spans="1:5" ht="17" x14ac:dyDescent="0.35">
      <c r="A211" s="32" t="e">
        <f>#REF!</f>
        <v>#REF!</v>
      </c>
      <c r="B211" s="32" t="e">
        <f>#REF!</f>
        <v>#REF!</v>
      </c>
      <c r="C211" s="5" t="e">
        <f t="shared" si="28"/>
        <v>#REF!</v>
      </c>
      <c r="D211" s="5" t="e">
        <f t="shared" si="29"/>
        <v>#REF!</v>
      </c>
      <c r="E211" s="5" t="e">
        <f t="shared" si="30"/>
        <v>#REF!</v>
      </c>
    </row>
    <row r="212" spans="1:5" ht="17" x14ac:dyDescent="0.35">
      <c r="A212" s="32" t="e">
        <f>#REF!</f>
        <v>#REF!</v>
      </c>
      <c r="B212" s="32" t="e">
        <f>#REF!</f>
        <v>#REF!</v>
      </c>
      <c r="C212" s="5" t="e">
        <f t="shared" si="28"/>
        <v>#REF!</v>
      </c>
      <c r="D212" s="5" t="e">
        <f t="shared" si="29"/>
        <v>#REF!</v>
      </c>
      <c r="E212" s="5" t="e">
        <f t="shared" si="30"/>
        <v>#REF!</v>
      </c>
    </row>
    <row r="213" spans="1:5" ht="17" x14ac:dyDescent="0.35">
      <c r="A213" s="32" t="e">
        <f>#REF!</f>
        <v>#REF!</v>
      </c>
      <c r="B213" s="32" t="e">
        <f>#REF!</f>
        <v>#REF!</v>
      </c>
      <c r="C213" s="5" t="e">
        <f t="shared" si="28"/>
        <v>#REF!</v>
      </c>
      <c r="D213" s="5" t="e">
        <f t="shared" si="29"/>
        <v>#REF!</v>
      </c>
      <c r="E213" s="5" t="e">
        <f t="shared" si="30"/>
        <v>#REF!</v>
      </c>
    </row>
    <row r="214" spans="1:5" ht="17" x14ac:dyDescent="0.35">
      <c r="A214" s="32" t="e">
        <f>#REF!</f>
        <v>#REF!</v>
      </c>
      <c r="B214" s="32" t="e">
        <f>#REF!</f>
        <v>#REF!</v>
      </c>
      <c r="C214" s="5" t="e">
        <f t="shared" si="28"/>
        <v>#REF!</v>
      </c>
      <c r="D214" s="5" t="e">
        <f t="shared" si="29"/>
        <v>#REF!</v>
      </c>
      <c r="E214" s="5" t="e">
        <f t="shared" si="30"/>
        <v>#REF!</v>
      </c>
    </row>
    <row r="215" spans="1:5" ht="17" x14ac:dyDescent="0.35">
      <c r="A215" s="32" t="e">
        <f>#REF!</f>
        <v>#REF!</v>
      </c>
      <c r="B215" s="32" t="e">
        <f>#REF!</f>
        <v>#REF!</v>
      </c>
      <c r="C215" s="5" t="e">
        <f t="shared" si="28"/>
        <v>#REF!</v>
      </c>
      <c r="D215" s="5" t="e">
        <f t="shared" si="29"/>
        <v>#REF!</v>
      </c>
      <c r="E215" s="5" t="e">
        <f t="shared" si="30"/>
        <v>#REF!</v>
      </c>
    </row>
    <row r="216" spans="1:5" ht="17" x14ac:dyDescent="0.35">
      <c r="A216" s="32" t="e">
        <f>#REF!</f>
        <v>#REF!</v>
      </c>
      <c r="B216" s="32" t="e">
        <f>#REF!</f>
        <v>#REF!</v>
      </c>
      <c r="C216" s="5" t="e">
        <f t="shared" si="28"/>
        <v>#REF!</v>
      </c>
      <c r="D216" s="5" t="e">
        <f t="shared" si="29"/>
        <v>#REF!</v>
      </c>
      <c r="E216" s="5" t="e">
        <f t="shared" si="30"/>
        <v>#REF!</v>
      </c>
    </row>
    <row r="217" spans="1:5" x14ac:dyDescent="0.35">
      <c r="A217" s="42" t="e">
        <f>#REF!</f>
        <v>#REF!</v>
      </c>
      <c r="B217" s="42" t="e">
        <f>#REF!</f>
        <v>#REF!</v>
      </c>
      <c r="C217" s="5" t="e">
        <f t="shared" si="28"/>
        <v>#REF!</v>
      </c>
      <c r="D217" s="5" t="e">
        <f t="shared" si="29"/>
        <v>#REF!</v>
      </c>
      <c r="E217" s="5" t="e">
        <f t="shared" si="30"/>
        <v>#REF!</v>
      </c>
    </row>
    <row r="218" spans="1:5" x14ac:dyDescent="0.35">
      <c r="A218" s="42" t="e">
        <f>#REF!</f>
        <v>#REF!</v>
      </c>
      <c r="B218" s="42" t="e">
        <f>#REF!</f>
        <v>#REF!</v>
      </c>
      <c r="C218" s="5" t="e">
        <f t="shared" si="28"/>
        <v>#REF!</v>
      </c>
      <c r="D218" s="5" t="e">
        <f t="shared" si="29"/>
        <v>#REF!</v>
      </c>
      <c r="E218" s="5" t="e">
        <f t="shared" si="30"/>
        <v>#REF!</v>
      </c>
    </row>
    <row r="219" spans="1:5" x14ac:dyDescent="0.35">
      <c r="A219" s="42" t="e">
        <f>#REF!</f>
        <v>#REF!</v>
      </c>
      <c r="B219" s="42" t="e">
        <f>#REF!</f>
        <v>#REF!</v>
      </c>
      <c r="C219" s="5" t="e">
        <f t="shared" si="28"/>
        <v>#REF!</v>
      </c>
      <c r="D219" s="5" t="e">
        <f t="shared" si="29"/>
        <v>#REF!</v>
      </c>
      <c r="E219" s="5" t="e">
        <f t="shared" si="30"/>
        <v>#REF!</v>
      </c>
    </row>
    <row r="220" spans="1:5" x14ac:dyDescent="0.35">
      <c r="A220" s="42" t="e">
        <f>#REF!</f>
        <v>#REF!</v>
      </c>
      <c r="B220" s="42" t="e">
        <f>#REF!</f>
        <v>#REF!</v>
      </c>
      <c r="C220" s="5" t="e">
        <f t="shared" si="28"/>
        <v>#REF!</v>
      </c>
      <c r="D220" s="5" t="e">
        <f t="shared" si="29"/>
        <v>#REF!</v>
      </c>
      <c r="E220" s="5" t="e">
        <f t="shared" si="30"/>
        <v>#REF!</v>
      </c>
    </row>
    <row r="221" spans="1:5" x14ac:dyDescent="0.35">
      <c r="A221" s="42" t="e">
        <f>#REF!</f>
        <v>#REF!</v>
      </c>
      <c r="B221" s="42" t="e">
        <f>#REF!</f>
        <v>#REF!</v>
      </c>
      <c r="C221" s="5" t="e">
        <f t="shared" si="28"/>
        <v>#REF!</v>
      </c>
      <c r="D221" s="5" t="e">
        <f t="shared" si="29"/>
        <v>#REF!</v>
      </c>
      <c r="E221" s="5" t="e">
        <f t="shared" si="30"/>
        <v>#REF!</v>
      </c>
    </row>
    <row r="222" spans="1:5" x14ac:dyDescent="0.35">
      <c r="C222" s="5" t="e">
        <f>SUM(C191:C221)</f>
        <v>#REF!</v>
      </c>
      <c r="D222" s="5" t="e">
        <f t="shared" ref="D222" si="31">SUM(D191:D221)</f>
        <v>#REF!</v>
      </c>
      <c r="E222" s="5" t="e">
        <f t="shared" ref="E222" si="32">SUM(E191:E221)</f>
        <v>#REF!</v>
      </c>
    </row>
    <row r="223" spans="1:5" ht="20" x14ac:dyDescent="0.35">
      <c r="C223" s="13" t="s">
        <v>25</v>
      </c>
      <c r="D223" s="14" t="s">
        <v>36</v>
      </c>
      <c r="E223" s="15" t="s">
        <v>255</v>
      </c>
    </row>
  </sheetData>
  <mergeCells count="31">
    <mergeCell ref="W31:AB31"/>
    <mergeCell ref="A116:A123"/>
    <mergeCell ref="A124:A129"/>
    <mergeCell ref="E140:E141"/>
    <mergeCell ref="F89:H89"/>
    <mergeCell ref="C89:E89"/>
    <mergeCell ref="A89:B91"/>
    <mergeCell ref="A92:A99"/>
    <mergeCell ref="A100:A105"/>
    <mergeCell ref="B140:D140"/>
    <mergeCell ref="A140:A141"/>
    <mergeCell ref="F140:F141"/>
    <mergeCell ref="H140:I141"/>
    <mergeCell ref="O31:O32"/>
    <mergeCell ref="A63:A70"/>
    <mergeCell ref="A71:A76"/>
    <mergeCell ref="N31:N32"/>
    <mergeCell ref="A33:A40"/>
    <mergeCell ref="A41:A46"/>
    <mergeCell ref="A31:A32"/>
    <mergeCell ref="B31:B32"/>
    <mergeCell ref="C31:C32"/>
    <mergeCell ref="H142:I142"/>
    <mergeCell ref="A150:A151"/>
    <mergeCell ref="B150:B151"/>
    <mergeCell ref="C150:E150"/>
    <mergeCell ref="A189:A190"/>
    <mergeCell ref="B189:B190"/>
    <mergeCell ref="C189:E189"/>
    <mergeCell ref="H143:I143"/>
    <mergeCell ref="H144:I144"/>
  </mergeCells>
  <pageMargins left="0.7" right="0.7" top="0.75" bottom="0.75" header="0.3" footer="0.3"/>
  <pageSetup paperSize="9"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BD7CC-AFF3-4AE3-8609-BCB602FB03AB}">
  <sheetPr codeName="Folha18">
    <tabColor rgb="FF02A39C"/>
  </sheetPr>
  <dimension ref="A1:AH302"/>
  <sheetViews>
    <sheetView showGridLines="0" topLeftCell="B258" zoomScale="70" zoomScaleNormal="70" workbookViewId="0">
      <selection activeCell="B151" sqref="B151:E151"/>
    </sheetView>
  </sheetViews>
  <sheetFormatPr defaultColWidth="8.81640625" defaultRowHeight="15.5" zeroHeight="1" outlineLevelRow="3" x14ac:dyDescent="0.35"/>
  <cols>
    <col min="1" max="1" width="12.1796875" style="169" customWidth="1"/>
    <col min="2" max="2" width="18.7265625" style="169" customWidth="1"/>
    <col min="3" max="3" width="41.453125" style="169" customWidth="1"/>
    <col min="4" max="4" width="34.7265625" style="169" customWidth="1"/>
    <col min="5" max="5" width="43.7265625" style="169" customWidth="1"/>
    <col min="6" max="6" width="37.26953125" style="169" customWidth="1"/>
    <col min="7" max="7" width="23.81640625" style="169" customWidth="1"/>
    <col min="8" max="8" width="20.81640625" style="169" customWidth="1"/>
    <col min="9" max="9" width="12" style="169" bestFit="1" customWidth="1"/>
    <col min="10" max="10" width="13.54296875" style="169" bestFit="1" customWidth="1"/>
    <col min="11" max="15" width="8.7265625" style="169" bestFit="1" customWidth="1"/>
    <col min="16" max="16" width="21.7265625" style="169" customWidth="1"/>
    <col min="17" max="17" width="12" style="169" customWidth="1"/>
    <col min="18" max="19" width="8.7265625" style="169" bestFit="1" customWidth="1"/>
    <col min="20" max="20" width="22" style="169" customWidth="1"/>
    <col min="21" max="21" width="13.453125" style="169" customWidth="1"/>
    <col min="22" max="22" width="13.54296875" style="169" customWidth="1"/>
    <col min="23" max="23" width="12" style="169" customWidth="1"/>
    <col min="24" max="24" width="12.453125" style="169" customWidth="1"/>
    <col min="25" max="25" width="13.1796875" style="169" customWidth="1"/>
    <col min="26" max="26" width="12.453125" style="169" customWidth="1"/>
    <col min="27" max="28" width="13.26953125" style="169" customWidth="1"/>
    <col min="29" max="29" width="12.7265625" style="169" customWidth="1"/>
    <col min="30" max="30" width="10.81640625" style="169" customWidth="1"/>
    <col min="31" max="31" width="13.54296875" style="169" customWidth="1"/>
    <col min="32" max="32" width="12.7265625" style="169" customWidth="1"/>
    <col min="33" max="33" width="12" style="169" customWidth="1"/>
    <col min="34" max="34" width="14.26953125" style="169" customWidth="1"/>
    <col min="35" max="16384" width="8.81640625" style="169"/>
  </cols>
  <sheetData>
    <row r="1" spans="2:28" x14ac:dyDescent="0.35"/>
    <row r="2" spans="2:28" x14ac:dyDescent="0.35"/>
    <row r="3" spans="2:28" x14ac:dyDescent="0.35"/>
    <row r="4" spans="2:28" x14ac:dyDescent="0.35"/>
    <row r="5" spans="2:28" x14ac:dyDescent="0.35"/>
    <row r="6" spans="2:28" x14ac:dyDescent="0.35"/>
    <row r="7" spans="2:28" x14ac:dyDescent="0.35"/>
    <row r="8" spans="2:28" x14ac:dyDescent="0.35"/>
    <row r="9" spans="2:28" ht="18.5" x14ac:dyDescent="0.45">
      <c r="D9" s="1131" t="str">
        <f>IF(Triagem!C34="","Não indicou na TRIAGEM se esta folha se adequa ao projeto",IF(Triagem!C34="Não","Não necessita de preencher esta folha","Folha a ser preenchida"))</f>
        <v>Não indicou na TRIAGEM se esta folha se adequa ao projeto</v>
      </c>
      <c r="E9" s="1131"/>
      <c r="F9" s="1131"/>
      <c r="G9" s="304"/>
      <c r="H9" s="304"/>
    </row>
    <row r="10" spans="2:28" ht="18.5" x14ac:dyDescent="0.45">
      <c r="D10" s="379"/>
      <c r="E10" s="379"/>
      <c r="F10" s="379"/>
    </row>
    <row r="11" spans="2:28" x14ac:dyDescent="0.35">
      <c r="B11" s="305"/>
    </row>
    <row r="12" spans="2:28" ht="23.5" customHeight="1" x14ac:dyDescent="0.35">
      <c r="B12" s="176" t="s">
        <v>1496</v>
      </c>
    </row>
    <row r="13" spans="2:28" ht="23.5" customHeight="1" x14ac:dyDescent="0.35">
      <c r="B13" s="423" t="s">
        <v>1497</v>
      </c>
    </row>
    <row r="14" spans="2:28" ht="23.5" customHeight="1" x14ac:dyDescent="0.35">
      <c r="B14" s="303"/>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5" customHeight="1" x14ac:dyDescent="0.35">
      <c r="B15" s="303" t="s">
        <v>984</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5" customHeight="1" x14ac:dyDescent="0.35">
      <c r="B16" s="308" t="s">
        <v>985</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30" ht="38.5" customHeight="1" x14ac:dyDescent="0.35">
      <c r="C17" s="1265" t="s">
        <v>1543</v>
      </c>
      <c r="D17" s="1265"/>
      <c r="E17" s="1265"/>
      <c r="F17" s="1265"/>
      <c r="G17" s="1265"/>
      <c r="H17" s="1265"/>
      <c r="I17" s="306"/>
      <c r="J17" s="306"/>
      <c r="K17" s="306"/>
      <c r="L17" s="306"/>
      <c r="M17" s="306"/>
      <c r="N17" s="306"/>
      <c r="O17" s="306"/>
      <c r="P17" s="306"/>
      <c r="Q17" s="306"/>
      <c r="R17" s="306"/>
      <c r="S17" s="307"/>
      <c r="T17" s="307"/>
      <c r="U17" s="307"/>
      <c r="V17" s="307"/>
      <c r="W17" s="307"/>
      <c r="X17" s="307"/>
      <c r="Y17" s="307"/>
      <c r="Z17" s="307"/>
      <c r="AA17" s="307"/>
      <c r="AB17" s="307"/>
    </row>
    <row r="18" spans="1:30" ht="23.5" customHeight="1" x14ac:dyDescent="0.35">
      <c r="B18" s="308" t="s">
        <v>986</v>
      </c>
      <c r="C18" s="306"/>
      <c r="D18" s="306"/>
      <c r="E18" s="306"/>
      <c r="F18" s="306"/>
      <c r="G18" s="306"/>
      <c r="H18" s="306"/>
      <c r="I18" s="306"/>
      <c r="J18" s="306"/>
      <c r="K18" s="306"/>
      <c r="L18" s="306"/>
      <c r="M18" s="306"/>
      <c r="N18" s="306"/>
      <c r="O18" s="306"/>
      <c r="P18" s="306"/>
      <c r="Q18" s="306"/>
      <c r="R18" s="306"/>
      <c r="S18" s="307"/>
      <c r="T18" s="307"/>
      <c r="U18" s="307"/>
      <c r="V18" s="307"/>
      <c r="W18" s="307"/>
      <c r="X18" s="307"/>
      <c r="Y18" s="307"/>
      <c r="Z18" s="307"/>
      <c r="AA18" s="307"/>
      <c r="AB18" s="307"/>
    </row>
    <row r="19" spans="1:30" ht="23.5" customHeight="1" x14ac:dyDescent="0.35">
      <c r="C19" s="303" t="s">
        <v>1219</v>
      </c>
      <c r="D19" s="306"/>
      <c r="E19" s="306"/>
      <c r="F19" s="306"/>
      <c r="G19" s="306"/>
      <c r="H19" s="306"/>
      <c r="I19" s="306"/>
      <c r="J19" s="306"/>
      <c r="K19" s="306"/>
      <c r="L19" s="306"/>
      <c r="M19" s="306"/>
      <c r="N19" s="306"/>
      <c r="O19" s="306"/>
      <c r="P19" s="306"/>
      <c r="Q19" s="306"/>
      <c r="R19" s="306"/>
      <c r="S19" s="307"/>
      <c r="T19" s="307"/>
      <c r="U19" s="307"/>
      <c r="V19" s="307"/>
      <c r="W19" s="307"/>
      <c r="X19" s="307"/>
      <c r="Y19" s="307"/>
      <c r="Z19" s="307"/>
      <c r="AA19" s="307"/>
      <c r="AB19" s="307"/>
    </row>
    <row r="20" spans="1:30" ht="16.5" customHeight="1" x14ac:dyDescent="0.35">
      <c r="B20" s="183"/>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row>
    <row r="21" spans="1:30" s="538" customFormat="1" ht="30" customHeight="1" x14ac:dyDescent="0.35">
      <c r="B21" s="296" t="s">
        <v>969</v>
      </c>
    </row>
    <row r="22" spans="1:30" x14ac:dyDescent="0.35"/>
    <row r="23" spans="1:30" ht="24.65" customHeight="1" outlineLevel="1" x14ac:dyDescent="0.35">
      <c r="B23" s="309" t="s">
        <v>0</v>
      </c>
      <c r="C23" s="310"/>
      <c r="D23" s="310"/>
      <c r="E23" s="310"/>
      <c r="F23" s="310"/>
      <c r="G23" s="310"/>
      <c r="H23" s="311"/>
      <c r="I23" s="311"/>
      <c r="J23" s="311"/>
      <c r="K23" s="311"/>
      <c r="L23" s="311"/>
      <c r="M23" s="311"/>
      <c r="N23" s="311"/>
      <c r="O23" s="311"/>
      <c r="P23" s="311"/>
      <c r="Q23" s="311"/>
      <c r="R23" s="311"/>
      <c r="S23" s="311"/>
      <c r="T23" s="311"/>
      <c r="U23" s="311"/>
      <c r="V23" s="311"/>
      <c r="W23" s="311"/>
      <c r="X23" s="311"/>
      <c r="Y23" s="311"/>
      <c r="Z23" s="311"/>
      <c r="AA23" s="311"/>
      <c r="AB23" s="311"/>
    </row>
    <row r="24" spans="1:30" ht="24.65" customHeight="1" outlineLevel="1" x14ac:dyDescent="0.35">
      <c r="B24" s="312" t="s">
        <v>978</v>
      </c>
      <c r="C24" s="310"/>
      <c r="D24" s="310"/>
      <c r="E24" s="310"/>
      <c r="F24" s="310"/>
      <c r="G24" s="310"/>
      <c r="H24" s="311"/>
      <c r="I24" s="311"/>
      <c r="J24" s="311"/>
      <c r="K24" s="311"/>
      <c r="L24" s="311"/>
      <c r="M24" s="311"/>
      <c r="N24" s="311"/>
      <c r="O24" s="311"/>
      <c r="P24" s="311"/>
      <c r="Q24" s="311"/>
      <c r="R24" s="311"/>
      <c r="S24" s="311"/>
      <c r="T24" s="311"/>
      <c r="U24" s="311"/>
      <c r="V24" s="311"/>
      <c r="W24" s="311"/>
      <c r="X24" s="311"/>
      <c r="Y24" s="311"/>
      <c r="Z24" s="311"/>
      <c r="AA24" s="311"/>
      <c r="AB24" s="311"/>
    </row>
    <row r="25" spans="1:30" outlineLevel="1" x14ac:dyDescent="0.35">
      <c r="B25" s="313" t="s">
        <v>1225</v>
      </c>
      <c r="C25" s="310"/>
      <c r="D25" s="310"/>
      <c r="E25" s="310"/>
      <c r="F25" s="310"/>
      <c r="G25" s="310"/>
      <c r="H25" s="311"/>
      <c r="I25" s="311"/>
      <c r="J25" s="311"/>
      <c r="K25" s="311"/>
      <c r="L25" s="311"/>
      <c r="M25" s="311"/>
      <c r="N25" s="311"/>
      <c r="O25" s="311"/>
      <c r="P25" s="311"/>
      <c r="Q25" s="311"/>
      <c r="R25" s="311"/>
      <c r="S25" s="311"/>
      <c r="T25" s="311"/>
      <c r="U25" s="311"/>
      <c r="V25" s="311"/>
      <c r="W25" s="311"/>
      <c r="X25" s="311"/>
      <c r="Y25" s="311"/>
      <c r="Z25" s="311"/>
      <c r="AA25" s="311"/>
      <c r="AB25" s="311"/>
    </row>
    <row r="26" spans="1:30" outlineLevel="1" x14ac:dyDescent="0.35">
      <c r="B26" s="313" t="s">
        <v>1173</v>
      </c>
      <c r="C26" s="172"/>
      <c r="D26" s="172"/>
      <c r="E26" s="172"/>
      <c r="F26" s="172"/>
      <c r="G26" s="172"/>
    </row>
    <row r="27" spans="1:30" outlineLevel="1" x14ac:dyDescent="0.35">
      <c r="B27" s="313" t="s">
        <v>979</v>
      </c>
      <c r="C27" s="172"/>
      <c r="D27" s="172"/>
      <c r="E27" s="172"/>
      <c r="F27" s="172"/>
      <c r="G27" s="172"/>
    </row>
    <row r="28" spans="1:30" outlineLevel="1" x14ac:dyDescent="0.35">
      <c r="B28" s="313" t="s">
        <v>980</v>
      </c>
      <c r="C28" s="172"/>
      <c r="D28" s="172"/>
      <c r="E28" s="172"/>
      <c r="F28" s="172"/>
      <c r="G28" s="172"/>
    </row>
    <row r="29" spans="1:30" outlineLevel="1" x14ac:dyDescent="0.35"/>
    <row r="30" spans="1:30" outlineLevel="1" x14ac:dyDescent="0.35">
      <c r="B30" s="236" t="s">
        <v>977</v>
      </c>
    </row>
    <row r="31" spans="1:30" s="316" customFormat="1" ht="45.65" customHeight="1" outlineLevel="1" x14ac:dyDescent="0.35">
      <c r="A31" s="314"/>
      <c r="B31" s="257" t="s">
        <v>598</v>
      </c>
      <c r="C31" s="315" t="s">
        <v>976</v>
      </c>
      <c r="D31" s="184" t="s">
        <v>1218</v>
      </c>
      <c r="E31" s="300" t="s">
        <v>1174</v>
      </c>
      <c r="F31" s="238" t="s">
        <v>1175</v>
      </c>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row>
    <row r="32" spans="1:30" s="262" customFormat="1" outlineLevel="1" x14ac:dyDescent="0.35">
      <c r="A32" s="317" t="s">
        <v>39</v>
      </c>
      <c r="B32" s="301" t="s">
        <v>36</v>
      </c>
      <c r="C32" s="204" t="s">
        <v>1224</v>
      </c>
      <c r="D32" s="831">
        <v>10000</v>
      </c>
      <c r="E32" s="988">
        <v>3.2946623166942093E-2</v>
      </c>
      <c r="F32" s="988">
        <v>329.46623166942095</v>
      </c>
      <c r="H32" s="306"/>
      <c r="I32" s="306"/>
      <c r="J32" s="306"/>
      <c r="K32" s="306"/>
      <c r="L32" s="306"/>
      <c r="M32" s="306"/>
      <c r="N32" s="306"/>
      <c r="O32" s="306"/>
      <c r="P32" s="306"/>
      <c r="Q32" s="306"/>
      <c r="R32" s="306"/>
      <c r="S32" s="306"/>
      <c r="T32" s="306"/>
      <c r="U32" s="306"/>
      <c r="V32" s="306"/>
      <c r="W32" s="306"/>
      <c r="X32" s="306"/>
      <c r="Y32" s="306"/>
      <c r="Z32" s="306"/>
      <c r="AA32" s="306"/>
      <c r="AB32" s="306"/>
      <c r="AC32" s="306"/>
      <c r="AD32" s="306"/>
    </row>
    <row r="33" spans="2:30" s="314" customFormat="1" outlineLevel="1" x14ac:dyDescent="0.35">
      <c r="B33" s="318"/>
      <c r="C33" s="194"/>
      <c r="D33" s="342"/>
      <c r="E33" s="962" t="str">
        <f>IFERROR(VLOOKUP(B33,FAEE!$G$19:$L$21,6,FALSE),"")</f>
        <v/>
      </c>
      <c r="F33" s="962" t="str">
        <f>IFERROR(IF(D33="","",D33*E33),"")</f>
        <v/>
      </c>
      <c r="H33" s="306"/>
      <c r="I33" s="306"/>
      <c r="J33" s="306"/>
      <c r="K33" s="306"/>
      <c r="L33" s="306"/>
      <c r="M33" s="306"/>
      <c r="N33" s="306"/>
      <c r="O33" s="306"/>
      <c r="P33" s="306"/>
      <c r="Q33" s="306"/>
      <c r="R33" s="306"/>
      <c r="S33" s="306"/>
      <c r="T33" s="306"/>
      <c r="U33" s="306"/>
      <c r="V33" s="306"/>
      <c r="W33" s="306"/>
      <c r="X33" s="306"/>
      <c r="Y33" s="306"/>
      <c r="Z33" s="306"/>
      <c r="AA33" s="306"/>
      <c r="AB33" s="306"/>
      <c r="AC33" s="306"/>
      <c r="AD33" s="306"/>
    </row>
    <row r="34" spans="2:30" s="314" customFormat="1" outlineLevel="1" x14ac:dyDescent="0.35">
      <c r="B34" s="318"/>
      <c r="C34" s="194"/>
      <c r="D34" s="342"/>
      <c r="E34" s="962" t="str">
        <f>IFERROR(VLOOKUP(B34,FAEE!$G$19:$L$21,6,FALSE),"")</f>
        <v/>
      </c>
      <c r="F34" s="962" t="str">
        <f t="shared" ref="F34:F43" si="0">IFERROR(IF(D34="","",D34*E34),"")</f>
        <v/>
      </c>
      <c r="H34" s="306"/>
      <c r="I34" s="306"/>
      <c r="J34" s="306"/>
      <c r="K34" s="306"/>
      <c r="L34" s="306"/>
      <c r="M34" s="306"/>
      <c r="N34" s="306"/>
      <c r="O34" s="306"/>
      <c r="P34" s="306"/>
      <c r="Q34" s="306"/>
      <c r="R34" s="306"/>
      <c r="S34" s="306"/>
      <c r="T34" s="306"/>
      <c r="U34" s="306"/>
      <c r="V34" s="306"/>
      <c r="W34" s="306"/>
      <c r="X34" s="306"/>
      <c r="Y34" s="306"/>
      <c r="Z34" s="306"/>
      <c r="AA34" s="306"/>
      <c r="AB34" s="306"/>
      <c r="AC34" s="306"/>
      <c r="AD34" s="306"/>
    </row>
    <row r="35" spans="2:30" s="314" customFormat="1" outlineLevel="1" x14ac:dyDescent="0.35">
      <c r="B35" s="318"/>
      <c r="C35" s="194"/>
      <c r="D35" s="342"/>
      <c r="E35" s="962" t="str">
        <f>IFERROR(VLOOKUP(B35,FAEE!$G$19:$L$21,6,FALSE),"")</f>
        <v/>
      </c>
      <c r="F35" s="962" t="str">
        <f t="shared" si="0"/>
        <v/>
      </c>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row>
    <row r="36" spans="2:30" s="314" customFormat="1" outlineLevel="1" x14ac:dyDescent="0.35">
      <c r="B36" s="318"/>
      <c r="C36" s="194"/>
      <c r="D36" s="342"/>
      <c r="E36" s="962" t="str">
        <f>IFERROR(VLOOKUP(B36,FAEE!$G$19:$L$21,6,FALSE),"")</f>
        <v/>
      </c>
      <c r="F36" s="962" t="str">
        <f t="shared" si="0"/>
        <v/>
      </c>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row>
    <row r="37" spans="2:30" s="314" customFormat="1" outlineLevel="1" x14ac:dyDescent="0.35">
      <c r="B37" s="318"/>
      <c r="C37" s="194"/>
      <c r="D37" s="342"/>
      <c r="E37" s="962" t="str">
        <f>IFERROR(VLOOKUP(B37,FAEE!$G$19:$L$21,6,FALSE),"")</f>
        <v/>
      </c>
      <c r="F37" s="962" t="str">
        <f t="shared" si="0"/>
        <v/>
      </c>
      <c r="H37" s="306"/>
      <c r="I37" s="306"/>
      <c r="J37" s="306"/>
      <c r="K37" s="306"/>
      <c r="L37" s="306"/>
      <c r="M37" s="306"/>
      <c r="N37" s="306"/>
      <c r="O37" s="306"/>
      <c r="P37" s="306"/>
      <c r="Q37" s="306"/>
      <c r="R37" s="306"/>
      <c r="S37" s="306"/>
      <c r="T37" s="306"/>
      <c r="U37" s="306"/>
      <c r="V37" s="306"/>
      <c r="W37" s="306"/>
      <c r="X37" s="306"/>
      <c r="Y37" s="306"/>
      <c r="Z37" s="306"/>
      <c r="AA37" s="306"/>
      <c r="AB37" s="306"/>
      <c r="AC37" s="306"/>
      <c r="AD37" s="306"/>
    </row>
    <row r="38" spans="2:30" s="314" customFormat="1" outlineLevel="1" x14ac:dyDescent="0.35">
      <c r="B38" s="318"/>
      <c r="C38" s="194"/>
      <c r="D38" s="342"/>
      <c r="E38" s="962" t="str">
        <f>IFERROR(VLOOKUP(B38,FAEE!$G$19:$L$21,6,FALSE),"")</f>
        <v/>
      </c>
      <c r="F38" s="962" t="str">
        <f t="shared" si="0"/>
        <v/>
      </c>
      <c r="H38" s="306"/>
      <c r="I38" s="306"/>
      <c r="J38" s="306"/>
      <c r="K38" s="306"/>
      <c r="L38" s="306"/>
      <c r="M38" s="306"/>
      <c r="N38" s="306"/>
      <c r="O38" s="306"/>
      <c r="P38" s="306"/>
      <c r="Q38" s="306"/>
      <c r="R38" s="306"/>
      <c r="S38" s="306"/>
      <c r="T38" s="306"/>
      <c r="U38" s="306"/>
      <c r="V38" s="306"/>
      <c r="W38" s="306"/>
      <c r="X38" s="306"/>
      <c r="Y38" s="306"/>
      <c r="Z38" s="306"/>
      <c r="AA38" s="306"/>
      <c r="AB38" s="306"/>
      <c r="AC38" s="306"/>
      <c r="AD38" s="306"/>
    </row>
    <row r="39" spans="2:30" s="314" customFormat="1" outlineLevel="1" x14ac:dyDescent="0.35">
      <c r="B39" s="318"/>
      <c r="C39" s="194"/>
      <c r="D39" s="342"/>
      <c r="E39" s="962" t="str">
        <f>IFERROR(VLOOKUP(B39,FAEE!$G$19:$L$21,6,FALSE),"")</f>
        <v/>
      </c>
      <c r="F39" s="962" t="str">
        <f t="shared" si="0"/>
        <v/>
      </c>
      <c r="H39" s="306"/>
      <c r="I39" s="306"/>
      <c r="J39" s="306"/>
      <c r="K39" s="306"/>
      <c r="L39" s="306"/>
      <c r="M39" s="306"/>
      <c r="N39" s="306"/>
      <c r="O39" s="306"/>
      <c r="P39" s="306"/>
      <c r="Q39" s="306"/>
      <c r="R39" s="306"/>
      <c r="S39" s="306"/>
      <c r="T39" s="306"/>
      <c r="U39" s="306"/>
      <c r="V39" s="306"/>
      <c r="W39" s="306"/>
      <c r="X39" s="306"/>
      <c r="Y39" s="306"/>
      <c r="Z39" s="306"/>
      <c r="AA39" s="306"/>
      <c r="AB39" s="306"/>
      <c r="AC39" s="306"/>
      <c r="AD39" s="306"/>
    </row>
    <row r="40" spans="2:30" s="314" customFormat="1" outlineLevel="1" x14ac:dyDescent="0.35">
      <c r="B40" s="318"/>
      <c r="C40" s="194"/>
      <c r="D40" s="342"/>
      <c r="E40" s="962" t="str">
        <f>IFERROR(VLOOKUP(B40,FAEE!$G$19:$L$21,6,FALSE),"")</f>
        <v/>
      </c>
      <c r="F40" s="962" t="str">
        <f t="shared" si="0"/>
        <v/>
      </c>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row>
    <row r="41" spans="2:30" s="314" customFormat="1" outlineLevel="1" x14ac:dyDescent="0.35">
      <c r="B41" s="318"/>
      <c r="C41" s="194"/>
      <c r="D41" s="342"/>
      <c r="E41" s="962" t="str">
        <f>IFERROR(VLOOKUP(B41,FAEE!$G$19:$L$21,6,FALSE),"")</f>
        <v/>
      </c>
      <c r="F41" s="962" t="str">
        <f t="shared" si="0"/>
        <v/>
      </c>
      <c r="H41" s="306"/>
      <c r="I41" s="306"/>
      <c r="J41" s="306"/>
      <c r="K41" s="306"/>
      <c r="L41" s="306"/>
      <c r="M41" s="306"/>
      <c r="N41" s="306"/>
      <c r="O41" s="306"/>
      <c r="P41" s="306"/>
      <c r="Q41" s="306"/>
      <c r="R41" s="306"/>
      <c r="S41" s="306"/>
      <c r="T41" s="306"/>
      <c r="U41" s="306"/>
      <c r="V41" s="306"/>
      <c r="W41" s="306"/>
      <c r="X41" s="306"/>
      <c r="Y41" s="306"/>
      <c r="Z41" s="306"/>
      <c r="AA41" s="306"/>
      <c r="AB41" s="306"/>
      <c r="AC41" s="306"/>
      <c r="AD41" s="306"/>
    </row>
    <row r="42" spans="2:30" s="314" customFormat="1" outlineLevel="1" x14ac:dyDescent="0.35">
      <c r="B42" s="318"/>
      <c r="C42" s="194"/>
      <c r="D42" s="342"/>
      <c r="E42" s="962" t="str">
        <f>IFERROR(VLOOKUP(B42,FAEE!$G$19:$L$21,6,FALSE),"")</f>
        <v/>
      </c>
      <c r="F42" s="962" t="str">
        <f t="shared" si="0"/>
        <v/>
      </c>
      <c r="H42" s="306"/>
      <c r="I42" s="306"/>
      <c r="J42" s="306"/>
      <c r="K42" s="306"/>
      <c r="L42" s="306"/>
      <c r="M42" s="306"/>
      <c r="N42" s="306"/>
      <c r="O42" s="306"/>
      <c r="P42" s="306"/>
      <c r="Q42" s="306"/>
      <c r="R42" s="306"/>
      <c r="S42" s="306"/>
      <c r="T42" s="306"/>
      <c r="U42" s="306"/>
      <c r="V42" s="306"/>
      <c r="W42" s="306"/>
      <c r="X42" s="306"/>
      <c r="Y42" s="306"/>
      <c r="Z42" s="306"/>
      <c r="AA42" s="306"/>
      <c r="AB42" s="306"/>
      <c r="AC42" s="306"/>
      <c r="AD42" s="306"/>
    </row>
    <row r="43" spans="2:30" s="314" customFormat="1" outlineLevel="1" x14ac:dyDescent="0.35">
      <c r="B43" s="318"/>
      <c r="C43" s="194"/>
      <c r="D43" s="342"/>
      <c r="E43" s="962" t="str">
        <f>IFERROR(VLOOKUP(B43,FAEE!$G$19:$L$21,6,FALSE),"")</f>
        <v/>
      </c>
      <c r="F43" s="962" t="str">
        <f t="shared" si="0"/>
        <v/>
      </c>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row>
    <row r="44" spans="2:30" s="314" customFormat="1" hidden="1" outlineLevel="2" x14ac:dyDescent="0.35">
      <c r="B44" s="318"/>
      <c r="C44" s="194"/>
      <c r="D44" s="342"/>
      <c r="E44" s="962" t="str">
        <f>IFERROR(VLOOKUP(B44,FAEE!G52:L54,6,FALSE),"")</f>
        <v/>
      </c>
      <c r="F44" s="963" t="str">
        <f t="shared" ref="F44:F97" si="1">IFERROR(IF(D44="","",D44*E44),"")</f>
        <v/>
      </c>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row>
    <row r="45" spans="2:30" s="314" customFormat="1" hidden="1" outlineLevel="2" x14ac:dyDescent="0.35">
      <c r="B45" s="318"/>
      <c r="C45" s="194"/>
      <c r="D45" s="342"/>
      <c r="E45" s="962" t="str">
        <f>IFERROR(VLOOKUP(B45,FAEE!G53:L55,6,FALSE),"")</f>
        <v/>
      </c>
      <c r="F45" s="963" t="str">
        <f t="shared" si="1"/>
        <v/>
      </c>
      <c r="H45" s="306"/>
      <c r="I45" s="306"/>
      <c r="J45" s="306"/>
      <c r="K45" s="306"/>
      <c r="L45" s="306"/>
      <c r="M45" s="306"/>
      <c r="N45" s="306"/>
      <c r="O45" s="306"/>
      <c r="P45" s="306"/>
      <c r="Q45" s="306"/>
      <c r="R45" s="306"/>
      <c r="S45" s="306"/>
      <c r="T45" s="306"/>
      <c r="U45" s="306"/>
      <c r="V45" s="306"/>
      <c r="W45" s="306"/>
      <c r="X45" s="306"/>
      <c r="Y45" s="306"/>
      <c r="Z45" s="306"/>
      <c r="AA45" s="306"/>
      <c r="AB45" s="306"/>
      <c r="AC45" s="306"/>
      <c r="AD45" s="306"/>
    </row>
    <row r="46" spans="2:30" s="314" customFormat="1" hidden="1" outlineLevel="2" x14ac:dyDescent="0.35">
      <c r="B46" s="318"/>
      <c r="C46" s="194"/>
      <c r="D46" s="342"/>
      <c r="E46" s="962" t="str">
        <f>IFERROR(VLOOKUP(B46,FAEE!G54:L56,6,FALSE),"")</f>
        <v/>
      </c>
      <c r="F46" s="963" t="str">
        <f t="shared" si="1"/>
        <v/>
      </c>
      <c r="H46" s="306"/>
      <c r="I46" s="306"/>
      <c r="J46" s="306"/>
      <c r="K46" s="306"/>
      <c r="L46" s="306"/>
      <c r="M46" s="306"/>
      <c r="N46" s="306"/>
      <c r="O46" s="306"/>
      <c r="P46" s="306"/>
      <c r="Q46" s="306"/>
      <c r="R46" s="306"/>
      <c r="S46" s="306"/>
      <c r="T46" s="306"/>
      <c r="U46" s="306"/>
      <c r="V46" s="306"/>
      <c r="W46" s="306"/>
      <c r="X46" s="306"/>
      <c r="Y46" s="306"/>
      <c r="Z46" s="306"/>
      <c r="AA46" s="306"/>
      <c r="AB46" s="306"/>
      <c r="AC46" s="306"/>
      <c r="AD46" s="306"/>
    </row>
    <row r="47" spans="2:30" s="314" customFormat="1" hidden="1" outlineLevel="2" x14ac:dyDescent="0.35">
      <c r="B47" s="318"/>
      <c r="C47" s="194"/>
      <c r="D47" s="342"/>
      <c r="E47" s="962" t="str">
        <f>IFERROR(VLOOKUP(B47,FAEE!G55:L57,6,FALSE),"")</f>
        <v/>
      </c>
      <c r="F47" s="963" t="str">
        <f t="shared" si="1"/>
        <v/>
      </c>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row>
    <row r="48" spans="2:30" s="314" customFormat="1" hidden="1" outlineLevel="2" x14ac:dyDescent="0.35">
      <c r="B48" s="318"/>
      <c r="C48" s="194"/>
      <c r="D48" s="342"/>
      <c r="E48" s="962" t="str">
        <f>IFERROR(VLOOKUP(B48,FAEE!G56:L58,6,FALSE),"")</f>
        <v/>
      </c>
      <c r="F48" s="963" t="str">
        <f t="shared" si="1"/>
        <v/>
      </c>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row>
    <row r="49" spans="2:30" s="314" customFormat="1" hidden="1" outlineLevel="2" x14ac:dyDescent="0.35">
      <c r="B49" s="318"/>
      <c r="C49" s="194"/>
      <c r="D49" s="342"/>
      <c r="E49" s="962" t="str">
        <f>IFERROR(VLOOKUP(B49,FAEE!G57:L59,6,FALSE),"")</f>
        <v/>
      </c>
      <c r="F49" s="963" t="str">
        <f t="shared" si="1"/>
        <v/>
      </c>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row>
    <row r="50" spans="2:30" s="314" customFormat="1" hidden="1" outlineLevel="2" x14ac:dyDescent="0.35">
      <c r="B50" s="318"/>
      <c r="C50" s="194"/>
      <c r="D50" s="342"/>
      <c r="E50" s="962" t="str">
        <f>IFERROR(VLOOKUP(B50,FAEE!G58:L60,6,FALSE),"")</f>
        <v/>
      </c>
      <c r="F50" s="963" t="str">
        <f t="shared" si="1"/>
        <v/>
      </c>
      <c r="H50" s="306"/>
      <c r="I50" s="306"/>
      <c r="J50" s="306"/>
      <c r="K50" s="306"/>
      <c r="L50" s="306"/>
      <c r="M50" s="306"/>
      <c r="N50" s="306"/>
      <c r="O50" s="306"/>
      <c r="P50" s="306"/>
      <c r="Q50" s="306"/>
      <c r="R50" s="306"/>
      <c r="S50" s="306"/>
      <c r="T50" s="306"/>
      <c r="U50" s="306"/>
      <c r="V50" s="306"/>
      <c r="W50" s="306"/>
      <c r="X50" s="306"/>
      <c r="Y50" s="306"/>
      <c r="Z50" s="306"/>
      <c r="AA50" s="306"/>
      <c r="AB50" s="306"/>
      <c r="AC50" s="306"/>
      <c r="AD50" s="306"/>
    </row>
    <row r="51" spans="2:30" s="314" customFormat="1" hidden="1" outlineLevel="2" x14ac:dyDescent="0.35">
      <c r="B51" s="318"/>
      <c r="C51" s="194"/>
      <c r="D51" s="342"/>
      <c r="E51" s="962" t="str">
        <f>IFERROR(VLOOKUP(B51,FAEE!G59:L61,6,FALSE),"")</f>
        <v/>
      </c>
      <c r="F51" s="963" t="str">
        <f t="shared" si="1"/>
        <v/>
      </c>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row>
    <row r="52" spans="2:30" s="314" customFormat="1" hidden="1" outlineLevel="2" x14ac:dyDescent="0.35">
      <c r="B52" s="318"/>
      <c r="C52" s="194"/>
      <c r="D52" s="342"/>
      <c r="E52" s="962" t="str">
        <f>IFERROR(VLOOKUP(B52,FAEE!G60:L62,6,FALSE),"")</f>
        <v/>
      </c>
      <c r="F52" s="963" t="str">
        <f t="shared" si="1"/>
        <v/>
      </c>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row>
    <row r="53" spans="2:30" s="314" customFormat="1" hidden="1" outlineLevel="2" x14ac:dyDescent="0.35">
      <c r="B53" s="318"/>
      <c r="C53" s="194"/>
      <c r="D53" s="342"/>
      <c r="E53" s="962" t="str">
        <f>IFERROR(VLOOKUP(B53,FAEE!G61:L63,6,FALSE),"")</f>
        <v/>
      </c>
      <c r="F53" s="963" t="str">
        <f t="shared" si="1"/>
        <v/>
      </c>
      <c r="H53" s="306"/>
      <c r="I53" s="306"/>
      <c r="J53" s="306"/>
      <c r="K53" s="306"/>
      <c r="L53" s="306"/>
      <c r="M53" s="306"/>
      <c r="N53" s="306"/>
      <c r="O53" s="306"/>
      <c r="P53" s="306"/>
      <c r="Q53" s="306"/>
      <c r="R53" s="306"/>
      <c r="S53" s="306"/>
      <c r="T53" s="306"/>
      <c r="U53" s="306"/>
      <c r="V53" s="306"/>
      <c r="W53" s="306"/>
      <c r="X53" s="306"/>
      <c r="Y53" s="306"/>
      <c r="Z53" s="306"/>
      <c r="AA53" s="306"/>
      <c r="AB53" s="306"/>
      <c r="AC53" s="306"/>
      <c r="AD53" s="306"/>
    </row>
    <row r="54" spans="2:30" s="314" customFormat="1" hidden="1" outlineLevel="2" x14ac:dyDescent="0.35">
      <c r="B54" s="318"/>
      <c r="C54" s="194"/>
      <c r="D54" s="342"/>
      <c r="E54" s="962" t="str">
        <f>IFERROR(VLOOKUP(B54,FAEE!G62:L64,6,FALSE),"")</f>
        <v/>
      </c>
      <c r="F54" s="963" t="str">
        <f t="shared" si="1"/>
        <v/>
      </c>
      <c r="H54" s="306"/>
      <c r="I54" s="306"/>
      <c r="J54" s="306"/>
      <c r="K54" s="306"/>
      <c r="L54" s="306"/>
      <c r="M54" s="306"/>
      <c r="N54" s="306"/>
      <c r="O54" s="306"/>
      <c r="P54" s="306"/>
      <c r="Q54" s="306"/>
      <c r="R54" s="306"/>
      <c r="S54" s="306"/>
      <c r="T54" s="306"/>
      <c r="U54" s="306"/>
      <c r="V54" s="306"/>
      <c r="W54" s="306"/>
      <c r="X54" s="306"/>
      <c r="Y54" s="306"/>
      <c r="Z54" s="306"/>
      <c r="AA54" s="306"/>
      <c r="AB54" s="306"/>
      <c r="AC54" s="306"/>
      <c r="AD54" s="306"/>
    </row>
    <row r="55" spans="2:30" s="314" customFormat="1" hidden="1" outlineLevel="2" x14ac:dyDescent="0.35">
      <c r="B55" s="318"/>
      <c r="C55" s="194"/>
      <c r="D55" s="342"/>
      <c r="E55" s="962" t="str">
        <f>IFERROR(VLOOKUP(B55,FAEE!G63:L65,6,FALSE),"")</f>
        <v/>
      </c>
      <c r="F55" s="963" t="str">
        <f t="shared" si="1"/>
        <v/>
      </c>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row>
    <row r="56" spans="2:30" s="314" customFormat="1" hidden="1" outlineLevel="2" x14ac:dyDescent="0.35">
      <c r="B56" s="318"/>
      <c r="C56" s="194"/>
      <c r="D56" s="342"/>
      <c r="E56" s="962" t="str">
        <f>IFERROR(VLOOKUP(B56,FAEE!G64:L66,6,FALSE),"")</f>
        <v/>
      </c>
      <c r="F56" s="963" t="str">
        <f t="shared" si="1"/>
        <v/>
      </c>
      <c r="H56" s="306"/>
      <c r="I56" s="306"/>
      <c r="J56" s="306"/>
      <c r="K56" s="306"/>
      <c r="L56" s="306"/>
      <c r="M56" s="306"/>
      <c r="N56" s="306"/>
      <c r="O56" s="306"/>
      <c r="P56" s="306"/>
      <c r="Q56" s="306"/>
      <c r="R56" s="306"/>
      <c r="S56" s="306"/>
      <c r="T56" s="306"/>
      <c r="U56" s="306"/>
      <c r="V56" s="306"/>
      <c r="W56" s="306"/>
      <c r="X56" s="306"/>
      <c r="Y56" s="306"/>
      <c r="Z56" s="306"/>
      <c r="AA56" s="306"/>
      <c r="AB56" s="306"/>
      <c r="AC56" s="306"/>
      <c r="AD56" s="306"/>
    </row>
    <row r="57" spans="2:30" s="314" customFormat="1" hidden="1" outlineLevel="2" x14ac:dyDescent="0.35">
      <c r="B57" s="318"/>
      <c r="C57" s="194"/>
      <c r="D57" s="342"/>
      <c r="E57" s="962" t="str">
        <f>IFERROR(VLOOKUP(B57,FAEE!G65:L67,6,FALSE),"")</f>
        <v/>
      </c>
      <c r="F57" s="963" t="str">
        <f t="shared" si="1"/>
        <v/>
      </c>
      <c r="H57" s="306"/>
      <c r="I57" s="306"/>
      <c r="J57" s="306"/>
      <c r="K57" s="306"/>
      <c r="L57" s="306"/>
      <c r="M57" s="306"/>
      <c r="N57" s="306"/>
      <c r="O57" s="306"/>
      <c r="P57" s="306"/>
      <c r="Q57" s="306"/>
      <c r="R57" s="306"/>
      <c r="S57" s="306"/>
      <c r="T57" s="306"/>
      <c r="U57" s="306"/>
      <c r="V57" s="306"/>
      <c r="W57" s="306"/>
      <c r="X57" s="306"/>
      <c r="Y57" s="306"/>
      <c r="Z57" s="306"/>
      <c r="AA57" s="306"/>
      <c r="AB57" s="306"/>
      <c r="AC57" s="306"/>
      <c r="AD57" s="306"/>
    </row>
    <row r="58" spans="2:30" s="314" customFormat="1" hidden="1" outlineLevel="2" x14ac:dyDescent="0.35">
      <c r="B58" s="318"/>
      <c r="C58" s="194"/>
      <c r="D58" s="342"/>
      <c r="E58" s="962" t="str">
        <f>IFERROR(VLOOKUP(B58,FAEE!G66:L68,6,FALSE),"")</f>
        <v/>
      </c>
      <c r="F58" s="963" t="str">
        <f t="shared" si="1"/>
        <v/>
      </c>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row>
    <row r="59" spans="2:30" s="314" customFormat="1" hidden="1" outlineLevel="2" x14ac:dyDescent="0.35">
      <c r="B59" s="318"/>
      <c r="C59" s="194"/>
      <c r="D59" s="342"/>
      <c r="E59" s="962" t="str">
        <f>IFERROR(VLOOKUP(B59,FAEE!G67:L69,6,FALSE),"")</f>
        <v/>
      </c>
      <c r="F59" s="963" t="str">
        <f t="shared" si="1"/>
        <v/>
      </c>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row>
    <row r="60" spans="2:30" s="314" customFormat="1" hidden="1" outlineLevel="2" x14ac:dyDescent="0.35">
      <c r="B60" s="318"/>
      <c r="C60" s="194"/>
      <c r="D60" s="342"/>
      <c r="E60" s="962" t="str">
        <f>IFERROR(VLOOKUP(B60,FAEE!G68:L70,6,FALSE),"")</f>
        <v/>
      </c>
      <c r="F60" s="963" t="str">
        <f t="shared" si="1"/>
        <v/>
      </c>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row>
    <row r="61" spans="2:30" s="314" customFormat="1" hidden="1" outlineLevel="2" x14ac:dyDescent="0.35">
      <c r="B61" s="318"/>
      <c r="C61" s="194"/>
      <c r="D61" s="342"/>
      <c r="E61" s="962" t="str">
        <f>IFERROR(VLOOKUP(B61,FAEE!G69:L71,6,FALSE),"")</f>
        <v/>
      </c>
      <c r="F61" s="963" t="str">
        <f t="shared" si="1"/>
        <v/>
      </c>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row>
    <row r="62" spans="2:30" s="314" customFormat="1" hidden="1" outlineLevel="2" x14ac:dyDescent="0.35">
      <c r="B62" s="318"/>
      <c r="C62" s="194"/>
      <c r="D62" s="342"/>
      <c r="E62" s="962" t="str">
        <f>IFERROR(VLOOKUP(B62,FAEE!G70:L72,6,FALSE),"")</f>
        <v/>
      </c>
      <c r="F62" s="963" t="str">
        <f t="shared" si="1"/>
        <v/>
      </c>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row>
    <row r="63" spans="2:30" s="314" customFormat="1" hidden="1" outlineLevel="2" x14ac:dyDescent="0.35">
      <c r="B63" s="318"/>
      <c r="C63" s="194"/>
      <c r="D63" s="342"/>
      <c r="E63" s="962" t="str">
        <f>IFERROR(VLOOKUP(B63,FAEE!G71:L73,6,FALSE),"")</f>
        <v/>
      </c>
      <c r="F63" s="963" t="str">
        <f t="shared" si="1"/>
        <v/>
      </c>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row>
    <row r="64" spans="2:30" s="314" customFormat="1" hidden="1" outlineLevel="2" x14ac:dyDescent="0.35">
      <c r="B64" s="318"/>
      <c r="C64" s="194"/>
      <c r="D64" s="342"/>
      <c r="E64" s="962" t="str">
        <f>IFERROR(VLOOKUP(B64,FAEE!G72:L74,6,FALSE),"")</f>
        <v/>
      </c>
      <c r="F64" s="963" t="str">
        <f t="shared" si="1"/>
        <v/>
      </c>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row>
    <row r="65" spans="2:30" s="314" customFormat="1" hidden="1" outlineLevel="2" x14ac:dyDescent="0.35">
      <c r="B65" s="318"/>
      <c r="C65" s="194"/>
      <c r="D65" s="342"/>
      <c r="E65" s="962" t="str">
        <f>IFERROR(VLOOKUP(B65,FAEE!G73:L75,6,FALSE),"")</f>
        <v/>
      </c>
      <c r="F65" s="963" t="str">
        <f t="shared" si="1"/>
        <v/>
      </c>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row>
    <row r="66" spans="2:30" s="314" customFormat="1" hidden="1" outlineLevel="2" x14ac:dyDescent="0.35">
      <c r="B66" s="318"/>
      <c r="C66" s="194"/>
      <c r="D66" s="342"/>
      <c r="E66" s="962" t="str">
        <f>IFERROR(VLOOKUP(B66,FAEE!G74:L76,6,FALSE),"")</f>
        <v/>
      </c>
      <c r="F66" s="963" t="str">
        <f t="shared" si="1"/>
        <v/>
      </c>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row>
    <row r="67" spans="2:30" s="314" customFormat="1" hidden="1" outlineLevel="2" x14ac:dyDescent="0.35">
      <c r="B67" s="318"/>
      <c r="C67" s="194"/>
      <c r="D67" s="342"/>
      <c r="E67" s="962" t="str">
        <f>IFERROR(VLOOKUP(B67,FAEE!G75:L77,6,FALSE),"")</f>
        <v/>
      </c>
      <c r="F67" s="963" t="str">
        <f t="shared" si="1"/>
        <v/>
      </c>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row>
    <row r="68" spans="2:30" s="314" customFormat="1" hidden="1" outlineLevel="2" x14ac:dyDescent="0.35">
      <c r="B68" s="318"/>
      <c r="C68" s="194"/>
      <c r="D68" s="342"/>
      <c r="E68" s="962" t="str">
        <f>IFERROR(VLOOKUP(B68,FAEE!G76:L78,6,FALSE),"")</f>
        <v/>
      </c>
      <c r="F68" s="963" t="str">
        <f t="shared" si="1"/>
        <v/>
      </c>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row>
    <row r="69" spans="2:30" s="314" customFormat="1" hidden="1" outlineLevel="2" x14ac:dyDescent="0.35">
      <c r="B69" s="318"/>
      <c r="C69" s="194"/>
      <c r="D69" s="342"/>
      <c r="E69" s="962" t="str">
        <f>IFERROR(VLOOKUP(B69,FAEE!G77:L79,6,FALSE),"")</f>
        <v/>
      </c>
      <c r="F69" s="963" t="str">
        <f t="shared" si="1"/>
        <v/>
      </c>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row>
    <row r="70" spans="2:30" s="314" customFormat="1" hidden="1" outlineLevel="2" x14ac:dyDescent="0.35">
      <c r="B70" s="318"/>
      <c r="C70" s="194"/>
      <c r="D70" s="342"/>
      <c r="E70" s="962" t="str">
        <f>IFERROR(VLOOKUP(B70,FAEE!G78:L80,6,FALSE),"")</f>
        <v/>
      </c>
      <c r="F70" s="963" t="str">
        <f t="shared" si="1"/>
        <v/>
      </c>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row>
    <row r="71" spans="2:30" s="314" customFormat="1" hidden="1" outlineLevel="2" x14ac:dyDescent="0.35">
      <c r="B71" s="318"/>
      <c r="C71" s="194"/>
      <c r="D71" s="342"/>
      <c r="E71" s="962" t="str">
        <f>IFERROR(VLOOKUP(B71,FAEE!G79:L81,6,FALSE),"")</f>
        <v/>
      </c>
      <c r="F71" s="963" t="str">
        <f t="shared" si="1"/>
        <v/>
      </c>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row>
    <row r="72" spans="2:30" s="314" customFormat="1" hidden="1" outlineLevel="2" x14ac:dyDescent="0.35">
      <c r="B72" s="318"/>
      <c r="C72" s="194"/>
      <c r="D72" s="342"/>
      <c r="E72" s="962" t="str">
        <f>IFERROR(VLOOKUP(B72,FAEE!G80:L82,6,FALSE),"")</f>
        <v/>
      </c>
      <c r="F72" s="963" t="str">
        <f t="shared" si="1"/>
        <v/>
      </c>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row>
    <row r="73" spans="2:30" s="314" customFormat="1" hidden="1" outlineLevel="2" x14ac:dyDescent="0.35">
      <c r="B73" s="318"/>
      <c r="C73" s="194"/>
      <c r="D73" s="342"/>
      <c r="E73" s="962" t="str">
        <f>IFERROR(VLOOKUP(B73,FAEE!G81:L83,6,FALSE),"")</f>
        <v/>
      </c>
      <c r="F73" s="963" t="str">
        <f t="shared" si="1"/>
        <v/>
      </c>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row>
    <row r="74" spans="2:30" s="314" customFormat="1" hidden="1" outlineLevel="2" x14ac:dyDescent="0.35">
      <c r="B74" s="318"/>
      <c r="C74" s="194"/>
      <c r="D74" s="342"/>
      <c r="E74" s="962" t="str">
        <f>IFERROR(VLOOKUP(B74,FAEE!G82:L84,6,FALSE),"")</f>
        <v/>
      </c>
      <c r="F74" s="963" t="str">
        <f t="shared" si="1"/>
        <v/>
      </c>
      <c r="H74" s="306"/>
      <c r="I74" s="306"/>
      <c r="J74" s="306"/>
      <c r="K74" s="306"/>
      <c r="L74" s="306"/>
      <c r="M74" s="306"/>
      <c r="N74" s="306"/>
      <c r="O74" s="306"/>
      <c r="P74" s="306"/>
      <c r="Q74" s="306"/>
      <c r="R74" s="306"/>
      <c r="S74" s="306"/>
      <c r="T74" s="306"/>
      <c r="U74" s="306"/>
      <c r="V74" s="306"/>
      <c r="W74" s="306"/>
      <c r="X74" s="306"/>
      <c r="Y74" s="306"/>
      <c r="Z74" s="306"/>
      <c r="AA74" s="306"/>
      <c r="AB74" s="306"/>
      <c r="AC74" s="306"/>
      <c r="AD74" s="306"/>
    </row>
    <row r="75" spans="2:30" s="314" customFormat="1" hidden="1" outlineLevel="2" x14ac:dyDescent="0.35">
      <c r="B75" s="318"/>
      <c r="C75" s="194"/>
      <c r="D75" s="342"/>
      <c r="E75" s="962" t="str">
        <f>IFERROR(VLOOKUP(B75,FAEE!G83:L85,6,FALSE),"")</f>
        <v/>
      </c>
      <c r="F75" s="963" t="str">
        <f t="shared" si="1"/>
        <v/>
      </c>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row>
    <row r="76" spans="2:30" s="314" customFormat="1" hidden="1" outlineLevel="2" x14ac:dyDescent="0.35">
      <c r="B76" s="318"/>
      <c r="C76" s="194"/>
      <c r="D76" s="342"/>
      <c r="E76" s="962" t="str">
        <f>IFERROR(VLOOKUP(B76,FAEE!G84:L86,6,FALSE),"")</f>
        <v/>
      </c>
      <c r="F76" s="963" t="str">
        <f t="shared" si="1"/>
        <v/>
      </c>
      <c r="H76" s="306"/>
      <c r="I76" s="306"/>
      <c r="J76" s="306"/>
      <c r="K76" s="306"/>
      <c r="L76" s="306"/>
      <c r="M76" s="306"/>
      <c r="N76" s="306"/>
      <c r="O76" s="306"/>
      <c r="P76" s="306"/>
      <c r="Q76" s="306"/>
      <c r="R76" s="306"/>
      <c r="S76" s="306"/>
      <c r="T76" s="306"/>
      <c r="U76" s="306"/>
      <c r="V76" s="306"/>
      <c r="W76" s="306"/>
      <c r="X76" s="306"/>
      <c r="Y76" s="306"/>
      <c r="Z76" s="306"/>
      <c r="AA76" s="306"/>
      <c r="AB76" s="306"/>
      <c r="AC76" s="306"/>
      <c r="AD76" s="306"/>
    </row>
    <row r="77" spans="2:30" s="314" customFormat="1" hidden="1" outlineLevel="2" x14ac:dyDescent="0.35">
      <c r="B77" s="318"/>
      <c r="C77" s="194"/>
      <c r="D77" s="342"/>
      <c r="E77" s="962" t="str">
        <f>IFERROR(VLOOKUP(B77,FAEE!G85:L87,6,FALSE),"")</f>
        <v/>
      </c>
      <c r="F77" s="963" t="str">
        <f t="shared" si="1"/>
        <v/>
      </c>
      <c r="H77" s="306"/>
      <c r="I77" s="306"/>
      <c r="J77" s="306"/>
      <c r="K77" s="306"/>
      <c r="L77" s="306"/>
      <c r="M77" s="306"/>
      <c r="N77" s="306"/>
      <c r="O77" s="306"/>
      <c r="P77" s="306"/>
      <c r="Q77" s="306"/>
      <c r="R77" s="306"/>
      <c r="S77" s="306"/>
      <c r="T77" s="306"/>
      <c r="U77" s="306"/>
      <c r="V77" s="306"/>
      <c r="W77" s="306"/>
      <c r="X77" s="306"/>
      <c r="Y77" s="306"/>
      <c r="Z77" s="306"/>
      <c r="AA77" s="306"/>
      <c r="AB77" s="306"/>
      <c r="AC77" s="306"/>
      <c r="AD77" s="306"/>
    </row>
    <row r="78" spans="2:30" s="314" customFormat="1" hidden="1" outlineLevel="2" x14ac:dyDescent="0.35">
      <c r="B78" s="318"/>
      <c r="C78" s="194"/>
      <c r="D78" s="342"/>
      <c r="E78" s="962" t="str">
        <f>IFERROR(VLOOKUP(B78,FAEE!G86:L88,6,FALSE),"")</f>
        <v/>
      </c>
      <c r="F78" s="963" t="str">
        <f t="shared" si="1"/>
        <v/>
      </c>
      <c r="H78" s="306"/>
      <c r="I78" s="306"/>
      <c r="J78" s="306"/>
      <c r="K78" s="306"/>
      <c r="L78" s="306"/>
      <c r="M78" s="306"/>
      <c r="N78" s="306"/>
      <c r="O78" s="306"/>
      <c r="P78" s="306"/>
      <c r="Q78" s="306"/>
      <c r="R78" s="306"/>
      <c r="S78" s="306"/>
      <c r="T78" s="306"/>
      <c r="U78" s="306"/>
      <c r="V78" s="306"/>
      <c r="W78" s="306"/>
      <c r="X78" s="306"/>
      <c r="Y78" s="306"/>
      <c r="Z78" s="306"/>
      <c r="AA78" s="306"/>
      <c r="AB78" s="306"/>
      <c r="AC78" s="306"/>
      <c r="AD78" s="306"/>
    </row>
    <row r="79" spans="2:30" s="314" customFormat="1" hidden="1" outlineLevel="2" x14ac:dyDescent="0.35">
      <c r="B79" s="318"/>
      <c r="C79" s="194"/>
      <c r="D79" s="342"/>
      <c r="E79" s="962" t="str">
        <f>IFERROR(VLOOKUP(B79,FAEE!G87:L89,6,FALSE),"")</f>
        <v/>
      </c>
      <c r="F79" s="963" t="str">
        <f t="shared" si="1"/>
        <v/>
      </c>
      <c r="H79" s="306"/>
      <c r="I79" s="306"/>
      <c r="J79" s="306"/>
      <c r="K79" s="306"/>
      <c r="L79" s="306"/>
      <c r="M79" s="306"/>
      <c r="N79" s="306"/>
      <c r="O79" s="306"/>
      <c r="P79" s="306"/>
      <c r="Q79" s="306"/>
      <c r="R79" s="306"/>
      <c r="S79" s="306"/>
      <c r="T79" s="306"/>
      <c r="U79" s="306"/>
      <c r="V79" s="306"/>
      <c r="W79" s="306"/>
      <c r="X79" s="306"/>
      <c r="Y79" s="306"/>
      <c r="Z79" s="306"/>
      <c r="AA79" s="306"/>
      <c r="AB79" s="306"/>
      <c r="AC79" s="306"/>
      <c r="AD79" s="306"/>
    </row>
    <row r="80" spans="2:30" s="314" customFormat="1" hidden="1" outlineLevel="2" x14ac:dyDescent="0.35">
      <c r="B80" s="318"/>
      <c r="C80" s="194"/>
      <c r="D80" s="342"/>
      <c r="E80" s="962" t="str">
        <f>IFERROR(VLOOKUP(B80,FAEE!G88:L90,6,FALSE),"")</f>
        <v/>
      </c>
      <c r="F80" s="963" t="str">
        <f t="shared" si="1"/>
        <v/>
      </c>
      <c r="H80" s="306"/>
      <c r="I80" s="306"/>
      <c r="J80" s="306"/>
      <c r="K80" s="306"/>
      <c r="L80" s="306"/>
      <c r="M80" s="306"/>
      <c r="N80" s="306"/>
      <c r="O80" s="306"/>
      <c r="P80" s="306"/>
      <c r="Q80" s="306"/>
      <c r="R80" s="306"/>
      <c r="S80" s="306"/>
      <c r="T80" s="306"/>
      <c r="U80" s="306"/>
      <c r="V80" s="306"/>
      <c r="W80" s="306"/>
      <c r="X80" s="306"/>
      <c r="Y80" s="306"/>
      <c r="Z80" s="306"/>
      <c r="AA80" s="306"/>
      <c r="AB80" s="306"/>
      <c r="AC80" s="306"/>
      <c r="AD80" s="306"/>
    </row>
    <row r="81" spans="2:30" s="314" customFormat="1" hidden="1" outlineLevel="2" x14ac:dyDescent="0.35">
      <c r="B81" s="318"/>
      <c r="C81" s="194"/>
      <c r="D81" s="342"/>
      <c r="E81" s="962" t="str">
        <f>IFERROR(VLOOKUP(B81,FAEE!G89:L91,6,FALSE),"")</f>
        <v/>
      </c>
      <c r="F81" s="963" t="str">
        <f t="shared" si="1"/>
        <v/>
      </c>
      <c r="H81" s="306"/>
      <c r="I81" s="306"/>
      <c r="J81" s="306"/>
      <c r="K81" s="306"/>
      <c r="L81" s="306"/>
      <c r="M81" s="306"/>
      <c r="N81" s="306"/>
      <c r="O81" s="306"/>
      <c r="P81" s="306"/>
      <c r="Q81" s="306"/>
      <c r="R81" s="306"/>
      <c r="S81" s="306"/>
      <c r="T81" s="306"/>
      <c r="U81" s="306"/>
      <c r="V81" s="306"/>
      <c r="W81" s="306"/>
      <c r="X81" s="306"/>
      <c r="Y81" s="306"/>
      <c r="Z81" s="306"/>
      <c r="AA81" s="306"/>
      <c r="AB81" s="306"/>
      <c r="AC81" s="306"/>
      <c r="AD81" s="306"/>
    </row>
    <row r="82" spans="2:30" s="314" customFormat="1" hidden="1" outlineLevel="2" x14ac:dyDescent="0.35">
      <c r="B82" s="318"/>
      <c r="C82" s="194"/>
      <c r="D82" s="342"/>
      <c r="E82" s="962" t="str">
        <f>IFERROR(VLOOKUP(B82,FAEE!G90:L92,6,FALSE),"")</f>
        <v/>
      </c>
      <c r="F82" s="963" t="str">
        <f t="shared" si="1"/>
        <v/>
      </c>
      <c r="H82" s="306"/>
      <c r="I82" s="306"/>
      <c r="J82" s="306"/>
      <c r="K82" s="306"/>
      <c r="L82" s="306"/>
      <c r="M82" s="306"/>
      <c r="N82" s="306"/>
      <c r="O82" s="306"/>
      <c r="P82" s="306"/>
      <c r="Q82" s="306"/>
      <c r="R82" s="306"/>
      <c r="S82" s="306"/>
      <c r="T82" s="306"/>
      <c r="U82" s="306"/>
      <c r="V82" s="306"/>
      <c r="W82" s="306"/>
      <c r="X82" s="306"/>
      <c r="Y82" s="306"/>
      <c r="Z82" s="306"/>
      <c r="AA82" s="306"/>
      <c r="AB82" s="306"/>
      <c r="AC82" s="306"/>
      <c r="AD82" s="306"/>
    </row>
    <row r="83" spans="2:30" s="314" customFormat="1" hidden="1" outlineLevel="2" x14ac:dyDescent="0.35">
      <c r="B83" s="318"/>
      <c r="C83" s="194"/>
      <c r="D83" s="342"/>
      <c r="E83" s="962" t="str">
        <f>IFERROR(VLOOKUP(B83,FAEE!G91:L93,6,FALSE),"")</f>
        <v/>
      </c>
      <c r="F83" s="963" t="str">
        <f t="shared" si="1"/>
        <v/>
      </c>
      <c r="H83" s="306"/>
      <c r="I83" s="306"/>
      <c r="J83" s="306"/>
      <c r="K83" s="306"/>
      <c r="L83" s="306"/>
      <c r="M83" s="306"/>
      <c r="N83" s="306"/>
      <c r="O83" s="306"/>
      <c r="P83" s="306"/>
      <c r="Q83" s="306"/>
      <c r="R83" s="306"/>
      <c r="S83" s="306"/>
      <c r="T83" s="306"/>
      <c r="U83" s="306"/>
      <c r="V83" s="306"/>
      <c r="W83" s="306"/>
      <c r="X83" s="306"/>
      <c r="Y83" s="306"/>
      <c r="Z83" s="306"/>
      <c r="AA83" s="306"/>
      <c r="AB83" s="306"/>
      <c r="AC83" s="306"/>
      <c r="AD83" s="306"/>
    </row>
    <row r="84" spans="2:30" s="314" customFormat="1" hidden="1" outlineLevel="2" x14ac:dyDescent="0.35">
      <c r="B84" s="318"/>
      <c r="C84" s="194"/>
      <c r="D84" s="342"/>
      <c r="E84" s="962" t="str">
        <f>IFERROR(VLOOKUP(B84,FAEE!G92:L94,6,FALSE),"")</f>
        <v/>
      </c>
      <c r="F84" s="963" t="str">
        <f t="shared" si="1"/>
        <v/>
      </c>
      <c r="H84" s="306"/>
      <c r="I84" s="306"/>
      <c r="J84" s="306"/>
      <c r="K84" s="306"/>
      <c r="L84" s="306"/>
      <c r="M84" s="306"/>
      <c r="N84" s="306"/>
      <c r="O84" s="306"/>
      <c r="P84" s="306"/>
      <c r="Q84" s="306"/>
      <c r="R84" s="306"/>
      <c r="S84" s="306"/>
      <c r="T84" s="306"/>
      <c r="U84" s="306"/>
      <c r="V84" s="306"/>
      <c r="W84" s="306"/>
      <c r="X84" s="306"/>
      <c r="Y84" s="306"/>
      <c r="Z84" s="306"/>
      <c r="AA84" s="306"/>
      <c r="AB84" s="306"/>
      <c r="AC84" s="306"/>
      <c r="AD84" s="306"/>
    </row>
    <row r="85" spans="2:30" s="314" customFormat="1" hidden="1" outlineLevel="2" x14ac:dyDescent="0.35">
      <c r="B85" s="318"/>
      <c r="C85" s="194"/>
      <c r="D85" s="342"/>
      <c r="E85" s="962" t="str">
        <f>IFERROR(VLOOKUP(B85,FAEE!G93:L95,6,FALSE),"")</f>
        <v/>
      </c>
      <c r="F85" s="963" t="str">
        <f t="shared" si="1"/>
        <v/>
      </c>
      <c r="H85" s="306"/>
      <c r="I85" s="306"/>
      <c r="J85" s="306"/>
      <c r="K85" s="306"/>
      <c r="L85" s="306"/>
      <c r="M85" s="306"/>
      <c r="N85" s="306"/>
      <c r="O85" s="306"/>
      <c r="P85" s="306"/>
      <c r="Q85" s="306"/>
      <c r="R85" s="306"/>
      <c r="S85" s="306"/>
      <c r="T85" s="306"/>
      <c r="U85" s="306"/>
      <c r="V85" s="306"/>
      <c r="W85" s="306"/>
      <c r="X85" s="306"/>
      <c r="Y85" s="306"/>
      <c r="Z85" s="306"/>
      <c r="AA85" s="306"/>
      <c r="AB85" s="306"/>
      <c r="AC85" s="306"/>
      <c r="AD85" s="306"/>
    </row>
    <row r="86" spans="2:30" s="314" customFormat="1" hidden="1" outlineLevel="2" x14ac:dyDescent="0.35">
      <c r="B86" s="318"/>
      <c r="C86" s="194"/>
      <c r="D86" s="342"/>
      <c r="E86" s="962" t="str">
        <f>IFERROR(VLOOKUP(B86,FAEE!G94:L96,6,FALSE),"")</f>
        <v/>
      </c>
      <c r="F86" s="963" t="str">
        <f t="shared" si="1"/>
        <v/>
      </c>
      <c r="H86" s="306"/>
      <c r="I86" s="306"/>
      <c r="J86" s="306"/>
      <c r="K86" s="306"/>
      <c r="L86" s="306"/>
      <c r="M86" s="306"/>
      <c r="N86" s="306"/>
      <c r="O86" s="306"/>
      <c r="P86" s="306"/>
      <c r="Q86" s="306"/>
      <c r="R86" s="306"/>
      <c r="S86" s="306"/>
      <c r="T86" s="306"/>
      <c r="U86" s="306"/>
      <c r="V86" s="306"/>
      <c r="W86" s="306"/>
      <c r="X86" s="306"/>
      <c r="Y86" s="306"/>
      <c r="Z86" s="306"/>
      <c r="AA86" s="306"/>
      <c r="AB86" s="306"/>
      <c r="AC86" s="306"/>
      <c r="AD86" s="306"/>
    </row>
    <row r="87" spans="2:30" s="314" customFormat="1" hidden="1" outlineLevel="2" x14ac:dyDescent="0.35">
      <c r="B87" s="318"/>
      <c r="C87" s="194"/>
      <c r="D87" s="342"/>
      <c r="E87" s="962" t="str">
        <f>IFERROR(VLOOKUP(B87,FAEE!G95:L97,6,FALSE),"")</f>
        <v/>
      </c>
      <c r="F87" s="963" t="str">
        <f t="shared" si="1"/>
        <v/>
      </c>
      <c r="H87" s="306"/>
      <c r="I87" s="306"/>
      <c r="J87" s="306"/>
      <c r="K87" s="306"/>
      <c r="L87" s="306"/>
      <c r="M87" s="306"/>
      <c r="N87" s="306"/>
      <c r="O87" s="306"/>
      <c r="P87" s="306"/>
      <c r="Q87" s="306"/>
      <c r="R87" s="306"/>
      <c r="S87" s="306"/>
      <c r="T87" s="306"/>
      <c r="U87" s="306"/>
      <c r="V87" s="306"/>
      <c r="W87" s="306"/>
      <c r="X87" s="306"/>
      <c r="Y87" s="306"/>
      <c r="Z87" s="306"/>
      <c r="AA87" s="306"/>
      <c r="AB87" s="306"/>
      <c r="AC87" s="306"/>
      <c r="AD87" s="306"/>
    </row>
    <row r="88" spans="2:30" s="314" customFormat="1" hidden="1" outlineLevel="2" x14ac:dyDescent="0.35">
      <c r="B88" s="318"/>
      <c r="C88" s="194"/>
      <c r="D88" s="342"/>
      <c r="E88" s="962" t="str">
        <f>IFERROR(VLOOKUP(B88,FAEE!G96:L98,6,FALSE),"")</f>
        <v/>
      </c>
      <c r="F88" s="963" t="str">
        <f t="shared" si="1"/>
        <v/>
      </c>
      <c r="H88" s="306"/>
      <c r="I88" s="306"/>
      <c r="J88" s="306"/>
      <c r="K88" s="306"/>
      <c r="L88" s="306"/>
      <c r="M88" s="306"/>
      <c r="N88" s="306"/>
      <c r="O88" s="306"/>
      <c r="P88" s="306"/>
      <c r="Q88" s="306"/>
      <c r="R88" s="306"/>
      <c r="S88" s="306"/>
      <c r="T88" s="306"/>
      <c r="U88" s="306"/>
      <c r="V88" s="306"/>
      <c r="W88" s="306"/>
      <c r="X88" s="306"/>
      <c r="Y88" s="306"/>
      <c r="Z88" s="306"/>
      <c r="AA88" s="306"/>
      <c r="AB88" s="306"/>
      <c r="AC88" s="306"/>
      <c r="AD88" s="306"/>
    </row>
    <row r="89" spans="2:30" s="314" customFormat="1" hidden="1" outlineLevel="2" x14ac:dyDescent="0.35">
      <c r="B89" s="318"/>
      <c r="C89" s="194"/>
      <c r="D89" s="342"/>
      <c r="E89" s="962" t="str">
        <f>IFERROR(VLOOKUP(B89,FAEE!G97:L99,6,FALSE),"")</f>
        <v/>
      </c>
      <c r="F89" s="963" t="str">
        <f t="shared" si="1"/>
        <v/>
      </c>
      <c r="H89" s="306"/>
      <c r="I89" s="306"/>
      <c r="J89" s="306"/>
      <c r="K89" s="306"/>
      <c r="L89" s="306"/>
      <c r="M89" s="306"/>
      <c r="N89" s="306"/>
      <c r="O89" s="306"/>
      <c r="P89" s="306"/>
      <c r="Q89" s="306"/>
      <c r="R89" s="306"/>
      <c r="S89" s="306"/>
      <c r="T89" s="306"/>
      <c r="U89" s="306"/>
      <c r="V89" s="306"/>
      <c r="W89" s="306"/>
      <c r="X89" s="306"/>
      <c r="Y89" s="306"/>
      <c r="Z89" s="306"/>
      <c r="AA89" s="306"/>
      <c r="AB89" s="306"/>
      <c r="AC89" s="306"/>
      <c r="AD89" s="306"/>
    </row>
    <row r="90" spans="2:30" s="314" customFormat="1" hidden="1" outlineLevel="2" x14ac:dyDescent="0.35">
      <c r="B90" s="318"/>
      <c r="C90" s="194"/>
      <c r="D90" s="342"/>
      <c r="E90" s="962" t="str">
        <f>IFERROR(VLOOKUP(B90,FAEE!G98:L100,6,FALSE),"")</f>
        <v/>
      </c>
      <c r="F90" s="963" t="str">
        <f t="shared" si="1"/>
        <v/>
      </c>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row>
    <row r="91" spans="2:30" s="314" customFormat="1" hidden="1" outlineLevel="2" x14ac:dyDescent="0.35">
      <c r="B91" s="318"/>
      <c r="C91" s="194"/>
      <c r="D91" s="342"/>
      <c r="E91" s="962" t="str">
        <f>IFERROR(VLOOKUP(B91,FAEE!G99:L101,6,FALSE),"")</f>
        <v/>
      </c>
      <c r="F91" s="963" t="str">
        <f t="shared" si="1"/>
        <v/>
      </c>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row>
    <row r="92" spans="2:30" s="314" customFormat="1" hidden="1" outlineLevel="2" x14ac:dyDescent="0.35">
      <c r="B92" s="318"/>
      <c r="C92" s="194"/>
      <c r="D92" s="342"/>
      <c r="E92" s="962" t="str">
        <f>IFERROR(VLOOKUP(B92,FAEE!G100:L102,6,FALSE),"")</f>
        <v/>
      </c>
      <c r="F92" s="963" t="str">
        <f t="shared" si="1"/>
        <v/>
      </c>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row>
    <row r="93" spans="2:30" s="314" customFormat="1" hidden="1" outlineLevel="2" x14ac:dyDescent="0.35">
      <c r="B93" s="318"/>
      <c r="C93" s="194"/>
      <c r="D93" s="342"/>
      <c r="E93" s="962" t="str">
        <f>IFERROR(VLOOKUP(B93,FAEE!G101:L103,6,FALSE),"")</f>
        <v/>
      </c>
      <c r="F93" s="963" t="str">
        <f t="shared" si="1"/>
        <v/>
      </c>
      <c r="H93" s="306"/>
      <c r="I93" s="306"/>
      <c r="J93" s="306"/>
      <c r="K93" s="306"/>
      <c r="L93" s="306"/>
      <c r="M93" s="306"/>
      <c r="N93" s="306"/>
      <c r="O93" s="306"/>
      <c r="P93" s="306"/>
      <c r="Q93" s="306"/>
      <c r="R93" s="306"/>
      <c r="S93" s="306"/>
      <c r="T93" s="306"/>
      <c r="U93" s="306"/>
      <c r="V93" s="306"/>
      <c r="W93" s="306"/>
      <c r="X93" s="306"/>
      <c r="Y93" s="306"/>
      <c r="Z93" s="306"/>
      <c r="AA93" s="306"/>
      <c r="AB93" s="306"/>
      <c r="AC93" s="306"/>
      <c r="AD93" s="306"/>
    </row>
    <row r="94" spans="2:30" s="314" customFormat="1" hidden="1" outlineLevel="2" x14ac:dyDescent="0.35">
      <c r="B94" s="318"/>
      <c r="C94" s="194"/>
      <c r="D94" s="342"/>
      <c r="E94" s="962" t="str">
        <f>IFERROR(VLOOKUP(B94,FAEE!G102:L104,6,FALSE),"")</f>
        <v/>
      </c>
      <c r="F94" s="963" t="str">
        <f t="shared" si="1"/>
        <v/>
      </c>
      <c r="H94" s="306"/>
      <c r="I94" s="306"/>
      <c r="J94" s="306"/>
      <c r="K94" s="306"/>
      <c r="L94" s="306"/>
      <c r="M94" s="306"/>
      <c r="N94" s="306"/>
      <c r="O94" s="306"/>
      <c r="P94" s="306"/>
      <c r="Q94" s="306"/>
      <c r="R94" s="306"/>
      <c r="S94" s="306"/>
      <c r="T94" s="306"/>
      <c r="U94" s="306"/>
      <c r="V94" s="306"/>
      <c r="W94" s="306"/>
      <c r="X94" s="306"/>
      <c r="Y94" s="306"/>
      <c r="Z94" s="306"/>
      <c r="AA94" s="306"/>
      <c r="AB94" s="306"/>
      <c r="AC94" s="306"/>
      <c r="AD94" s="306"/>
    </row>
    <row r="95" spans="2:30" s="314" customFormat="1" hidden="1" outlineLevel="2" x14ac:dyDescent="0.35">
      <c r="B95" s="318"/>
      <c r="C95" s="194"/>
      <c r="D95" s="342"/>
      <c r="E95" s="962" t="str">
        <f>IFERROR(VLOOKUP(B95,FAEE!G103:L105,6,FALSE),"")</f>
        <v/>
      </c>
      <c r="F95" s="963" t="str">
        <f t="shared" si="1"/>
        <v/>
      </c>
      <c r="H95" s="306"/>
      <c r="I95" s="306"/>
      <c r="J95" s="306"/>
      <c r="K95" s="306"/>
      <c r="L95" s="306"/>
      <c r="M95" s="306"/>
      <c r="N95" s="306"/>
      <c r="O95" s="306"/>
      <c r="P95" s="306"/>
      <c r="Q95" s="306"/>
      <c r="R95" s="306"/>
      <c r="S95" s="306"/>
      <c r="T95" s="306"/>
      <c r="U95" s="306"/>
      <c r="V95" s="306"/>
      <c r="W95" s="306"/>
      <c r="X95" s="306"/>
      <c r="Y95" s="306"/>
      <c r="Z95" s="306"/>
      <c r="AA95" s="306"/>
      <c r="AB95" s="306"/>
      <c r="AC95" s="306"/>
      <c r="AD95" s="306"/>
    </row>
    <row r="96" spans="2:30" s="314" customFormat="1" hidden="1" outlineLevel="2" x14ac:dyDescent="0.35">
      <c r="B96" s="318"/>
      <c r="C96" s="194"/>
      <c r="D96" s="342"/>
      <c r="E96" s="962" t="str">
        <f>IFERROR(VLOOKUP(B96,FAEE!G104:L106,6,FALSE),"")</f>
        <v/>
      </c>
      <c r="F96" s="963" t="str">
        <f t="shared" si="1"/>
        <v/>
      </c>
      <c r="H96" s="306"/>
      <c r="I96" s="306"/>
      <c r="J96" s="306"/>
      <c r="K96" s="306"/>
      <c r="L96" s="306"/>
      <c r="M96" s="306"/>
      <c r="N96" s="306"/>
      <c r="O96" s="306"/>
      <c r="P96" s="306"/>
      <c r="Q96" s="306"/>
      <c r="R96" s="306"/>
      <c r="S96" s="306"/>
      <c r="T96" s="306"/>
      <c r="U96" s="306"/>
      <c r="V96" s="306"/>
      <c r="W96" s="306"/>
      <c r="X96" s="306"/>
      <c r="Y96" s="306"/>
      <c r="Z96" s="306"/>
      <c r="AA96" s="306"/>
      <c r="AB96" s="306"/>
      <c r="AC96" s="306"/>
      <c r="AD96" s="306"/>
    </row>
    <row r="97" spans="2:30" s="314" customFormat="1" hidden="1" outlineLevel="2" x14ac:dyDescent="0.35">
      <c r="B97" s="318"/>
      <c r="C97" s="194"/>
      <c r="D97" s="342"/>
      <c r="E97" s="962" t="str">
        <f>IFERROR(VLOOKUP(B97,FAEE!G105:L107,6,FALSE),"")</f>
        <v/>
      </c>
      <c r="F97" s="963" t="str">
        <f t="shared" si="1"/>
        <v/>
      </c>
      <c r="H97" s="306"/>
      <c r="I97" s="306"/>
      <c r="J97" s="306"/>
      <c r="K97" s="306"/>
      <c r="L97" s="306"/>
      <c r="M97" s="306"/>
      <c r="N97" s="306"/>
      <c r="O97" s="306"/>
      <c r="P97" s="306"/>
      <c r="Q97" s="306"/>
      <c r="R97" s="306"/>
      <c r="S97" s="306"/>
      <c r="T97" s="306"/>
      <c r="U97" s="306"/>
      <c r="V97" s="306"/>
      <c r="W97" s="306"/>
      <c r="X97" s="306"/>
      <c r="Y97" s="306"/>
      <c r="Z97" s="306"/>
      <c r="AA97" s="306"/>
      <c r="AB97" s="306"/>
      <c r="AC97" s="306"/>
      <c r="AD97" s="306"/>
    </row>
    <row r="98" spans="2:30" s="314" customFormat="1" hidden="1" outlineLevel="2" x14ac:dyDescent="0.35">
      <c r="B98" s="318"/>
      <c r="C98" s="194"/>
      <c r="D98" s="342"/>
      <c r="E98" s="962" t="str">
        <f>IFERROR(VLOOKUP(B98,FAEE!G106:L108,6,FALSE),"")</f>
        <v/>
      </c>
      <c r="F98" s="963" t="str">
        <f t="shared" ref="F98:F132" si="2">IFERROR(IF(D98="","",D98*E98),"")</f>
        <v/>
      </c>
      <c r="H98" s="306"/>
      <c r="I98" s="306"/>
      <c r="J98" s="306"/>
      <c r="K98" s="306"/>
      <c r="L98" s="306"/>
      <c r="M98" s="306"/>
      <c r="N98" s="306"/>
      <c r="O98" s="306"/>
      <c r="P98" s="306"/>
      <c r="Q98" s="306"/>
      <c r="R98" s="306"/>
      <c r="S98" s="306"/>
      <c r="T98" s="306"/>
      <c r="U98" s="306"/>
      <c r="V98" s="306"/>
      <c r="W98" s="306"/>
      <c r="X98" s="306"/>
      <c r="Y98" s="306"/>
      <c r="Z98" s="306"/>
      <c r="AA98" s="306"/>
      <c r="AB98" s="306"/>
      <c r="AC98" s="306"/>
      <c r="AD98" s="306"/>
    </row>
    <row r="99" spans="2:30" s="314" customFormat="1" hidden="1" outlineLevel="2" x14ac:dyDescent="0.35">
      <c r="B99" s="318"/>
      <c r="C99" s="194"/>
      <c r="D99" s="342"/>
      <c r="E99" s="962" t="str">
        <f>IFERROR(VLOOKUP(B99,FAEE!G107:L109,6,FALSE),"")</f>
        <v/>
      </c>
      <c r="F99" s="963" t="str">
        <f t="shared" si="2"/>
        <v/>
      </c>
      <c r="H99" s="306"/>
      <c r="I99" s="306"/>
      <c r="J99" s="306"/>
      <c r="K99" s="306"/>
      <c r="L99" s="306"/>
      <c r="M99" s="306"/>
      <c r="N99" s="306"/>
      <c r="O99" s="306"/>
      <c r="P99" s="306"/>
      <c r="Q99" s="306"/>
      <c r="R99" s="306"/>
      <c r="S99" s="306"/>
      <c r="T99" s="306"/>
      <c r="U99" s="306"/>
      <c r="V99" s="306"/>
      <c r="W99" s="306"/>
      <c r="X99" s="306"/>
      <c r="Y99" s="306"/>
      <c r="Z99" s="306"/>
      <c r="AA99" s="306"/>
      <c r="AB99" s="306"/>
      <c r="AC99" s="306"/>
      <c r="AD99" s="306"/>
    </row>
    <row r="100" spans="2:30" s="314" customFormat="1" hidden="1" outlineLevel="2" x14ac:dyDescent="0.35">
      <c r="B100" s="318"/>
      <c r="C100" s="194"/>
      <c r="D100" s="342"/>
      <c r="E100" s="962" t="str">
        <f>IFERROR(VLOOKUP(B100,FAEE!G108:L110,6,FALSE),"")</f>
        <v/>
      </c>
      <c r="F100" s="963" t="str">
        <f t="shared" si="2"/>
        <v/>
      </c>
      <c r="H100" s="306"/>
      <c r="I100" s="306"/>
      <c r="J100" s="306"/>
      <c r="K100" s="306"/>
      <c r="L100" s="306"/>
      <c r="M100" s="306"/>
      <c r="N100" s="306"/>
      <c r="O100" s="306"/>
      <c r="P100" s="306"/>
      <c r="Q100" s="306"/>
      <c r="R100" s="306"/>
      <c r="S100" s="306"/>
      <c r="T100" s="306"/>
      <c r="U100" s="306"/>
      <c r="V100" s="306"/>
      <c r="W100" s="306"/>
      <c r="X100" s="306"/>
      <c r="Y100" s="306"/>
      <c r="Z100" s="306"/>
      <c r="AA100" s="306"/>
      <c r="AB100" s="306"/>
      <c r="AC100" s="306"/>
      <c r="AD100" s="306"/>
    </row>
    <row r="101" spans="2:30" s="314" customFormat="1" hidden="1" outlineLevel="2" x14ac:dyDescent="0.35">
      <c r="B101" s="318"/>
      <c r="C101" s="194"/>
      <c r="D101" s="342"/>
      <c r="E101" s="962" t="str">
        <f>IFERROR(VLOOKUP(B101,FAEE!G109:L111,6,FALSE),"")</f>
        <v/>
      </c>
      <c r="F101" s="963" t="str">
        <f t="shared" si="2"/>
        <v/>
      </c>
      <c r="H101" s="306"/>
      <c r="I101" s="306"/>
      <c r="J101" s="306"/>
      <c r="K101" s="306"/>
      <c r="L101" s="306"/>
      <c r="M101" s="306"/>
      <c r="N101" s="306"/>
      <c r="O101" s="306"/>
      <c r="P101" s="306"/>
      <c r="Q101" s="306"/>
      <c r="R101" s="306"/>
      <c r="S101" s="306"/>
      <c r="T101" s="306"/>
      <c r="U101" s="306"/>
      <c r="V101" s="306"/>
      <c r="W101" s="306"/>
      <c r="X101" s="306"/>
      <c r="Y101" s="306"/>
      <c r="Z101" s="306"/>
      <c r="AA101" s="306"/>
      <c r="AB101" s="306"/>
      <c r="AC101" s="306"/>
      <c r="AD101" s="306"/>
    </row>
    <row r="102" spans="2:30" s="314" customFormat="1" hidden="1" outlineLevel="2" x14ac:dyDescent="0.35">
      <c r="B102" s="318"/>
      <c r="C102" s="194"/>
      <c r="D102" s="342"/>
      <c r="E102" s="962" t="str">
        <f>IFERROR(VLOOKUP(B102,FAEE!G110:L112,6,FALSE),"")</f>
        <v/>
      </c>
      <c r="F102" s="963" t="str">
        <f t="shared" si="2"/>
        <v/>
      </c>
      <c r="H102" s="306"/>
      <c r="I102" s="306"/>
      <c r="J102" s="306"/>
      <c r="K102" s="306"/>
      <c r="L102" s="306"/>
      <c r="M102" s="306"/>
      <c r="N102" s="306"/>
      <c r="O102" s="306"/>
      <c r="P102" s="306"/>
      <c r="Q102" s="306"/>
      <c r="R102" s="306"/>
      <c r="S102" s="306"/>
      <c r="T102" s="306"/>
      <c r="U102" s="306"/>
      <c r="V102" s="306"/>
      <c r="W102" s="306"/>
      <c r="X102" s="306"/>
      <c r="Y102" s="306"/>
      <c r="Z102" s="306"/>
      <c r="AA102" s="306"/>
      <c r="AB102" s="306"/>
      <c r="AC102" s="306"/>
      <c r="AD102" s="306"/>
    </row>
    <row r="103" spans="2:30" s="314" customFormat="1" hidden="1" outlineLevel="2" x14ac:dyDescent="0.35">
      <c r="B103" s="318"/>
      <c r="C103" s="194"/>
      <c r="D103" s="342"/>
      <c r="E103" s="962" t="str">
        <f>IFERROR(VLOOKUP(B103,FAEE!G111:L113,6,FALSE),"")</f>
        <v/>
      </c>
      <c r="F103" s="963" t="str">
        <f t="shared" si="2"/>
        <v/>
      </c>
      <c r="H103" s="306"/>
      <c r="I103" s="306"/>
      <c r="J103" s="306"/>
      <c r="K103" s="306"/>
      <c r="L103" s="306"/>
      <c r="M103" s="306"/>
      <c r="N103" s="306"/>
      <c r="O103" s="306"/>
      <c r="P103" s="306"/>
      <c r="Q103" s="306"/>
      <c r="R103" s="306"/>
      <c r="S103" s="306"/>
      <c r="T103" s="306"/>
      <c r="U103" s="306"/>
      <c r="V103" s="306"/>
      <c r="W103" s="306"/>
      <c r="X103" s="306"/>
      <c r="Y103" s="306"/>
      <c r="Z103" s="306"/>
      <c r="AA103" s="306"/>
      <c r="AB103" s="306"/>
      <c r="AC103" s="306"/>
      <c r="AD103" s="306"/>
    </row>
    <row r="104" spans="2:30" s="314" customFormat="1" hidden="1" outlineLevel="2" x14ac:dyDescent="0.35">
      <c r="B104" s="318"/>
      <c r="C104" s="194"/>
      <c r="D104" s="342"/>
      <c r="E104" s="962" t="str">
        <f>IFERROR(VLOOKUP(B104,FAEE!G112:L114,6,FALSE),"")</f>
        <v/>
      </c>
      <c r="F104" s="963" t="str">
        <f t="shared" si="2"/>
        <v/>
      </c>
      <c r="H104" s="306"/>
      <c r="I104" s="306"/>
      <c r="J104" s="306"/>
      <c r="K104" s="306"/>
      <c r="L104" s="306"/>
      <c r="M104" s="306"/>
      <c r="N104" s="306"/>
      <c r="O104" s="306"/>
      <c r="P104" s="306"/>
      <c r="Q104" s="306"/>
      <c r="R104" s="306"/>
      <c r="S104" s="306"/>
      <c r="T104" s="306"/>
      <c r="U104" s="306"/>
      <c r="V104" s="306"/>
      <c r="W104" s="306"/>
      <c r="X104" s="306"/>
      <c r="Y104" s="306"/>
      <c r="Z104" s="306"/>
      <c r="AA104" s="306"/>
      <c r="AB104" s="306"/>
      <c r="AC104" s="306"/>
      <c r="AD104" s="306"/>
    </row>
    <row r="105" spans="2:30" s="314" customFormat="1" hidden="1" outlineLevel="2" x14ac:dyDescent="0.35">
      <c r="B105" s="318"/>
      <c r="C105" s="194"/>
      <c r="D105" s="342"/>
      <c r="E105" s="962" t="str">
        <f>IFERROR(VLOOKUP(B105,FAEE!G113:L115,6,FALSE),"")</f>
        <v/>
      </c>
      <c r="F105" s="963" t="str">
        <f t="shared" si="2"/>
        <v/>
      </c>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row>
    <row r="106" spans="2:30" s="314" customFormat="1" hidden="1" outlineLevel="2" x14ac:dyDescent="0.35">
      <c r="B106" s="318"/>
      <c r="C106" s="194"/>
      <c r="D106" s="342"/>
      <c r="E106" s="962" t="str">
        <f>IFERROR(VLOOKUP(B106,FAEE!G114:L116,6,FALSE),"")</f>
        <v/>
      </c>
      <c r="F106" s="963" t="str">
        <f t="shared" si="2"/>
        <v/>
      </c>
      <c r="H106" s="306"/>
      <c r="I106" s="306"/>
      <c r="J106" s="306"/>
      <c r="K106" s="306"/>
      <c r="L106" s="306"/>
      <c r="M106" s="306"/>
      <c r="N106" s="306"/>
      <c r="O106" s="306"/>
      <c r="P106" s="306"/>
      <c r="Q106" s="306"/>
      <c r="R106" s="306"/>
      <c r="S106" s="306"/>
      <c r="T106" s="306"/>
      <c r="U106" s="306"/>
      <c r="V106" s="306"/>
      <c r="W106" s="306"/>
      <c r="X106" s="306"/>
      <c r="Y106" s="306"/>
      <c r="Z106" s="306"/>
      <c r="AA106" s="306"/>
      <c r="AB106" s="306"/>
      <c r="AC106" s="306"/>
      <c r="AD106" s="306"/>
    </row>
    <row r="107" spans="2:30" s="314" customFormat="1" hidden="1" outlineLevel="2" x14ac:dyDescent="0.35">
      <c r="B107" s="318"/>
      <c r="C107" s="194"/>
      <c r="D107" s="342"/>
      <c r="E107" s="962" t="str">
        <f>IFERROR(VLOOKUP(B107,FAEE!G115:L117,6,FALSE),"")</f>
        <v/>
      </c>
      <c r="F107" s="963" t="str">
        <f t="shared" si="2"/>
        <v/>
      </c>
      <c r="H107" s="306"/>
      <c r="I107" s="306"/>
      <c r="J107" s="306"/>
      <c r="K107" s="306"/>
      <c r="L107" s="306"/>
      <c r="M107" s="306"/>
      <c r="N107" s="306"/>
      <c r="O107" s="306"/>
      <c r="P107" s="306"/>
      <c r="Q107" s="306"/>
      <c r="R107" s="306"/>
      <c r="S107" s="306"/>
      <c r="T107" s="306"/>
      <c r="U107" s="306"/>
      <c r="V107" s="306"/>
      <c r="W107" s="306"/>
      <c r="X107" s="306"/>
      <c r="Y107" s="306"/>
      <c r="Z107" s="306"/>
      <c r="AA107" s="306"/>
      <c r="AB107" s="306"/>
      <c r="AC107" s="306"/>
      <c r="AD107" s="306"/>
    </row>
    <row r="108" spans="2:30" s="314" customFormat="1" hidden="1" outlineLevel="2" x14ac:dyDescent="0.35">
      <c r="B108" s="318"/>
      <c r="C108" s="194"/>
      <c r="D108" s="342"/>
      <c r="E108" s="962" t="str">
        <f>IFERROR(VLOOKUP(B108,FAEE!G116:L118,6,FALSE),"")</f>
        <v/>
      </c>
      <c r="F108" s="963" t="str">
        <f t="shared" si="2"/>
        <v/>
      </c>
      <c r="H108" s="306"/>
      <c r="I108" s="306"/>
      <c r="J108" s="306"/>
      <c r="K108" s="306"/>
      <c r="L108" s="306"/>
      <c r="M108" s="306"/>
      <c r="N108" s="306"/>
      <c r="O108" s="306"/>
      <c r="P108" s="306"/>
      <c r="Q108" s="306"/>
      <c r="R108" s="306"/>
      <c r="S108" s="306"/>
      <c r="T108" s="306"/>
      <c r="U108" s="306"/>
      <c r="V108" s="306"/>
      <c r="W108" s="306"/>
      <c r="X108" s="306"/>
      <c r="Y108" s="306"/>
      <c r="Z108" s="306"/>
      <c r="AA108" s="306"/>
      <c r="AB108" s="306"/>
      <c r="AC108" s="306"/>
      <c r="AD108" s="306"/>
    </row>
    <row r="109" spans="2:30" s="314" customFormat="1" hidden="1" outlineLevel="2" x14ac:dyDescent="0.35">
      <c r="B109" s="318"/>
      <c r="C109" s="194"/>
      <c r="D109" s="342"/>
      <c r="E109" s="962" t="str">
        <f>IFERROR(VLOOKUP(B109,FAEE!G117:L119,6,FALSE),"")</f>
        <v/>
      </c>
      <c r="F109" s="963" t="str">
        <f t="shared" si="2"/>
        <v/>
      </c>
      <c r="H109" s="306"/>
      <c r="I109" s="306"/>
      <c r="J109" s="306"/>
      <c r="K109" s="306"/>
      <c r="L109" s="306"/>
      <c r="M109" s="306"/>
      <c r="N109" s="306"/>
      <c r="O109" s="306"/>
      <c r="P109" s="306"/>
      <c r="Q109" s="306"/>
      <c r="R109" s="306"/>
      <c r="S109" s="306"/>
      <c r="T109" s="306"/>
      <c r="U109" s="306"/>
      <c r="V109" s="306"/>
      <c r="W109" s="306"/>
      <c r="X109" s="306"/>
      <c r="Y109" s="306"/>
      <c r="Z109" s="306"/>
      <c r="AA109" s="306"/>
      <c r="AB109" s="306"/>
      <c r="AC109" s="306"/>
      <c r="AD109" s="306"/>
    </row>
    <row r="110" spans="2:30" s="314" customFormat="1" hidden="1" outlineLevel="2" x14ac:dyDescent="0.35">
      <c r="B110" s="318"/>
      <c r="C110" s="194"/>
      <c r="D110" s="342"/>
      <c r="E110" s="962" t="str">
        <f>IFERROR(VLOOKUP(B110,FAEE!G118:L120,6,FALSE),"")</f>
        <v/>
      </c>
      <c r="F110" s="963" t="str">
        <f t="shared" si="2"/>
        <v/>
      </c>
      <c r="H110" s="306"/>
      <c r="I110" s="306"/>
      <c r="J110" s="306"/>
      <c r="K110" s="306"/>
      <c r="L110" s="306"/>
      <c r="M110" s="306"/>
      <c r="N110" s="306"/>
      <c r="O110" s="306"/>
      <c r="P110" s="306"/>
      <c r="Q110" s="306"/>
      <c r="R110" s="306"/>
      <c r="S110" s="306"/>
      <c r="T110" s="306"/>
      <c r="U110" s="306"/>
      <c r="V110" s="306"/>
      <c r="W110" s="306"/>
      <c r="X110" s="306"/>
      <c r="Y110" s="306"/>
      <c r="Z110" s="306"/>
      <c r="AA110" s="306"/>
      <c r="AB110" s="306"/>
      <c r="AC110" s="306"/>
      <c r="AD110" s="306"/>
    </row>
    <row r="111" spans="2:30" s="314" customFormat="1" hidden="1" outlineLevel="2" x14ac:dyDescent="0.35">
      <c r="B111" s="318"/>
      <c r="C111" s="194"/>
      <c r="D111" s="342"/>
      <c r="E111" s="962" t="str">
        <f>IFERROR(VLOOKUP(B111,FAEE!G119:L121,6,FALSE),"")</f>
        <v/>
      </c>
      <c r="F111" s="963" t="str">
        <f t="shared" si="2"/>
        <v/>
      </c>
      <c r="H111" s="306"/>
      <c r="I111" s="306"/>
      <c r="J111" s="306"/>
      <c r="K111" s="306"/>
      <c r="L111" s="306"/>
      <c r="M111" s="306"/>
      <c r="N111" s="306"/>
      <c r="O111" s="306"/>
      <c r="P111" s="306"/>
      <c r="Q111" s="306"/>
      <c r="R111" s="306"/>
      <c r="S111" s="306"/>
      <c r="T111" s="306"/>
      <c r="U111" s="306"/>
      <c r="V111" s="306"/>
      <c r="W111" s="306"/>
      <c r="X111" s="306"/>
      <c r="Y111" s="306"/>
      <c r="Z111" s="306"/>
      <c r="AA111" s="306"/>
      <c r="AB111" s="306"/>
      <c r="AC111" s="306"/>
      <c r="AD111" s="306"/>
    </row>
    <row r="112" spans="2:30" s="314" customFormat="1" hidden="1" outlineLevel="2" x14ac:dyDescent="0.35">
      <c r="B112" s="318"/>
      <c r="C112" s="194"/>
      <c r="D112" s="342"/>
      <c r="E112" s="962" t="str">
        <f>IFERROR(VLOOKUP(B112,FAEE!G120:L122,6,FALSE),"")</f>
        <v/>
      </c>
      <c r="F112" s="963" t="str">
        <f t="shared" si="2"/>
        <v/>
      </c>
      <c r="H112" s="306"/>
      <c r="I112" s="306"/>
      <c r="J112" s="306"/>
      <c r="K112" s="306"/>
      <c r="L112" s="306"/>
      <c r="M112" s="306"/>
      <c r="N112" s="306"/>
      <c r="O112" s="306"/>
      <c r="P112" s="306"/>
      <c r="Q112" s="306"/>
      <c r="R112" s="306"/>
      <c r="S112" s="306"/>
      <c r="T112" s="306"/>
      <c r="U112" s="306"/>
      <c r="V112" s="306"/>
      <c r="W112" s="306"/>
      <c r="X112" s="306"/>
      <c r="Y112" s="306"/>
      <c r="Z112" s="306"/>
      <c r="AA112" s="306"/>
      <c r="AB112" s="306"/>
      <c r="AC112" s="306"/>
      <c r="AD112" s="306"/>
    </row>
    <row r="113" spans="2:30" s="314" customFormat="1" hidden="1" outlineLevel="2" x14ac:dyDescent="0.35">
      <c r="B113" s="318"/>
      <c r="C113" s="194"/>
      <c r="D113" s="342"/>
      <c r="E113" s="962" t="str">
        <f>IFERROR(VLOOKUP(B113,FAEE!G121:L123,6,FALSE),"")</f>
        <v/>
      </c>
      <c r="F113" s="963" t="str">
        <f t="shared" si="2"/>
        <v/>
      </c>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306"/>
    </row>
    <row r="114" spans="2:30" s="314" customFormat="1" hidden="1" outlineLevel="2" x14ac:dyDescent="0.35">
      <c r="B114" s="318"/>
      <c r="C114" s="194"/>
      <c r="D114" s="342"/>
      <c r="E114" s="962" t="str">
        <f>IFERROR(VLOOKUP(B114,FAEE!G122:L124,6,FALSE),"")</f>
        <v/>
      </c>
      <c r="F114" s="963" t="str">
        <f t="shared" si="2"/>
        <v/>
      </c>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row>
    <row r="115" spans="2:30" s="314" customFormat="1" hidden="1" outlineLevel="2" x14ac:dyDescent="0.35">
      <c r="B115" s="318"/>
      <c r="C115" s="194"/>
      <c r="D115" s="342"/>
      <c r="E115" s="962" t="str">
        <f>IFERROR(VLOOKUP(B115,FAEE!G123:L125,6,FALSE),"")</f>
        <v/>
      </c>
      <c r="F115" s="963" t="str">
        <f t="shared" si="2"/>
        <v/>
      </c>
      <c r="H115" s="306"/>
      <c r="I115" s="306"/>
      <c r="J115" s="306"/>
      <c r="K115" s="306"/>
      <c r="L115" s="306"/>
      <c r="M115" s="306"/>
      <c r="N115" s="306"/>
      <c r="O115" s="306"/>
      <c r="P115" s="306"/>
      <c r="Q115" s="306"/>
      <c r="R115" s="306"/>
      <c r="S115" s="306"/>
      <c r="T115" s="306"/>
      <c r="U115" s="306"/>
      <c r="V115" s="306"/>
      <c r="W115" s="306"/>
      <c r="X115" s="306"/>
      <c r="Y115" s="306"/>
      <c r="Z115" s="306"/>
      <c r="AA115" s="306"/>
      <c r="AB115" s="306"/>
      <c r="AC115" s="306"/>
      <c r="AD115" s="306"/>
    </row>
    <row r="116" spans="2:30" s="314" customFormat="1" hidden="1" outlineLevel="2" x14ac:dyDescent="0.35">
      <c r="B116" s="318"/>
      <c r="C116" s="194"/>
      <c r="D116" s="342"/>
      <c r="E116" s="962" t="str">
        <f>IFERROR(VLOOKUP(B116,FAEE!G124:L126,6,FALSE),"")</f>
        <v/>
      </c>
      <c r="F116" s="963" t="str">
        <f t="shared" si="2"/>
        <v/>
      </c>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306"/>
    </row>
    <row r="117" spans="2:30" s="314" customFormat="1" hidden="1" outlineLevel="2" x14ac:dyDescent="0.35">
      <c r="B117" s="318"/>
      <c r="C117" s="194"/>
      <c r="D117" s="342"/>
      <c r="E117" s="962" t="str">
        <f>IFERROR(VLOOKUP(B117,FAEE!G125:L127,6,FALSE),"")</f>
        <v/>
      </c>
      <c r="F117" s="963" t="str">
        <f t="shared" si="2"/>
        <v/>
      </c>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row>
    <row r="118" spans="2:30" s="314" customFormat="1" hidden="1" outlineLevel="2" x14ac:dyDescent="0.35">
      <c r="B118" s="318"/>
      <c r="C118" s="194"/>
      <c r="D118" s="342"/>
      <c r="E118" s="962" t="str">
        <f>IFERROR(VLOOKUP(B118,FAEE!G126:L128,6,FALSE),"")</f>
        <v/>
      </c>
      <c r="F118" s="963" t="str">
        <f t="shared" si="2"/>
        <v/>
      </c>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row>
    <row r="119" spans="2:30" s="314" customFormat="1" hidden="1" outlineLevel="2" x14ac:dyDescent="0.35">
      <c r="B119" s="318"/>
      <c r="C119" s="194"/>
      <c r="D119" s="342"/>
      <c r="E119" s="962" t="str">
        <f>IFERROR(VLOOKUP(B119,FAEE!G127:L129,6,FALSE),"")</f>
        <v/>
      </c>
      <c r="F119" s="963" t="str">
        <f t="shared" si="2"/>
        <v/>
      </c>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row>
    <row r="120" spans="2:30" s="314" customFormat="1" hidden="1" outlineLevel="2" x14ac:dyDescent="0.35">
      <c r="B120" s="318"/>
      <c r="C120" s="194"/>
      <c r="D120" s="342"/>
      <c r="E120" s="962" t="str">
        <f>IFERROR(VLOOKUP(B120,FAEE!G128:L130,6,FALSE),"")</f>
        <v/>
      </c>
      <c r="F120" s="963" t="str">
        <f t="shared" si="2"/>
        <v/>
      </c>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row>
    <row r="121" spans="2:30" s="314" customFormat="1" hidden="1" outlineLevel="2" x14ac:dyDescent="0.35">
      <c r="B121" s="318"/>
      <c r="C121" s="194"/>
      <c r="D121" s="342"/>
      <c r="E121" s="962" t="str">
        <f>IFERROR(VLOOKUP(B121,FAEE!G129:L131,6,FALSE),"")</f>
        <v/>
      </c>
      <c r="F121" s="963" t="str">
        <f t="shared" si="2"/>
        <v/>
      </c>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row>
    <row r="122" spans="2:30" s="314" customFormat="1" hidden="1" outlineLevel="2" x14ac:dyDescent="0.35">
      <c r="B122" s="318"/>
      <c r="C122" s="194"/>
      <c r="D122" s="342"/>
      <c r="E122" s="962" t="str">
        <f>IFERROR(VLOOKUP(B122,FAEE!G130:L132,6,FALSE),"")</f>
        <v/>
      </c>
      <c r="F122" s="963" t="str">
        <f t="shared" si="2"/>
        <v/>
      </c>
      <c r="H122" s="306"/>
      <c r="I122" s="306"/>
      <c r="J122" s="306"/>
      <c r="K122" s="306"/>
      <c r="L122" s="306"/>
      <c r="M122" s="306"/>
      <c r="N122" s="306"/>
      <c r="O122" s="306"/>
      <c r="P122" s="306"/>
      <c r="Q122" s="306"/>
      <c r="R122" s="306"/>
      <c r="S122" s="306"/>
      <c r="T122" s="306"/>
      <c r="U122" s="306"/>
      <c r="V122" s="306"/>
      <c r="W122" s="306"/>
      <c r="X122" s="306"/>
      <c r="Y122" s="306"/>
      <c r="Z122" s="306"/>
      <c r="AA122" s="306"/>
      <c r="AB122" s="306"/>
      <c r="AC122" s="306"/>
      <c r="AD122" s="306"/>
    </row>
    <row r="123" spans="2:30" s="314" customFormat="1" hidden="1" outlineLevel="2" x14ac:dyDescent="0.35">
      <c r="B123" s="318"/>
      <c r="C123" s="194"/>
      <c r="D123" s="342"/>
      <c r="E123" s="962" t="str">
        <f>IFERROR(VLOOKUP(B123,FAEE!G131:L133,6,FALSE),"")</f>
        <v/>
      </c>
      <c r="F123" s="963" t="str">
        <f t="shared" si="2"/>
        <v/>
      </c>
      <c r="H123" s="306"/>
      <c r="I123" s="306"/>
      <c r="J123" s="306"/>
      <c r="K123" s="306"/>
      <c r="L123" s="306"/>
      <c r="M123" s="306"/>
      <c r="N123" s="306"/>
      <c r="O123" s="306"/>
      <c r="P123" s="306"/>
      <c r="Q123" s="306"/>
      <c r="R123" s="306"/>
      <c r="S123" s="306"/>
      <c r="T123" s="306"/>
      <c r="U123" s="306"/>
      <c r="V123" s="306"/>
      <c r="W123" s="306"/>
      <c r="X123" s="306"/>
      <c r="Y123" s="306"/>
      <c r="Z123" s="306"/>
      <c r="AA123" s="306"/>
      <c r="AB123" s="306"/>
      <c r="AC123" s="306"/>
      <c r="AD123" s="306"/>
    </row>
    <row r="124" spans="2:30" s="314" customFormat="1" hidden="1" outlineLevel="2" x14ac:dyDescent="0.35">
      <c r="B124" s="318"/>
      <c r="C124" s="194"/>
      <c r="D124" s="342"/>
      <c r="E124" s="962" t="str">
        <f>IFERROR(VLOOKUP(B124,FAEE!G132:L134,6,FALSE),"")</f>
        <v/>
      </c>
      <c r="F124" s="963" t="str">
        <f t="shared" si="2"/>
        <v/>
      </c>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row>
    <row r="125" spans="2:30" s="314" customFormat="1" hidden="1" outlineLevel="2" x14ac:dyDescent="0.35">
      <c r="B125" s="318"/>
      <c r="C125" s="194"/>
      <c r="D125" s="342"/>
      <c r="E125" s="962" t="str">
        <f>IFERROR(VLOOKUP(B125,FAEE!G133:L135,6,FALSE),"")</f>
        <v/>
      </c>
      <c r="F125" s="963" t="str">
        <f t="shared" si="2"/>
        <v/>
      </c>
      <c r="H125" s="306"/>
      <c r="I125" s="306"/>
      <c r="J125" s="306"/>
      <c r="K125" s="306"/>
      <c r="L125" s="306"/>
      <c r="M125" s="306"/>
      <c r="N125" s="306"/>
      <c r="O125" s="306"/>
      <c r="P125" s="306"/>
      <c r="Q125" s="306"/>
      <c r="R125" s="306"/>
      <c r="S125" s="306"/>
      <c r="T125" s="306"/>
      <c r="U125" s="306"/>
      <c r="V125" s="306"/>
      <c r="W125" s="306"/>
      <c r="X125" s="306"/>
      <c r="Y125" s="306"/>
      <c r="Z125" s="306"/>
      <c r="AA125" s="306"/>
      <c r="AB125" s="306"/>
      <c r="AC125" s="306"/>
      <c r="AD125" s="306"/>
    </row>
    <row r="126" spans="2:30" s="314" customFormat="1" hidden="1" outlineLevel="2" x14ac:dyDescent="0.35">
      <c r="B126" s="318"/>
      <c r="C126" s="194"/>
      <c r="D126" s="342"/>
      <c r="E126" s="962" t="str">
        <f>IFERROR(VLOOKUP(B126,FAEE!G134:L136,6,FALSE),"")</f>
        <v/>
      </c>
      <c r="F126" s="963" t="str">
        <f t="shared" si="2"/>
        <v/>
      </c>
      <c r="H126" s="306"/>
      <c r="I126" s="306"/>
      <c r="J126" s="306"/>
      <c r="K126" s="306"/>
      <c r="L126" s="306"/>
      <c r="M126" s="306"/>
      <c r="N126" s="306"/>
      <c r="O126" s="306"/>
      <c r="P126" s="306"/>
      <c r="Q126" s="306"/>
      <c r="R126" s="306"/>
      <c r="S126" s="306"/>
      <c r="T126" s="306"/>
      <c r="U126" s="306"/>
      <c r="V126" s="306"/>
      <c r="W126" s="306"/>
      <c r="X126" s="306"/>
      <c r="Y126" s="306"/>
      <c r="Z126" s="306"/>
      <c r="AA126" s="306"/>
      <c r="AB126" s="306"/>
      <c r="AC126" s="306"/>
      <c r="AD126" s="306"/>
    </row>
    <row r="127" spans="2:30" s="314" customFormat="1" hidden="1" outlineLevel="2" x14ac:dyDescent="0.35">
      <c r="B127" s="318"/>
      <c r="C127" s="194"/>
      <c r="D127" s="342"/>
      <c r="E127" s="962" t="str">
        <f>IFERROR(VLOOKUP(B127,FAEE!G135:L137,6,FALSE),"")</f>
        <v/>
      </c>
      <c r="F127" s="963" t="str">
        <f t="shared" si="2"/>
        <v/>
      </c>
      <c r="H127" s="306"/>
      <c r="I127" s="306"/>
      <c r="J127" s="306"/>
      <c r="K127" s="306"/>
      <c r="L127" s="306"/>
      <c r="M127" s="306"/>
      <c r="N127" s="306"/>
      <c r="O127" s="306"/>
      <c r="P127" s="306"/>
      <c r="Q127" s="306"/>
      <c r="R127" s="306"/>
      <c r="S127" s="306"/>
      <c r="T127" s="306"/>
      <c r="U127" s="306"/>
      <c r="V127" s="306"/>
      <c r="W127" s="306"/>
      <c r="X127" s="306"/>
      <c r="Y127" s="306"/>
      <c r="Z127" s="306"/>
      <c r="AA127" s="306"/>
      <c r="AB127" s="306"/>
      <c r="AC127" s="306"/>
      <c r="AD127" s="306"/>
    </row>
    <row r="128" spans="2:30" s="314" customFormat="1" hidden="1" outlineLevel="2" x14ac:dyDescent="0.35">
      <c r="B128" s="318"/>
      <c r="C128" s="194"/>
      <c r="D128" s="342"/>
      <c r="E128" s="962" t="str">
        <f>IFERROR(VLOOKUP(B128,FAEE!G136:L138,6,FALSE),"")</f>
        <v/>
      </c>
      <c r="F128" s="963" t="str">
        <f t="shared" si="2"/>
        <v/>
      </c>
      <c r="H128" s="306"/>
      <c r="I128" s="306"/>
      <c r="J128" s="306"/>
      <c r="K128" s="306"/>
      <c r="L128" s="306"/>
      <c r="M128" s="306"/>
      <c r="N128" s="306"/>
      <c r="O128" s="306"/>
      <c r="P128" s="306"/>
      <c r="Q128" s="306"/>
      <c r="R128" s="306"/>
      <c r="S128" s="306"/>
      <c r="T128" s="306"/>
      <c r="U128" s="306"/>
      <c r="V128" s="306"/>
      <c r="W128" s="306"/>
      <c r="X128" s="306"/>
      <c r="Y128" s="306"/>
      <c r="Z128" s="306"/>
      <c r="AA128" s="306"/>
      <c r="AB128" s="306"/>
      <c r="AC128" s="306"/>
      <c r="AD128" s="306"/>
    </row>
    <row r="129" spans="2:30" s="314" customFormat="1" hidden="1" outlineLevel="2" x14ac:dyDescent="0.35">
      <c r="B129" s="318"/>
      <c r="C129" s="194"/>
      <c r="D129" s="342"/>
      <c r="E129" s="962" t="str">
        <f>IFERROR(VLOOKUP(B129,FAEE!G137:L139,6,FALSE),"")</f>
        <v/>
      </c>
      <c r="F129" s="963" t="str">
        <f t="shared" si="2"/>
        <v/>
      </c>
      <c r="H129" s="306"/>
      <c r="I129" s="306"/>
      <c r="J129" s="306"/>
      <c r="K129" s="306"/>
      <c r="L129" s="306"/>
      <c r="M129" s="306"/>
      <c r="N129" s="306"/>
      <c r="O129" s="306"/>
      <c r="P129" s="306"/>
      <c r="Q129" s="306"/>
      <c r="R129" s="306"/>
      <c r="S129" s="306"/>
      <c r="T129" s="306"/>
      <c r="U129" s="306"/>
      <c r="V129" s="306"/>
      <c r="W129" s="306"/>
      <c r="X129" s="306"/>
      <c r="Y129" s="306"/>
      <c r="Z129" s="306"/>
      <c r="AA129" s="306"/>
      <c r="AB129" s="306"/>
      <c r="AC129" s="306"/>
      <c r="AD129" s="306"/>
    </row>
    <row r="130" spans="2:30" s="314" customFormat="1" hidden="1" outlineLevel="2" x14ac:dyDescent="0.35">
      <c r="B130" s="318"/>
      <c r="C130" s="194"/>
      <c r="D130" s="342"/>
      <c r="E130" s="962" t="str">
        <f>IFERROR(VLOOKUP(B130,FAEE!G138:L140,6,FALSE),"")</f>
        <v/>
      </c>
      <c r="F130" s="963" t="str">
        <f t="shared" si="2"/>
        <v/>
      </c>
      <c r="H130" s="306"/>
      <c r="I130" s="306"/>
      <c r="J130" s="306"/>
      <c r="K130" s="306"/>
      <c r="L130" s="306"/>
      <c r="M130" s="306"/>
      <c r="N130" s="306"/>
      <c r="O130" s="306"/>
      <c r="P130" s="306"/>
      <c r="Q130" s="306"/>
      <c r="R130" s="306"/>
      <c r="S130" s="306"/>
      <c r="T130" s="306"/>
      <c r="U130" s="306"/>
      <c r="V130" s="306"/>
      <c r="W130" s="306"/>
      <c r="X130" s="306"/>
      <c r="Y130" s="306"/>
      <c r="Z130" s="306"/>
      <c r="AA130" s="306"/>
      <c r="AB130" s="306"/>
      <c r="AC130" s="306"/>
      <c r="AD130" s="306"/>
    </row>
    <row r="131" spans="2:30" s="314" customFormat="1" hidden="1" outlineLevel="2" x14ac:dyDescent="0.35">
      <c r="B131" s="318"/>
      <c r="C131" s="194"/>
      <c r="D131" s="342"/>
      <c r="E131" s="962" t="str">
        <f>IFERROR(VLOOKUP(B131,FAEE!G139:L141,6,FALSE),"")</f>
        <v/>
      </c>
      <c r="F131" s="963" t="str">
        <f t="shared" si="2"/>
        <v/>
      </c>
      <c r="H131" s="306"/>
      <c r="I131" s="306"/>
      <c r="J131" s="306"/>
      <c r="K131" s="306"/>
      <c r="L131" s="306"/>
      <c r="M131" s="306"/>
      <c r="N131" s="306"/>
      <c r="O131" s="306"/>
      <c r="P131" s="306"/>
      <c r="Q131" s="306"/>
      <c r="R131" s="306"/>
      <c r="S131" s="306"/>
      <c r="T131" s="306"/>
      <c r="U131" s="306"/>
      <c r="V131" s="306"/>
      <c r="W131" s="306"/>
      <c r="X131" s="306"/>
      <c r="Y131" s="306"/>
      <c r="Z131" s="306"/>
      <c r="AA131" s="306"/>
      <c r="AB131" s="306"/>
      <c r="AC131" s="306"/>
      <c r="AD131" s="306"/>
    </row>
    <row r="132" spans="2:30" s="314" customFormat="1" hidden="1" outlineLevel="2" x14ac:dyDescent="0.35">
      <c r="B132" s="318"/>
      <c r="C132" s="194"/>
      <c r="D132" s="342"/>
      <c r="E132" s="962" t="str">
        <f>IFERROR(VLOOKUP(B132,FAEE!G140:L142,6,FALSE),"")</f>
        <v/>
      </c>
      <c r="F132" s="963" t="str">
        <f t="shared" si="2"/>
        <v/>
      </c>
      <c r="H132" s="306"/>
      <c r="I132" s="306"/>
      <c r="J132" s="306"/>
      <c r="K132" s="306"/>
      <c r="L132" s="306"/>
      <c r="M132" s="306"/>
      <c r="N132" s="306"/>
      <c r="O132" s="306"/>
      <c r="P132" s="306"/>
      <c r="Q132" s="306"/>
      <c r="R132" s="306"/>
      <c r="S132" s="306"/>
      <c r="T132" s="306"/>
      <c r="U132" s="306"/>
      <c r="V132" s="306"/>
      <c r="W132" s="306"/>
      <c r="X132" s="306"/>
      <c r="Y132" s="306"/>
      <c r="Z132" s="306"/>
      <c r="AA132" s="306"/>
      <c r="AB132" s="306"/>
      <c r="AC132" s="306"/>
      <c r="AD132" s="306"/>
    </row>
    <row r="133" spans="2:30" s="314" customFormat="1" outlineLevel="1" collapsed="1" x14ac:dyDescent="0.35">
      <c r="B133" s="319" t="s">
        <v>40</v>
      </c>
      <c r="C133" s="320"/>
      <c r="D133" s="991">
        <f>SUM(D33:D132)</f>
        <v>0</v>
      </c>
      <c r="E133" s="989"/>
      <c r="F133" s="990">
        <f>SUM(F33:F132)</f>
        <v>0</v>
      </c>
      <c r="H133" s="306"/>
      <c r="I133" s="306"/>
      <c r="J133" s="306"/>
      <c r="K133" s="306"/>
      <c r="L133" s="306"/>
      <c r="M133" s="306"/>
      <c r="N133" s="306"/>
      <c r="O133" s="306"/>
      <c r="P133" s="306"/>
      <c r="Q133" s="306"/>
      <c r="R133" s="306"/>
      <c r="S133" s="306"/>
      <c r="T133" s="306"/>
      <c r="U133" s="306"/>
      <c r="V133" s="306"/>
      <c r="W133" s="306"/>
      <c r="X133" s="306"/>
      <c r="Y133" s="306"/>
      <c r="Z133" s="306"/>
      <c r="AA133" s="306"/>
      <c r="AB133" s="306"/>
      <c r="AC133" s="306"/>
      <c r="AD133" s="306"/>
    </row>
    <row r="134" spans="2:30" s="314" customFormat="1" x14ac:dyDescent="0.35"/>
    <row r="135" spans="2:30" s="314" customFormat="1" ht="18" customHeight="1" x14ac:dyDescent="0.35"/>
    <row r="136" spans="2:30" s="538" customFormat="1" ht="30" customHeight="1" x14ac:dyDescent="0.35">
      <c r="B136" s="296" t="s">
        <v>1220</v>
      </c>
    </row>
    <row r="137" spans="2:30" x14ac:dyDescent="0.35"/>
    <row r="138" spans="2:30" outlineLevel="1" x14ac:dyDescent="0.35"/>
    <row r="139" spans="2:30" outlineLevel="1" x14ac:dyDescent="0.35">
      <c r="B139" s="309" t="s">
        <v>0</v>
      </c>
      <c r="C139" s="172"/>
      <c r="D139" s="172"/>
      <c r="E139" s="172"/>
      <c r="F139" s="172"/>
      <c r="G139" s="172"/>
    </row>
    <row r="140" spans="2:30" outlineLevel="1" x14ac:dyDescent="0.35">
      <c r="B140" s="330" t="s">
        <v>425</v>
      </c>
      <c r="C140" s="331"/>
      <c r="D140" s="331"/>
      <c r="E140" s="331"/>
      <c r="F140" s="331"/>
      <c r="G140" s="172"/>
    </row>
    <row r="141" spans="2:30" ht="18.649999999999999" customHeight="1" outlineLevel="1" x14ac:dyDescent="0.35">
      <c r="B141" s="1261" t="s">
        <v>259</v>
      </c>
      <c r="C141" s="1261"/>
      <c r="D141" s="1261"/>
      <c r="E141" s="1261"/>
      <c r="F141" s="1261"/>
      <c r="G141" s="172"/>
    </row>
    <row r="142" spans="2:30" outlineLevel="1" x14ac:dyDescent="0.35">
      <c r="B142" s="332" t="s">
        <v>257</v>
      </c>
      <c r="C142" s="331"/>
      <c r="D142" s="331"/>
      <c r="E142" s="331"/>
      <c r="F142" s="331"/>
      <c r="G142" s="172"/>
    </row>
    <row r="143" spans="2:30" outlineLevel="1" x14ac:dyDescent="0.35">
      <c r="B143" s="333" t="s">
        <v>1176</v>
      </c>
      <c r="C143" s="331"/>
      <c r="D143" s="331"/>
      <c r="E143" s="331"/>
      <c r="F143" s="331"/>
      <c r="G143" s="172"/>
    </row>
    <row r="144" spans="2:30" ht="19.149999999999999" customHeight="1" outlineLevel="1" x14ac:dyDescent="0.35">
      <c r="B144" s="1262" t="s">
        <v>258</v>
      </c>
      <c r="C144" s="1262"/>
      <c r="D144" s="1262"/>
      <c r="E144" s="1262"/>
      <c r="F144" s="1262"/>
      <c r="G144" s="310"/>
      <c r="H144" s="311"/>
      <c r="I144" s="311"/>
      <c r="J144" s="311"/>
      <c r="K144" s="311"/>
      <c r="L144" s="311"/>
      <c r="M144" s="311"/>
      <c r="N144" s="311"/>
      <c r="O144" s="311"/>
      <c r="P144" s="311"/>
      <c r="Q144" s="311"/>
      <c r="R144" s="311"/>
      <c r="S144" s="311"/>
      <c r="T144" s="311"/>
      <c r="U144" s="311"/>
      <c r="V144" s="311"/>
      <c r="W144" s="311"/>
      <c r="X144" s="311"/>
      <c r="Y144" s="311"/>
      <c r="Z144" s="311"/>
      <c r="AA144" s="311"/>
      <c r="AB144" s="311"/>
    </row>
    <row r="145" spans="1:34" outlineLevel="1" x14ac:dyDescent="0.35"/>
    <row r="146" spans="1:34" outlineLevel="1" x14ac:dyDescent="0.35">
      <c r="B146" s="169" t="s">
        <v>983</v>
      </c>
    </row>
    <row r="147" spans="1:34" ht="16.899999999999999" customHeight="1" outlineLevel="1" x14ac:dyDescent="0.35">
      <c r="A147" s="314"/>
      <c r="B147" s="1089" t="s">
        <v>598</v>
      </c>
      <c r="C147" s="1160" t="s">
        <v>981</v>
      </c>
      <c r="D147" s="1101" t="s">
        <v>982</v>
      </c>
      <c r="E147" s="1101" t="s">
        <v>1221</v>
      </c>
      <c r="F147" s="1101" t="s">
        <v>994</v>
      </c>
      <c r="G147" s="1101" t="s">
        <v>1223</v>
      </c>
      <c r="H147" s="260"/>
      <c r="I147" s="260"/>
      <c r="J147" s="260"/>
      <c r="K147" s="260"/>
      <c r="L147" s="260"/>
      <c r="M147" s="260"/>
      <c r="N147" s="260"/>
      <c r="O147" s="260"/>
      <c r="P147" s="260"/>
      <c r="Q147" s="260"/>
      <c r="R147" s="260"/>
      <c r="S147" s="260"/>
      <c r="T147" s="260"/>
      <c r="U147" s="260"/>
      <c r="V147" s="260"/>
      <c r="W147" s="260"/>
      <c r="X147" s="260"/>
      <c r="Y147" s="260"/>
      <c r="Z147" s="260"/>
      <c r="AA147" s="260"/>
      <c r="AB147" s="260"/>
      <c r="AC147" s="260"/>
      <c r="AD147" s="260"/>
      <c r="AE147" s="260"/>
      <c r="AF147" s="260"/>
      <c r="AG147" s="260"/>
      <c r="AH147" s="260"/>
    </row>
    <row r="148" spans="1:34" ht="28.5" customHeight="1" outlineLevel="1" x14ac:dyDescent="0.35">
      <c r="A148" s="314"/>
      <c r="B148" s="1090"/>
      <c r="C148" s="1175"/>
      <c r="D148" s="1102"/>
      <c r="E148" s="1102"/>
      <c r="F148" s="1102"/>
      <c r="G148" s="1102"/>
      <c r="H148" s="260"/>
      <c r="I148" s="260"/>
      <c r="J148" s="260"/>
      <c r="K148" s="260"/>
      <c r="L148" s="260"/>
      <c r="M148" s="260"/>
      <c r="N148" s="260"/>
      <c r="O148" s="260"/>
      <c r="P148" s="260"/>
      <c r="Q148" s="260"/>
      <c r="R148" s="260"/>
      <c r="S148" s="260"/>
      <c r="T148" s="260"/>
      <c r="U148" s="260"/>
      <c r="V148" s="260"/>
      <c r="W148" s="260"/>
      <c r="X148" s="260"/>
      <c r="Y148" s="260"/>
      <c r="Z148" s="260"/>
      <c r="AA148" s="260"/>
      <c r="AB148" s="260"/>
      <c r="AC148" s="260"/>
      <c r="AD148" s="260"/>
      <c r="AE148" s="260"/>
      <c r="AF148" s="260"/>
      <c r="AG148" s="260"/>
      <c r="AH148" s="260"/>
    </row>
    <row r="149" spans="1:34" ht="37.15" customHeight="1" outlineLevel="1" x14ac:dyDescent="0.35">
      <c r="A149" s="314"/>
      <c r="B149" s="1100"/>
      <c r="C149" s="1161"/>
      <c r="D149" s="1103"/>
      <c r="E149" s="1103"/>
      <c r="F149" s="1103"/>
      <c r="G149" s="1103"/>
      <c r="H149" s="260"/>
      <c r="I149" s="260"/>
      <c r="J149" s="260"/>
      <c r="K149" s="260"/>
      <c r="L149" s="260"/>
      <c r="M149" s="260"/>
      <c r="N149" s="260"/>
      <c r="O149" s="260"/>
      <c r="P149" s="260"/>
      <c r="Q149" s="260"/>
      <c r="R149" s="260"/>
      <c r="S149" s="260"/>
      <c r="T149" s="260"/>
      <c r="U149" s="260"/>
      <c r="V149" s="260"/>
      <c r="W149" s="260"/>
      <c r="X149" s="260"/>
      <c r="Y149" s="260"/>
      <c r="Z149" s="260"/>
      <c r="AA149" s="260"/>
      <c r="AB149" s="260"/>
      <c r="AC149" s="260"/>
      <c r="AD149" s="260"/>
      <c r="AE149" s="260"/>
      <c r="AF149" s="260"/>
      <c r="AG149" s="260"/>
      <c r="AH149" s="260"/>
    </row>
    <row r="150" spans="1:34" s="262" customFormat="1" ht="31" outlineLevel="1" x14ac:dyDescent="0.35">
      <c r="A150" s="317" t="s">
        <v>39</v>
      </c>
      <c r="B150" s="301" t="s">
        <v>36</v>
      </c>
      <c r="C150" s="321" t="s">
        <v>260</v>
      </c>
      <c r="D150" s="1010">
        <v>5000</v>
      </c>
      <c r="E150" s="992">
        <v>0.08</v>
      </c>
      <c r="F150" s="321" t="s">
        <v>1222</v>
      </c>
      <c r="G150" s="996">
        <v>400</v>
      </c>
      <c r="H150" s="260"/>
      <c r="I150" s="260"/>
      <c r="J150" s="260"/>
      <c r="K150" s="260"/>
      <c r="L150" s="260"/>
      <c r="M150" s="260"/>
      <c r="N150" s="260"/>
      <c r="O150" s="260"/>
      <c r="P150" s="260"/>
      <c r="Q150" s="260"/>
      <c r="R150" s="260"/>
      <c r="S150" s="260"/>
      <c r="T150" s="260"/>
      <c r="U150" s="260"/>
      <c r="V150" s="260"/>
      <c r="W150" s="260"/>
      <c r="X150" s="260"/>
      <c r="Y150" s="260"/>
      <c r="Z150" s="260"/>
      <c r="AA150" s="260"/>
      <c r="AB150" s="260"/>
      <c r="AC150" s="260"/>
      <c r="AD150" s="260"/>
      <c r="AE150" s="260"/>
      <c r="AF150" s="260"/>
      <c r="AG150" s="260"/>
      <c r="AH150" s="260"/>
    </row>
    <row r="151" spans="1:34" s="314" customFormat="1" outlineLevel="1" x14ac:dyDescent="0.35">
      <c r="A151" s="169"/>
      <c r="B151" s="318"/>
      <c r="C151" s="322"/>
      <c r="D151" s="993"/>
      <c r="E151" s="994"/>
      <c r="F151" s="322"/>
      <c r="G151" s="997" t="str">
        <f>IF(D151="","",(D151*E151))</f>
        <v/>
      </c>
      <c r="H151" s="260"/>
      <c r="I151" s="260"/>
      <c r="J151" s="260"/>
      <c r="K151" s="260"/>
      <c r="L151" s="260"/>
      <c r="M151" s="260"/>
      <c r="N151" s="260"/>
      <c r="O151" s="260"/>
      <c r="P151" s="260"/>
      <c r="Q151" s="260"/>
      <c r="R151" s="260"/>
      <c r="S151" s="260"/>
      <c r="T151" s="260"/>
      <c r="U151" s="260"/>
      <c r="V151" s="260"/>
      <c r="W151" s="260"/>
      <c r="X151" s="260"/>
      <c r="Y151" s="260"/>
      <c r="Z151" s="260"/>
      <c r="AA151" s="260"/>
      <c r="AB151" s="260"/>
      <c r="AC151" s="260"/>
      <c r="AD151" s="260"/>
      <c r="AE151" s="260"/>
      <c r="AF151" s="260"/>
      <c r="AG151" s="260"/>
      <c r="AH151" s="260"/>
    </row>
    <row r="152" spans="1:34" s="314" customFormat="1" outlineLevel="1" x14ac:dyDescent="0.35">
      <c r="A152" s="169"/>
      <c r="B152" s="318"/>
      <c r="C152" s="322"/>
      <c r="D152" s="993"/>
      <c r="E152" s="994"/>
      <c r="F152" s="322"/>
      <c r="G152" s="997" t="str">
        <f t="shared" ref="G152:G215" si="3">IF(D152="","",(D152*E152))</f>
        <v/>
      </c>
      <c r="H152" s="260"/>
      <c r="I152" s="260"/>
      <c r="J152" s="260"/>
      <c r="K152" s="260"/>
      <c r="L152" s="260"/>
      <c r="M152" s="260"/>
      <c r="N152" s="260"/>
      <c r="O152" s="260"/>
      <c r="P152" s="260"/>
      <c r="Q152" s="260"/>
      <c r="R152" s="260"/>
      <c r="S152" s="260"/>
      <c r="T152" s="260"/>
      <c r="U152" s="260"/>
      <c r="V152" s="260"/>
      <c r="W152" s="260"/>
      <c r="X152" s="260"/>
      <c r="Y152" s="260"/>
      <c r="Z152" s="260"/>
      <c r="AA152" s="260"/>
      <c r="AB152" s="260"/>
      <c r="AC152" s="260"/>
      <c r="AD152" s="260"/>
      <c r="AE152" s="260"/>
      <c r="AF152" s="260"/>
      <c r="AG152" s="260"/>
      <c r="AH152" s="260"/>
    </row>
    <row r="153" spans="1:34" s="314" customFormat="1" outlineLevel="1" x14ac:dyDescent="0.35">
      <c r="A153" s="169"/>
      <c r="B153" s="318"/>
      <c r="C153" s="322"/>
      <c r="D153" s="993"/>
      <c r="E153" s="994"/>
      <c r="F153" s="322"/>
      <c r="G153" s="997" t="str">
        <f t="shared" si="3"/>
        <v/>
      </c>
      <c r="H153" s="260"/>
      <c r="I153" s="260"/>
      <c r="J153" s="260"/>
      <c r="K153" s="260"/>
      <c r="L153" s="260"/>
      <c r="M153" s="260"/>
      <c r="N153" s="260"/>
      <c r="O153" s="260"/>
      <c r="P153" s="260"/>
      <c r="Q153" s="260"/>
      <c r="R153" s="260"/>
      <c r="S153" s="260"/>
      <c r="T153" s="260"/>
      <c r="U153" s="260"/>
      <c r="V153" s="260"/>
      <c r="W153" s="260"/>
      <c r="X153" s="260"/>
      <c r="Y153" s="260"/>
      <c r="Z153" s="260"/>
      <c r="AA153" s="260"/>
      <c r="AB153" s="260"/>
      <c r="AC153" s="260"/>
      <c r="AD153" s="260"/>
      <c r="AE153" s="260"/>
      <c r="AF153" s="260"/>
      <c r="AG153" s="260"/>
      <c r="AH153" s="260"/>
    </row>
    <row r="154" spans="1:34" s="314" customFormat="1" outlineLevel="1" x14ac:dyDescent="0.35">
      <c r="A154" s="169"/>
      <c r="B154" s="318"/>
      <c r="C154" s="322"/>
      <c r="D154" s="993"/>
      <c r="E154" s="994"/>
      <c r="F154" s="322"/>
      <c r="G154" s="997" t="str">
        <f t="shared" si="3"/>
        <v/>
      </c>
      <c r="H154" s="260"/>
      <c r="I154" s="260"/>
      <c r="J154" s="260"/>
      <c r="K154" s="260"/>
      <c r="L154" s="260"/>
      <c r="M154" s="260"/>
      <c r="N154" s="260"/>
      <c r="O154" s="260"/>
      <c r="P154" s="260"/>
      <c r="Q154" s="260"/>
      <c r="R154" s="260"/>
      <c r="S154" s="260"/>
      <c r="T154" s="260"/>
      <c r="U154" s="260"/>
      <c r="V154" s="260"/>
      <c r="W154" s="260"/>
      <c r="X154" s="260"/>
      <c r="Y154" s="260"/>
      <c r="Z154" s="260"/>
      <c r="AA154" s="260"/>
      <c r="AB154" s="260"/>
      <c r="AC154" s="260"/>
      <c r="AD154" s="260"/>
      <c r="AE154" s="260"/>
      <c r="AF154" s="260"/>
      <c r="AG154" s="260"/>
      <c r="AH154" s="260"/>
    </row>
    <row r="155" spans="1:34" s="314" customFormat="1" outlineLevel="1" x14ac:dyDescent="0.35">
      <c r="A155" s="169"/>
      <c r="B155" s="318"/>
      <c r="C155" s="322"/>
      <c r="D155" s="993"/>
      <c r="E155" s="994"/>
      <c r="F155" s="322"/>
      <c r="G155" s="997" t="str">
        <f t="shared" si="3"/>
        <v/>
      </c>
      <c r="H155" s="260"/>
      <c r="I155" s="260"/>
      <c r="J155" s="260"/>
      <c r="K155" s="260"/>
      <c r="L155" s="260"/>
      <c r="M155" s="260"/>
      <c r="N155" s="260"/>
      <c r="O155" s="260"/>
      <c r="P155" s="260"/>
      <c r="Q155" s="260"/>
      <c r="R155" s="260"/>
      <c r="S155" s="260"/>
      <c r="T155" s="260"/>
      <c r="U155" s="260"/>
      <c r="V155" s="260"/>
      <c r="W155" s="260"/>
      <c r="X155" s="260"/>
      <c r="Y155" s="260"/>
      <c r="Z155" s="260"/>
      <c r="AA155" s="260"/>
      <c r="AB155" s="260"/>
      <c r="AC155" s="260"/>
      <c r="AD155" s="260"/>
      <c r="AE155" s="260"/>
      <c r="AF155" s="260"/>
      <c r="AG155" s="260"/>
      <c r="AH155" s="260"/>
    </row>
    <row r="156" spans="1:34" s="314" customFormat="1" outlineLevel="1" x14ac:dyDescent="0.35">
      <c r="A156" s="169"/>
      <c r="B156" s="318"/>
      <c r="C156" s="322"/>
      <c r="D156" s="993"/>
      <c r="E156" s="994"/>
      <c r="F156" s="322"/>
      <c r="G156" s="997" t="str">
        <f t="shared" si="3"/>
        <v/>
      </c>
      <c r="H156" s="260"/>
      <c r="I156" s="260"/>
      <c r="J156" s="260"/>
      <c r="K156" s="260"/>
      <c r="L156" s="260"/>
      <c r="M156" s="260"/>
      <c r="N156" s="260"/>
      <c r="O156" s="260"/>
      <c r="P156" s="260"/>
      <c r="Q156" s="260"/>
      <c r="R156" s="260"/>
      <c r="S156" s="260"/>
      <c r="T156" s="260"/>
      <c r="U156" s="260"/>
      <c r="V156" s="260"/>
      <c r="W156" s="260"/>
      <c r="X156" s="260"/>
      <c r="Y156" s="260"/>
      <c r="Z156" s="260"/>
      <c r="AA156" s="260"/>
      <c r="AB156" s="260"/>
      <c r="AC156" s="260"/>
      <c r="AD156" s="260"/>
      <c r="AE156" s="260"/>
      <c r="AF156" s="260"/>
      <c r="AG156" s="260"/>
      <c r="AH156" s="260"/>
    </row>
    <row r="157" spans="1:34" s="314" customFormat="1" outlineLevel="1" x14ac:dyDescent="0.35">
      <c r="A157" s="169"/>
      <c r="B157" s="318"/>
      <c r="C157" s="322"/>
      <c r="D157" s="993"/>
      <c r="E157" s="994"/>
      <c r="F157" s="322"/>
      <c r="G157" s="997" t="str">
        <f t="shared" si="3"/>
        <v/>
      </c>
      <c r="H157" s="260"/>
      <c r="I157" s="260"/>
      <c r="J157" s="260"/>
      <c r="K157" s="260"/>
      <c r="L157" s="260"/>
      <c r="M157" s="260"/>
      <c r="N157" s="260"/>
      <c r="O157" s="260"/>
      <c r="P157" s="260"/>
      <c r="Q157" s="260"/>
      <c r="R157" s="260"/>
      <c r="S157" s="260"/>
      <c r="T157" s="260"/>
      <c r="U157" s="260"/>
      <c r="V157" s="260"/>
      <c r="W157" s="260"/>
      <c r="X157" s="260"/>
      <c r="Y157" s="260"/>
      <c r="Z157" s="260"/>
      <c r="AA157" s="260"/>
      <c r="AB157" s="260"/>
      <c r="AC157" s="260"/>
      <c r="AD157" s="260"/>
      <c r="AE157" s="260"/>
      <c r="AF157" s="260"/>
      <c r="AG157" s="260"/>
      <c r="AH157" s="260"/>
    </row>
    <row r="158" spans="1:34" s="314" customFormat="1" outlineLevel="1" x14ac:dyDescent="0.35">
      <c r="A158" s="169"/>
      <c r="B158" s="318"/>
      <c r="C158" s="322"/>
      <c r="D158" s="993"/>
      <c r="E158" s="994"/>
      <c r="F158" s="322"/>
      <c r="G158" s="997" t="str">
        <f t="shared" si="3"/>
        <v/>
      </c>
      <c r="H158" s="260"/>
      <c r="I158" s="260"/>
      <c r="J158" s="260"/>
      <c r="K158" s="260"/>
      <c r="L158" s="260"/>
      <c r="M158" s="260"/>
      <c r="N158" s="260"/>
      <c r="O158" s="260"/>
      <c r="P158" s="260"/>
      <c r="Q158" s="260"/>
      <c r="R158" s="260"/>
      <c r="S158" s="260"/>
      <c r="T158" s="260"/>
      <c r="U158" s="260"/>
      <c r="V158" s="260"/>
      <c r="W158" s="260"/>
      <c r="X158" s="260"/>
      <c r="Y158" s="260"/>
      <c r="Z158" s="260"/>
      <c r="AA158" s="260"/>
      <c r="AB158" s="260"/>
      <c r="AC158" s="260"/>
      <c r="AD158" s="260"/>
      <c r="AE158" s="260"/>
      <c r="AF158" s="260"/>
      <c r="AG158" s="260"/>
      <c r="AH158" s="260"/>
    </row>
    <row r="159" spans="1:34" s="314" customFormat="1" outlineLevel="1" x14ac:dyDescent="0.35">
      <c r="A159" s="169"/>
      <c r="B159" s="318"/>
      <c r="C159" s="322"/>
      <c r="D159" s="993"/>
      <c r="E159" s="994"/>
      <c r="F159" s="322"/>
      <c r="G159" s="997" t="str">
        <f t="shared" si="3"/>
        <v/>
      </c>
      <c r="H159" s="260"/>
      <c r="I159" s="260"/>
      <c r="J159" s="260"/>
      <c r="K159" s="260"/>
      <c r="L159" s="260"/>
      <c r="M159" s="260"/>
      <c r="N159" s="260"/>
      <c r="O159" s="260"/>
      <c r="P159" s="260"/>
      <c r="Q159" s="260"/>
      <c r="R159" s="260"/>
      <c r="S159" s="260"/>
      <c r="T159" s="260"/>
      <c r="U159" s="260"/>
      <c r="V159" s="260"/>
      <c r="W159" s="260"/>
      <c r="X159" s="260"/>
      <c r="Y159" s="260"/>
      <c r="Z159" s="260"/>
      <c r="AA159" s="260"/>
      <c r="AB159" s="260"/>
      <c r="AC159" s="260"/>
      <c r="AD159" s="260"/>
      <c r="AE159" s="260"/>
      <c r="AF159" s="260"/>
      <c r="AG159" s="260"/>
      <c r="AH159" s="260"/>
    </row>
    <row r="160" spans="1:34" s="314" customFormat="1" outlineLevel="1" x14ac:dyDescent="0.35">
      <c r="A160" s="169"/>
      <c r="B160" s="318"/>
      <c r="C160" s="322"/>
      <c r="D160" s="993"/>
      <c r="E160" s="994"/>
      <c r="F160" s="322"/>
      <c r="G160" s="997" t="str">
        <f t="shared" si="3"/>
        <v/>
      </c>
      <c r="H160" s="260"/>
      <c r="I160" s="260"/>
      <c r="J160" s="260"/>
      <c r="K160" s="260"/>
      <c r="L160" s="260"/>
      <c r="M160" s="260"/>
      <c r="N160" s="260"/>
      <c r="O160" s="260"/>
      <c r="P160" s="260"/>
      <c r="Q160" s="260"/>
      <c r="R160" s="260"/>
      <c r="S160" s="260"/>
      <c r="T160" s="260"/>
      <c r="U160" s="260"/>
      <c r="V160" s="260"/>
      <c r="W160" s="260"/>
      <c r="X160" s="260"/>
      <c r="Y160" s="260"/>
      <c r="Z160" s="260"/>
      <c r="AA160" s="260"/>
      <c r="AB160" s="260"/>
      <c r="AC160" s="260"/>
      <c r="AD160" s="260"/>
      <c r="AE160" s="260"/>
      <c r="AF160" s="260"/>
      <c r="AG160" s="260"/>
      <c r="AH160" s="260"/>
    </row>
    <row r="161" spans="1:34" s="314" customFormat="1" outlineLevel="1" x14ac:dyDescent="0.35">
      <c r="A161" s="169"/>
      <c r="B161" s="318"/>
      <c r="C161" s="322"/>
      <c r="D161" s="993"/>
      <c r="E161" s="994"/>
      <c r="F161" s="322"/>
      <c r="G161" s="997" t="str">
        <f t="shared" si="3"/>
        <v/>
      </c>
      <c r="H161" s="260"/>
      <c r="I161" s="260"/>
      <c r="J161" s="260"/>
      <c r="K161" s="260"/>
      <c r="L161" s="260"/>
      <c r="M161" s="260"/>
      <c r="N161" s="260"/>
      <c r="O161" s="260"/>
      <c r="P161" s="260"/>
      <c r="Q161" s="260"/>
      <c r="R161" s="260"/>
      <c r="S161" s="260"/>
      <c r="T161" s="260"/>
      <c r="U161" s="260"/>
      <c r="V161" s="260"/>
      <c r="W161" s="260"/>
      <c r="X161" s="260"/>
      <c r="Y161" s="260"/>
      <c r="Z161" s="260"/>
      <c r="AA161" s="260"/>
      <c r="AB161" s="260"/>
      <c r="AC161" s="260"/>
      <c r="AD161" s="260"/>
      <c r="AE161" s="260"/>
      <c r="AF161" s="260"/>
      <c r="AG161" s="260"/>
      <c r="AH161" s="260"/>
    </row>
    <row r="162" spans="1:34" s="314" customFormat="1" ht="19.899999999999999" customHeight="1" outlineLevel="2" x14ac:dyDescent="0.35">
      <c r="A162" s="169"/>
      <c r="B162" s="318"/>
      <c r="C162" s="322"/>
      <c r="D162" s="993"/>
      <c r="E162" s="994"/>
      <c r="F162" s="322"/>
      <c r="G162" s="997" t="str">
        <f t="shared" si="3"/>
        <v/>
      </c>
      <c r="H162" s="260"/>
      <c r="I162" s="260"/>
      <c r="J162" s="260"/>
      <c r="K162" s="260"/>
      <c r="L162" s="260"/>
      <c r="M162" s="260"/>
      <c r="N162" s="260"/>
      <c r="O162" s="260"/>
      <c r="P162" s="260"/>
      <c r="Q162" s="260"/>
      <c r="R162" s="260"/>
      <c r="S162" s="260"/>
      <c r="T162" s="260"/>
      <c r="U162" s="260"/>
      <c r="V162" s="260"/>
      <c r="W162" s="260"/>
      <c r="X162" s="260"/>
      <c r="Y162" s="260"/>
      <c r="Z162" s="260"/>
      <c r="AA162" s="260"/>
      <c r="AB162" s="260"/>
      <c r="AC162" s="260"/>
      <c r="AD162" s="260"/>
      <c r="AE162" s="260"/>
      <c r="AF162" s="260"/>
      <c r="AG162" s="260"/>
      <c r="AH162" s="260"/>
    </row>
    <row r="163" spans="1:34" s="314" customFormat="1" ht="19.899999999999999" customHeight="1" outlineLevel="2" x14ac:dyDescent="0.35">
      <c r="A163" s="169"/>
      <c r="B163" s="318"/>
      <c r="C163" s="322"/>
      <c r="D163" s="993"/>
      <c r="E163" s="994"/>
      <c r="F163" s="322"/>
      <c r="G163" s="997" t="str">
        <f t="shared" si="3"/>
        <v/>
      </c>
      <c r="H163" s="260"/>
      <c r="I163" s="260"/>
      <c r="J163" s="260"/>
      <c r="K163" s="260"/>
      <c r="L163" s="260"/>
      <c r="M163" s="260"/>
      <c r="N163" s="260"/>
      <c r="O163" s="260"/>
      <c r="P163" s="260"/>
      <c r="Q163" s="260"/>
      <c r="R163" s="260"/>
      <c r="S163" s="260"/>
      <c r="T163" s="260"/>
      <c r="U163" s="260"/>
      <c r="V163" s="260"/>
      <c r="W163" s="260"/>
      <c r="X163" s="260"/>
      <c r="Y163" s="260"/>
      <c r="Z163" s="260"/>
      <c r="AA163" s="260"/>
      <c r="AB163" s="260"/>
      <c r="AC163" s="260"/>
      <c r="AD163" s="260"/>
      <c r="AE163" s="260"/>
      <c r="AF163" s="260"/>
      <c r="AG163" s="260"/>
      <c r="AH163" s="260"/>
    </row>
    <row r="164" spans="1:34" s="314" customFormat="1" ht="19.899999999999999" customHeight="1" outlineLevel="2" x14ac:dyDescent="0.35">
      <c r="A164" s="169"/>
      <c r="B164" s="318"/>
      <c r="C164" s="322"/>
      <c r="D164" s="993"/>
      <c r="E164" s="994"/>
      <c r="F164" s="322"/>
      <c r="G164" s="997" t="str">
        <f t="shared" si="3"/>
        <v/>
      </c>
      <c r="H164" s="260"/>
      <c r="I164" s="260"/>
      <c r="J164" s="260"/>
      <c r="K164" s="260"/>
      <c r="L164" s="260"/>
      <c r="M164" s="260"/>
      <c r="N164" s="260"/>
      <c r="O164" s="260"/>
      <c r="P164" s="260"/>
      <c r="Q164" s="260"/>
      <c r="R164" s="260"/>
      <c r="S164" s="260"/>
      <c r="T164" s="260"/>
      <c r="U164" s="260"/>
      <c r="V164" s="260"/>
      <c r="W164" s="260"/>
      <c r="X164" s="260"/>
      <c r="Y164" s="260"/>
      <c r="Z164" s="260"/>
      <c r="AA164" s="260"/>
      <c r="AB164" s="260"/>
      <c r="AC164" s="260"/>
      <c r="AD164" s="260"/>
      <c r="AE164" s="260"/>
      <c r="AF164" s="260"/>
      <c r="AG164" s="260"/>
      <c r="AH164" s="260"/>
    </row>
    <row r="165" spans="1:34" s="314" customFormat="1" ht="19.899999999999999" customHeight="1" outlineLevel="2" x14ac:dyDescent="0.35">
      <c r="A165" s="169"/>
      <c r="B165" s="318"/>
      <c r="C165" s="322"/>
      <c r="D165" s="993"/>
      <c r="E165" s="994"/>
      <c r="F165" s="322"/>
      <c r="G165" s="997" t="str">
        <f t="shared" si="3"/>
        <v/>
      </c>
      <c r="H165" s="260"/>
      <c r="I165" s="260"/>
      <c r="J165" s="260"/>
      <c r="K165" s="260"/>
      <c r="L165" s="260"/>
      <c r="M165" s="260"/>
      <c r="N165" s="260"/>
      <c r="O165" s="260"/>
      <c r="P165" s="260"/>
      <c r="Q165" s="260"/>
      <c r="R165" s="260"/>
      <c r="S165" s="260"/>
      <c r="T165" s="260"/>
      <c r="U165" s="260"/>
      <c r="V165" s="260"/>
      <c r="W165" s="260"/>
      <c r="X165" s="260"/>
      <c r="Y165" s="260"/>
      <c r="Z165" s="260"/>
      <c r="AA165" s="260"/>
      <c r="AB165" s="260"/>
      <c r="AC165" s="260"/>
      <c r="AD165" s="260"/>
      <c r="AE165" s="260"/>
      <c r="AF165" s="260"/>
      <c r="AG165" s="260"/>
      <c r="AH165" s="260"/>
    </row>
    <row r="166" spans="1:34" s="314" customFormat="1" ht="19.899999999999999" customHeight="1" outlineLevel="2" x14ac:dyDescent="0.35">
      <c r="A166" s="169"/>
      <c r="B166" s="318"/>
      <c r="C166" s="322"/>
      <c r="D166" s="993"/>
      <c r="E166" s="994"/>
      <c r="F166" s="322"/>
      <c r="G166" s="997" t="str">
        <f t="shared" si="3"/>
        <v/>
      </c>
      <c r="H166" s="260"/>
      <c r="I166" s="260"/>
      <c r="J166" s="260"/>
      <c r="K166" s="260"/>
      <c r="L166" s="260"/>
      <c r="M166" s="260"/>
      <c r="N166" s="260"/>
      <c r="O166" s="260"/>
      <c r="P166" s="260"/>
      <c r="Q166" s="260"/>
      <c r="R166" s="260"/>
      <c r="S166" s="260"/>
      <c r="T166" s="260"/>
      <c r="U166" s="260"/>
      <c r="V166" s="260"/>
      <c r="W166" s="260"/>
      <c r="X166" s="260"/>
      <c r="Y166" s="260"/>
      <c r="Z166" s="260"/>
      <c r="AA166" s="260"/>
      <c r="AB166" s="260"/>
      <c r="AC166" s="260"/>
      <c r="AD166" s="260"/>
      <c r="AE166" s="260"/>
      <c r="AF166" s="260"/>
      <c r="AG166" s="260"/>
      <c r="AH166" s="260"/>
    </row>
    <row r="167" spans="1:34" s="314" customFormat="1" ht="19.899999999999999" customHeight="1" outlineLevel="2" x14ac:dyDescent="0.35">
      <c r="A167" s="169"/>
      <c r="B167" s="318"/>
      <c r="C167" s="322"/>
      <c r="D167" s="993"/>
      <c r="E167" s="994"/>
      <c r="F167" s="322"/>
      <c r="G167" s="997" t="str">
        <f t="shared" si="3"/>
        <v/>
      </c>
      <c r="H167" s="260"/>
      <c r="I167" s="260"/>
      <c r="J167" s="260"/>
      <c r="K167" s="260"/>
      <c r="L167" s="260"/>
      <c r="M167" s="260"/>
      <c r="N167" s="260"/>
      <c r="O167" s="260"/>
      <c r="P167" s="260"/>
      <c r="Q167" s="260"/>
      <c r="R167" s="260"/>
      <c r="S167" s="260"/>
      <c r="T167" s="260"/>
      <c r="U167" s="260"/>
      <c r="V167" s="260"/>
      <c r="W167" s="260"/>
      <c r="X167" s="260"/>
      <c r="Y167" s="260"/>
      <c r="Z167" s="260"/>
      <c r="AA167" s="260"/>
      <c r="AB167" s="260"/>
      <c r="AC167" s="260"/>
      <c r="AD167" s="260"/>
      <c r="AE167" s="260"/>
      <c r="AF167" s="260"/>
      <c r="AG167" s="260"/>
      <c r="AH167" s="260"/>
    </row>
    <row r="168" spans="1:34" s="314" customFormat="1" ht="19.899999999999999" customHeight="1" outlineLevel="2" x14ac:dyDescent="0.35">
      <c r="A168" s="169"/>
      <c r="B168" s="318"/>
      <c r="C168" s="322"/>
      <c r="D168" s="993"/>
      <c r="E168" s="994"/>
      <c r="F168" s="322"/>
      <c r="G168" s="997" t="str">
        <f t="shared" si="3"/>
        <v/>
      </c>
      <c r="H168" s="260"/>
      <c r="I168" s="260"/>
      <c r="J168" s="260"/>
      <c r="K168" s="260"/>
      <c r="L168" s="260"/>
      <c r="M168" s="260"/>
      <c r="N168" s="260"/>
      <c r="O168" s="260"/>
      <c r="P168" s="260"/>
      <c r="Q168" s="260"/>
      <c r="R168" s="260"/>
      <c r="S168" s="260"/>
      <c r="T168" s="260"/>
      <c r="U168" s="260"/>
      <c r="V168" s="260"/>
      <c r="W168" s="260"/>
      <c r="X168" s="260"/>
      <c r="Y168" s="260"/>
      <c r="Z168" s="260"/>
      <c r="AA168" s="260"/>
      <c r="AB168" s="260"/>
      <c r="AC168" s="260"/>
      <c r="AD168" s="260"/>
      <c r="AE168" s="260"/>
      <c r="AF168" s="260"/>
      <c r="AG168" s="260"/>
      <c r="AH168" s="260"/>
    </row>
    <row r="169" spans="1:34" s="314" customFormat="1" ht="19.899999999999999" customHeight="1" outlineLevel="2" x14ac:dyDescent="0.35">
      <c r="A169" s="169"/>
      <c r="B169" s="318"/>
      <c r="C169" s="322"/>
      <c r="D169" s="993"/>
      <c r="E169" s="994"/>
      <c r="F169" s="322"/>
      <c r="G169" s="997" t="str">
        <f t="shared" si="3"/>
        <v/>
      </c>
      <c r="H169" s="260"/>
      <c r="I169" s="260"/>
      <c r="J169" s="260"/>
      <c r="K169" s="260"/>
      <c r="L169" s="260"/>
      <c r="M169" s="260"/>
      <c r="N169" s="260"/>
      <c r="O169" s="260"/>
      <c r="P169" s="260"/>
      <c r="Q169" s="260"/>
      <c r="R169" s="260"/>
      <c r="S169" s="260"/>
      <c r="T169" s="260"/>
      <c r="U169" s="260"/>
      <c r="V169" s="260"/>
      <c r="W169" s="260"/>
      <c r="X169" s="260"/>
      <c r="Y169" s="260"/>
      <c r="Z169" s="260"/>
      <c r="AA169" s="260"/>
      <c r="AB169" s="260"/>
      <c r="AC169" s="260"/>
      <c r="AD169" s="260"/>
      <c r="AE169" s="260"/>
      <c r="AF169" s="260"/>
      <c r="AG169" s="260"/>
      <c r="AH169" s="260"/>
    </row>
    <row r="170" spans="1:34" s="314" customFormat="1" ht="19.899999999999999" customHeight="1" outlineLevel="2" x14ac:dyDescent="0.35">
      <c r="A170" s="169"/>
      <c r="B170" s="318"/>
      <c r="C170" s="322"/>
      <c r="D170" s="993"/>
      <c r="E170" s="994"/>
      <c r="F170" s="322"/>
      <c r="G170" s="997" t="str">
        <f t="shared" si="3"/>
        <v/>
      </c>
      <c r="H170" s="260"/>
      <c r="I170" s="260"/>
      <c r="J170" s="260"/>
      <c r="K170" s="260"/>
      <c r="L170" s="260"/>
      <c r="M170" s="260"/>
      <c r="N170" s="260"/>
      <c r="O170" s="260"/>
      <c r="P170" s="260"/>
      <c r="Q170" s="260"/>
      <c r="R170" s="260"/>
      <c r="S170" s="260"/>
      <c r="T170" s="260"/>
      <c r="U170" s="260"/>
      <c r="V170" s="260"/>
      <c r="W170" s="260"/>
      <c r="X170" s="260"/>
      <c r="Y170" s="260"/>
      <c r="Z170" s="260"/>
      <c r="AA170" s="260"/>
      <c r="AB170" s="260"/>
      <c r="AC170" s="260"/>
      <c r="AD170" s="260"/>
      <c r="AE170" s="260"/>
      <c r="AF170" s="260"/>
      <c r="AG170" s="260"/>
      <c r="AH170" s="260"/>
    </row>
    <row r="171" spans="1:34" s="314" customFormat="1" ht="19.899999999999999" hidden="1" customHeight="1" outlineLevel="3" x14ac:dyDescent="0.35">
      <c r="A171" s="169"/>
      <c r="B171" s="318"/>
      <c r="C171" s="322"/>
      <c r="D171" s="993"/>
      <c r="E171" s="994"/>
      <c r="F171" s="322"/>
      <c r="G171" s="997" t="str">
        <f t="shared" si="3"/>
        <v/>
      </c>
      <c r="H171" s="260"/>
      <c r="I171" s="260"/>
      <c r="J171" s="260"/>
      <c r="K171" s="260"/>
      <c r="L171" s="260"/>
      <c r="M171" s="260"/>
      <c r="N171" s="260"/>
      <c r="O171" s="260"/>
      <c r="P171" s="260"/>
      <c r="Q171" s="260"/>
      <c r="R171" s="260"/>
      <c r="S171" s="260"/>
      <c r="T171" s="260"/>
      <c r="U171" s="260"/>
      <c r="V171" s="260"/>
      <c r="W171" s="260"/>
      <c r="X171" s="260"/>
      <c r="Y171" s="260"/>
      <c r="Z171" s="260"/>
      <c r="AA171" s="260"/>
      <c r="AB171" s="260"/>
      <c r="AC171" s="260"/>
      <c r="AD171" s="260"/>
      <c r="AE171" s="260"/>
      <c r="AF171" s="260"/>
      <c r="AG171" s="260"/>
      <c r="AH171" s="260"/>
    </row>
    <row r="172" spans="1:34" s="314" customFormat="1" ht="19.899999999999999" hidden="1" customHeight="1" outlineLevel="3" x14ac:dyDescent="0.35">
      <c r="A172" s="169"/>
      <c r="B172" s="318"/>
      <c r="C172" s="322"/>
      <c r="D172" s="993"/>
      <c r="E172" s="994"/>
      <c r="F172" s="322"/>
      <c r="G172" s="997" t="str">
        <f t="shared" si="3"/>
        <v/>
      </c>
      <c r="H172" s="260"/>
      <c r="I172" s="260"/>
      <c r="J172" s="260"/>
      <c r="K172" s="260"/>
      <c r="L172" s="260"/>
      <c r="M172" s="260"/>
      <c r="N172" s="260"/>
      <c r="O172" s="260"/>
      <c r="P172" s="260"/>
      <c r="Q172" s="260"/>
      <c r="R172" s="260"/>
      <c r="S172" s="260"/>
      <c r="T172" s="260"/>
      <c r="U172" s="260"/>
      <c r="V172" s="260"/>
      <c r="W172" s="260"/>
      <c r="X172" s="260"/>
      <c r="Y172" s="260"/>
      <c r="Z172" s="260"/>
      <c r="AA172" s="260"/>
      <c r="AB172" s="260"/>
      <c r="AC172" s="260"/>
      <c r="AD172" s="260"/>
      <c r="AE172" s="260"/>
      <c r="AF172" s="260"/>
      <c r="AG172" s="260"/>
      <c r="AH172" s="260"/>
    </row>
    <row r="173" spans="1:34" s="314" customFormat="1" ht="19.899999999999999" hidden="1" customHeight="1" outlineLevel="3" x14ac:dyDescent="0.35">
      <c r="A173" s="169"/>
      <c r="B173" s="318"/>
      <c r="C173" s="322"/>
      <c r="D173" s="993"/>
      <c r="E173" s="994"/>
      <c r="F173" s="322"/>
      <c r="G173" s="997" t="str">
        <f t="shared" si="3"/>
        <v/>
      </c>
      <c r="H173" s="260"/>
      <c r="I173" s="260"/>
      <c r="J173" s="260"/>
      <c r="K173" s="260"/>
      <c r="L173" s="260"/>
      <c r="M173" s="260"/>
      <c r="N173" s="260"/>
      <c r="O173" s="260"/>
      <c r="P173" s="260"/>
      <c r="Q173" s="260"/>
      <c r="R173" s="260"/>
      <c r="S173" s="260"/>
      <c r="T173" s="260"/>
      <c r="U173" s="260"/>
      <c r="V173" s="260"/>
      <c r="W173" s="260"/>
      <c r="X173" s="260"/>
      <c r="Y173" s="260"/>
      <c r="Z173" s="260"/>
      <c r="AA173" s="260"/>
      <c r="AB173" s="260"/>
      <c r="AC173" s="260"/>
      <c r="AD173" s="260"/>
      <c r="AE173" s="260"/>
      <c r="AF173" s="260"/>
      <c r="AG173" s="260"/>
      <c r="AH173" s="260"/>
    </row>
    <row r="174" spans="1:34" s="314" customFormat="1" ht="19.899999999999999" hidden="1" customHeight="1" outlineLevel="3" x14ac:dyDescent="0.35">
      <c r="A174" s="169"/>
      <c r="B174" s="318"/>
      <c r="C174" s="322"/>
      <c r="D174" s="993"/>
      <c r="E174" s="994"/>
      <c r="F174" s="322"/>
      <c r="G174" s="997" t="str">
        <f t="shared" si="3"/>
        <v/>
      </c>
      <c r="H174" s="260"/>
      <c r="I174" s="260"/>
      <c r="J174" s="260"/>
      <c r="K174" s="260"/>
      <c r="L174" s="260"/>
      <c r="M174" s="260"/>
      <c r="N174" s="260"/>
      <c r="O174" s="260"/>
      <c r="P174" s="260"/>
      <c r="Q174" s="260"/>
      <c r="R174" s="260"/>
      <c r="S174" s="260"/>
      <c r="T174" s="260"/>
      <c r="U174" s="260"/>
      <c r="V174" s="260"/>
      <c r="W174" s="260"/>
      <c r="X174" s="260"/>
      <c r="Y174" s="260"/>
      <c r="Z174" s="260"/>
      <c r="AA174" s="260"/>
      <c r="AB174" s="260"/>
      <c r="AC174" s="260"/>
      <c r="AD174" s="260"/>
      <c r="AE174" s="260"/>
      <c r="AF174" s="260"/>
      <c r="AG174" s="260"/>
      <c r="AH174" s="260"/>
    </row>
    <row r="175" spans="1:34" s="314" customFormat="1" ht="19.899999999999999" hidden="1" customHeight="1" outlineLevel="3" x14ac:dyDescent="0.35">
      <c r="A175" s="169"/>
      <c r="B175" s="318"/>
      <c r="C175" s="322"/>
      <c r="D175" s="993"/>
      <c r="E175" s="994"/>
      <c r="F175" s="322"/>
      <c r="G175" s="997" t="str">
        <f t="shared" si="3"/>
        <v/>
      </c>
      <c r="H175" s="260"/>
      <c r="I175" s="260"/>
      <c r="J175" s="260"/>
      <c r="K175" s="260"/>
      <c r="L175" s="260"/>
      <c r="M175" s="260"/>
      <c r="N175" s="260"/>
      <c r="O175" s="260"/>
      <c r="P175" s="260"/>
      <c r="Q175" s="260"/>
      <c r="R175" s="260"/>
      <c r="S175" s="260"/>
      <c r="T175" s="260"/>
      <c r="U175" s="260"/>
      <c r="V175" s="260"/>
      <c r="W175" s="260"/>
      <c r="X175" s="260"/>
      <c r="Y175" s="260"/>
      <c r="Z175" s="260"/>
      <c r="AA175" s="260"/>
      <c r="AB175" s="260"/>
      <c r="AC175" s="260"/>
      <c r="AD175" s="260"/>
      <c r="AE175" s="260"/>
      <c r="AF175" s="260"/>
      <c r="AG175" s="260"/>
      <c r="AH175" s="260"/>
    </row>
    <row r="176" spans="1:34" s="314" customFormat="1" ht="19.899999999999999" hidden="1" customHeight="1" outlineLevel="3" x14ac:dyDescent="0.35">
      <c r="A176" s="169"/>
      <c r="B176" s="318"/>
      <c r="C176" s="322"/>
      <c r="D176" s="993"/>
      <c r="E176" s="994"/>
      <c r="F176" s="322"/>
      <c r="G176" s="997" t="str">
        <f t="shared" si="3"/>
        <v/>
      </c>
      <c r="H176" s="260"/>
      <c r="I176" s="260"/>
      <c r="J176" s="260"/>
      <c r="K176" s="260"/>
      <c r="L176" s="260"/>
      <c r="M176" s="260"/>
      <c r="N176" s="260"/>
      <c r="O176" s="260"/>
      <c r="P176" s="260"/>
      <c r="Q176" s="260"/>
      <c r="R176" s="260"/>
      <c r="S176" s="260"/>
      <c r="T176" s="260"/>
      <c r="U176" s="260"/>
      <c r="V176" s="260"/>
      <c r="W176" s="260"/>
      <c r="X176" s="260"/>
      <c r="Y176" s="260"/>
      <c r="Z176" s="260"/>
      <c r="AA176" s="260"/>
      <c r="AB176" s="260"/>
      <c r="AC176" s="260"/>
      <c r="AD176" s="260"/>
      <c r="AE176" s="260"/>
      <c r="AF176" s="260"/>
      <c r="AG176" s="260"/>
      <c r="AH176" s="260"/>
    </row>
    <row r="177" spans="1:34" s="314" customFormat="1" ht="19.899999999999999" hidden="1" customHeight="1" outlineLevel="3" x14ac:dyDescent="0.35">
      <c r="A177" s="169"/>
      <c r="B177" s="318"/>
      <c r="C177" s="322"/>
      <c r="D177" s="993"/>
      <c r="E177" s="994"/>
      <c r="F177" s="322"/>
      <c r="G177" s="997" t="str">
        <f t="shared" si="3"/>
        <v/>
      </c>
      <c r="H177" s="260"/>
      <c r="I177" s="260"/>
      <c r="J177" s="260"/>
      <c r="K177" s="260"/>
      <c r="L177" s="260"/>
      <c r="M177" s="260"/>
      <c r="N177" s="260"/>
      <c r="O177" s="260"/>
      <c r="P177" s="260"/>
      <c r="Q177" s="260"/>
      <c r="R177" s="260"/>
      <c r="S177" s="260"/>
      <c r="T177" s="260"/>
      <c r="U177" s="260"/>
      <c r="V177" s="260"/>
      <c r="W177" s="260"/>
      <c r="X177" s="260"/>
      <c r="Y177" s="260"/>
      <c r="Z177" s="260"/>
      <c r="AA177" s="260"/>
      <c r="AB177" s="260"/>
      <c r="AC177" s="260"/>
      <c r="AD177" s="260"/>
      <c r="AE177" s="260"/>
      <c r="AF177" s="260"/>
      <c r="AG177" s="260"/>
      <c r="AH177" s="260"/>
    </row>
    <row r="178" spans="1:34" s="314" customFormat="1" ht="19.899999999999999" hidden="1" customHeight="1" outlineLevel="3" x14ac:dyDescent="0.35">
      <c r="A178" s="169"/>
      <c r="B178" s="318"/>
      <c r="C178" s="322"/>
      <c r="D178" s="993"/>
      <c r="E178" s="994"/>
      <c r="F178" s="322"/>
      <c r="G178" s="997" t="str">
        <f t="shared" si="3"/>
        <v/>
      </c>
      <c r="H178" s="260"/>
      <c r="I178" s="260"/>
      <c r="J178" s="260"/>
      <c r="K178" s="260"/>
      <c r="L178" s="260"/>
      <c r="M178" s="260"/>
      <c r="N178" s="260"/>
      <c r="O178" s="260"/>
      <c r="P178" s="260"/>
      <c r="Q178" s="260"/>
      <c r="R178" s="260"/>
      <c r="S178" s="260"/>
      <c r="T178" s="260"/>
      <c r="U178" s="260"/>
      <c r="V178" s="260"/>
      <c r="W178" s="260"/>
      <c r="X178" s="260"/>
      <c r="Y178" s="260"/>
      <c r="Z178" s="260"/>
      <c r="AA178" s="260"/>
      <c r="AB178" s="260"/>
      <c r="AC178" s="260"/>
      <c r="AD178" s="260"/>
      <c r="AE178" s="260"/>
      <c r="AF178" s="260"/>
      <c r="AG178" s="260"/>
      <c r="AH178" s="260"/>
    </row>
    <row r="179" spans="1:34" s="314" customFormat="1" ht="19.899999999999999" hidden="1" customHeight="1" outlineLevel="3" x14ac:dyDescent="0.35">
      <c r="A179" s="169"/>
      <c r="B179" s="318"/>
      <c r="C179" s="322"/>
      <c r="D179" s="993"/>
      <c r="E179" s="994"/>
      <c r="F179" s="322"/>
      <c r="G179" s="997" t="str">
        <f t="shared" si="3"/>
        <v/>
      </c>
      <c r="H179" s="260"/>
      <c r="I179" s="260"/>
      <c r="J179" s="260"/>
      <c r="K179" s="260"/>
      <c r="L179" s="260"/>
      <c r="M179" s="260"/>
      <c r="N179" s="260"/>
      <c r="O179" s="260"/>
      <c r="P179" s="260"/>
      <c r="Q179" s="260"/>
      <c r="R179" s="260"/>
      <c r="S179" s="260"/>
      <c r="T179" s="260"/>
      <c r="U179" s="260"/>
      <c r="V179" s="260"/>
      <c r="W179" s="260"/>
      <c r="X179" s="260"/>
      <c r="Y179" s="260"/>
      <c r="Z179" s="260"/>
      <c r="AA179" s="260"/>
      <c r="AB179" s="260"/>
      <c r="AC179" s="260"/>
      <c r="AD179" s="260"/>
      <c r="AE179" s="260"/>
      <c r="AF179" s="260"/>
      <c r="AG179" s="260"/>
      <c r="AH179" s="260"/>
    </row>
    <row r="180" spans="1:34" s="314" customFormat="1" ht="19.899999999999999" hidden="1" customHeight="1" outlineLevel="3" x14ac:dyDescent="0.35">
      <c r="A180" s="169"/>
      <c r="B180" s="318"/>
      <c r="C180" s="322"/>
      <c r="D180" s="993"/>
      <c r="E180" s="994"/>
      <c r="F180" s="322"/>
      <c r="G180" s="997" t="str">
        <f t="shared" si="3"/>
        <v/>
      </c>
      <c r="H180" s="260"/>
      <c r="I180" s="260"/>
      <c r="J180" s="260"/>
      <c r="K180" s="260"/>
      <c r="L180" s="260"/>
      <c r="M180" s="260"/>
      <c r="N180" s="260"/>
      <c r="O180" s="260"/>
      <c r="P180" s="260"/>
      <c r="Q180" s="260"/>
      <c r="R180" s="260"/>
      <c r="S180" s="260"/>
      <c r="T180" s="260"/>
      <c r="U180" s="260"/>
      <c r="V180" s="260"/>
      <c r="W180" s="260"/>
      <c r="X180" s="260"/>
      <c r="Y180" s="260"/>
      <c r="Z180" s="260"/>
      <c r="AA180" s="260"/>
      <c r="AB180" s="260"/>
      <c r="AC180" s="260"/>
      <c r="AD180" s="260"/>
      <c r="AE180" s="260"/>
      <c r="AF180" s="260"/>
      <c r="AG180" s="260"/>
      <c r="AH180" s="260"/>
    </row>
    <row r="181" spans="1:34" s="314" customFormat="1" ht="19.899999999999999" hidden="1" customHeight="1" outlineLevel="3" x14ac:dyDescent="0.35">
      <c r="A181" s="169"/>
      <c r="B181" s="318"/>
      <c r="C181" s="322"/>
      <c r="D181" s="993"/>
      <c r="E181" s="994"/>
      <c r="F181" s="322"/>
      <c r="G181" s="997" t="str">
        <f t="shared" si="3"/>
        <v/>
      </c>
      <c r="H181" s="260"/>
      <c r="I181" s="260"/>
      <c r="J181" s="260"/>
      <c r="K181" s="260"/>
      <c r="L181" s="260"/>
      <c r="M181" s="260"/>
      <c r="N181" s="260"/>
      <c r="O181" s="260"/>
      <c r="P181" s="260"/>
      <c r="Q181" s="260"/>
      <c r="R181" s="260"/>
      <c r="S181" s="260"/>
      <c r="T181" s="260"/>
      <c r="U181" s="260"/>
      <c r="V181" s="260"/>
      <c r="W181" s="260"/>
      <c r="X181" s="260"/>
      <c r="Y181" s="260"/>
      <c r="Z181" s="260"/>
      <c r="AA181" s="260"/>
      <c r="AB181" s="260"/>
      <c r="AC181" s="260"/>
      <c r="AD181" s="260"/>
      <c r="AE181" s="260"/>
      <c r="AF181" s="260"/>
      <c r="AG181" s="260"/>
      <c r="AH181" s="260"/>
    </row>
    <row r="182" spans="1:34" s="314" customFormat="1" ht="19.899999999999999" hidden="1" customHeight="1" outlineLevel="3" x14ac:dyDescent="0.35">
      <c r="A182" s="169"/>
      <c r="B182" s="318"/>
      <c r="C182" s="322"/>
      <c r="D182" s="993"/>
      <c r="E182" s="994"/>
      <c r="F182" s="322"/>
      <c r="G182" s="997" t="str">
        <f t="shared" si="3"/>
        <v/>
      </c>
      <c r="H182" s="260"/>
      <c r="I182" s="260"/>
      <c r="J182" s="260"/>
      <c r="K182" s="260"/>
      <c r="L182" s="260"/>
      <c r="M182" s="260"/>
      <c r="N182" s="260"/>
      <c r="O182" s="260"/>
      <c r="P182" s="260"/>
      <c r="Q182" s="260"/>
      <c r="R182" s="260"/>
      <c r="S182" s="260"/>
      <c r="T182" s="260"/>
      <c r="U182" s="260"/>
      <c r="V182" s="260"/>
      <c r="W182" s="260"/>
      <c r="X182" s="260"/>
      <c r="Y182" s="260"/>
      <c r="Z182" s="260"/>
      <c r="AA182" s="260"/>
      <c r="AB182" s="260"/>
      <c r="AC182" s="260"/>
      <c r="AD182" s="260"/>
      <c r="AE182" s="260"/>
      <c r="AF182" s="260"/>
      <c r="AG182" s="260"/>
      <c r="AH182" s="260"/>
    </row>
    <row r="183" spans="1:34" s="314" customFormat="1" ht="19.899999999999999" hidden="1" customHeight="1" outlineLevel="3" x14ac:dyDescent="0.35">
      <c r="A183" s="169"/>
      <c r="B183" s="318"/>
      <c r="C183" s="322"/>
      <c r="D183" s="993"/>
      <c r="E183" s="994"/>
      <c r="F183" s="322"/>
      <c r="G183" s="997" t="str">
        <f t="shared" si="3"/>
        <v/>
      </c>
      <c r="H183" s="260"/>
      <c r="I183" s="260"/>
      <c r="J183" s="260"/>
      <c r="K183" s="260"/>
      <c r="L183" s="260"/>
      <c r="M183" s="260"/>
      <c r="N183" s="260"/>
      <c r="O183" s="260"/>
      <c r="P183" s="260"/>
      <c r="Q183" s="260"/>
      <c r="R183" s="260"/>
      <c r="S183" s="260"/>
      <c r="T183" s="260"/>
      <c r="U183" s="260"/>
      <c r="V183" s="260"/>
      <c r="W183" s="260"/>
      <c r="X183" s="260"/>
      <c r="Y183" s="260"/>
      <c r="Z183" s="260"/>
      <c r="AA183" s="260"/>
      <c r="AB183" s="260"/>
      <c r="AC183" s="260"/>
      <c r="AD183" s="260"/>
      <c r="AE183" s="260"/>
      <c r="AF183" s="260"/>
      <c r="AG183" s="260"/>
      <c r="AH183" s="260"/>
    </row>
    <row r="184" spans="1:34" s="314" customFormat="1" ht="19.899999999999999" hidden="1" customHeight="1" outlineLevel="3" x14ac:dyDescent="0.35">
      <c r="A184" s="169"/>
      <c r="B184" s="318"/>
      <c r="C184" s="322"/>
      <c r="D184" s="993"/>
      <c r="E184" s="994"/>
      <c r="F184" s="322"/>
      <c r="G184" s="997" t="str">
        <f t="shared" si="3"/>
        <v/>
      </c>
      <c r="H184" s="260"/>
      <c r="I184" s="260"/>
      <c r="J184" s="260"/>
      <c r="K184" s="260"/>
      <c r="L184" s="260"/>
      <c r="M184" s="260"/>
      <c r="N184" s="260"/>
      <c r="O184" s="260"/>
      <c r="P184" s="260"/>
      <c r="Q184" s="260"/>
      <c r="R184" s="260"/>
      <c r="S184" s="260"/>
      <c r="T184" s="260"/>
      <c r="U184" s="260"/>
      <c r="V184" s="260"/>
      <c r="W184" s="260"/>
      <c r="X184" s="260"/>
      <c r="Y184" s="260"/>
      <c r="Z184" s="260"/>
      <c r="AA184" s="260"/>
      <c r="AB184" s="260"/>
      <c r="AC184" s="260"/>
      <c r="AD184" s="260"/>
      <c r="AE184" s="260"/>
      <c r="AF184" s="260"/>
      <c r="AG184" s="260"/>
      <c r="AH184" s="260"/>
    </row>
    <row r="185" spans="1:34" s="314" customFormat="1" ht="19.899999999999999" hidden="1" customHeight="1" outlineLevel="3" x14ac:dyDescent="0.35">
      <c r="A185" s="169"/>
      <c r="B185" s="318"/>
      <c r="C185" s="322"/>
      <c r="D185" s="993"/>
      <c r="E185" s="994"/>
      <c r="F185" s="322"/>
      <c r="G185" s="997" t="str">
        <f t="shared" si="3"/>
        <v/>
      </c>
      <c r="H185" s="260"/>
      <c r="I185" s="260"/>
      <c r="J185" s="260"/>
      <c r="K185" s="260"/>
      <c r="L185" s="260"/>
      <c r="M185" s="260"/>
      <c r="N185" s="260"/>
      <c r="O185" s="260"/>
      <c r="P185" s="260"/>
      <c r="Q185" s="260"/>
      <c r="R185" s="260"/>
      <c r="S185" s="260"/>
      <c r="T185" s="260"/>
      <c r="U185" s="260"/>
      <c r="V185" s="260"/>
      <c r="W185" s="260"/>
      <c r="X185" s="260"/>
      <c r="Y185" s="260"/>
      <c r="Z185" s="260"/>
      <c r="AA185" s="260"/>
      <c r="AB185" s="260"/>
      <c r="AC185" s="260"/>
      <c r="AD185" s="260"/>
      <c r="AE185" s="260"/>
      <c r="AF185" s="260"/>
      <c r="AG185" s="260"/>
      <c r="AH185" s="260"/>
    </row>
    <row r="186" spans="1:34" s="314" customFormat="1" ht="19.899999999999999" hidden="1" customHeight="1" outlineLevel="3" x14ac:dyDescent="0.35">
      <c r="A186" s="169"/>
      <c r="B186" s="318"/>
      <c r="C186" s="322"/>
      <c r="D186" s="993"/>
      <c r="E186" s="994"/>
      <c r="F186" s="322"/>
      <c r="G186" s="997" t="str">
        <f t="shared" si="3"/>
        <v/>
      </c>
      <c r="H186" s="260"/>
      <c r="I186" s="260"/>
      <c r="J186" s="260"/>
      <c r="K186" s="260"/>
      <c r="L186" s="260"/>
      <c r="M186" s="260"/>
      <c r="N186" s="260"/>
      <c r="O186" s="260"/>
      <c r="P186" s="260"/>
      <c r="Q186" s="260"/>
      <c r="R186" s="260"/>
      <c r="S186" s="260"/>
      <c r="T186" s="260"/>
      <c r="U186" s="260"/>
      <c r="V186" s="260"/>
      <c r="W186" s="260"/>
      <c r="X186" s="260"/>
      <c r="Y186" s="260"/>
      <c r="Z186" s="260"/>
      <c r="AA186" s="260"/>
      <c r="AB186" s="260"/>
      <c r="AC186" s="260"/>
      <c r="AD186" s="260"/>
      <c r="AE186" s="260"/>
      <c r="AF186" s="260"/>
      <c r="AG186" s="260"/>
      <c r="AH186" s="260"/>
    </row>
    <row r="187" spans="1:34" s="314" customFormat="1" ht="19.899999999999999" hidden="1" customHeight="1" outlineLevel="3" x14ac:dyDescent="0.35">
      <c r="A187" s="169"/>
      <c r="B187" s="318"/>
      <c r="C187" s="322"/>
      <c r="D187" s="993"/>
      <c r="E187" s="994"/>
      <c r="F187" s="322"/>
      <c r="G187" s="997" t="str">
        <f t="shared" si="3"/>
        <v/>
      </c>
      <c r="H187" s="260"/>
      <c r="I187" s="260"/>
      <c r="J187" s="260"/>
      <c r="K187" s="260"/>
      <c r="L187" s="260"/>
      <c r="M187" s="260"/>
      <c r="N187" s="260"/>
      <c r="O187" s="260"/>
      <c r="P187" s="260"/>
      <c r="Q187" s="260"/>
      <c r="R187" s="260"/>
      <c r="S187" s="260"/>
      <c r="T187" s="260"/>
      <c r="U187" s="260"/>
      <c r="V187" s="260"/>
      <c r="W187" s="260"/>
      <c r="X187" s="260"/>
      <c r="Y187" s="260"/>
      <c r="Z187" s="260"/>
      <c r="AA187" s="260"/>
      <c r="AB187" s="260"/>
      <c r="AC187" s="260"/>
      <c r="AD187" s="260"/>
      <c r="AE187" s="260"/>
      <c r="AF187" s="260"/>
      <c r="AG187" s="260"/>
      <c r="AH187" s="260"/>
    </row>
    <row r="188" spans="1:34" s="314" customFormat="1" ht="19.899999999999999" hidden="1" customHeight="1" outlineLevel="3" x14ac:dyDescent="0.35">
      <c r="A188" s="169"/>
      <c r="B188" s="318"/>
      <c r="C188" s="322"/>
      <c r="D188" s="993"/>
      <c r="E188" s="994"/>
      <c r="F188" s="322"/>
      <c r="G188" s="997" t="str">
        <f t="shared" si="3"/>
        <v/>
      </c>
      <c r="H188" s="260"/>
      <c r="I188" s="260"/>
      <c r="J188" s="260"/>
      <c r="K188" s="260"/>
      <c r="L188" s="260"/>
      <c r="M188" s="260"/>
      <c r="N188" s="260"/>
      <c r="O188" s="260"/>
      <c r="P188" s="260"/>
      <c r="Q188" s="260"/>
      <c r="R188" s="260"/>
      <c r="S188" s="260"/>
      <c r="T188" s="260"/>
      <c r="U188" s="260"/>
      <c r="V188" s="260"/>
      <c r="W188" s="260"/>
      <c r="X188" s="260"/>
      <c r="Y188" s="260"/>
      <c r="Z188" s="260"/>
      <c r="AA188" s="260"/>
      <c r="AB188" s="260"/>
      <c r="AC188" s="260"/>
      <c r="AD188" s="260"/>
      <c r="AE188" s="260"/>
      <c r="AF188" s="260"/>
      <c r="AG188" s="260"/>
      <c r="AH188" s="260"/>
    </row>
    <row r="189" spans="1:34" s="314" customFormat="1" ht="19.899999999999999" hidden="1" customHeight="1" outlineLevel="3" x14ac:dyDescent="0.35">
      <c r="A189" s="169"/>
      <c r="B189" s="318"/>
      <c r="C189" s="322"/>
      <c r="D189" s="993"/>
      <c r="E189" s="994"/>
      <c r="F189" s="322"/>
      <c r="G189" s="997" t="str">
        <f t="shared" si="3"/>
        <v/>
      </c>
      <c r="H189" s="260"/>
      <c r="I189" s="260"/>
      <c r="J189" s="260"/>
      <c r="K189" s="260"/>
      <c r="L189" s="260"/>
      <c r="M189" s="260"/>
      <c r="N189" s="260"/>
      <c r="O189" s="260"/>
      <c r="P189" s="260"/>
      <c r="Q189" s="260"/>
      <c r="R189" s="260"/>
      <c r="S189" s="260"/>
      <c r="T189" s="260"/>
      <c r="U189" s="260"/>
      <c r="V189" s="260"/>
      <c r="W189" s="260"/>
      <c r="X189" s="260"/>
      <c r="Y189" s="260"/>
      <c r="Z189" s="260"/>
      <c r="AA189" s="260"/>
      <c r="AB189" s="260"/>
      <c r="AC189" s="260"/>
      <c r="AD189" s="260"/>
      <c r="AE189" s="260"/>
      <c r="AF189" s="260"/>
      <c r="AG189" s="260"/>
      <c r="AH189" s="260"/>
    </row>
    <row r="190" spans="1:34" s="314" customFormat="1" ht="19.899999999999999" hidden="1" customHeight="1" outlineLevel="3" x14ac:dyDescent="0.35">
      <c r="A190" s="169"/>
      <c r="B190" s="318"/>
      <c r="C190" s="322"/>
      <c r="D190" s="993"/>
      <c r="E190" s="994"/>
      <c r="F190" s="322"/>
      <c r="G190" s="997" t="str">
        <f t="shared" si="3"/>
        <v/>
      </c>
      <c r="H190" s="260"/>
      <c r="I190" s="260"/>
      <c r="J190" s="260"/>
      <c r="K190" s="260"/>
      <c r="L190" s="260"/>
      <c r="M190" s="260"/>
      <c r="N190" s="260"/>
      <c r="O190" s="260"/>
      <c r="P190" s="260"/>
      <c r="Q190" s="260"/>
      <c r="R190" s="260"/>
      <c r="S190" s="260"/>
      <c r="T190" s="260"/>
      <c r="U190" s="260"/>
      <c r="V190" s="260"/>
      <c r="W190" s="260"/>
      <c r="X190" s="260"/>
      <c r="Y190" s="260"/>
      <c r="Z190" s="260"/>
      <c r="AA190" s="260"/>
      <c r="AB190" s="260"/>
      <c r="AC190" s="260"/>
      <c r="AD190" s="260"/>
      <c r="AE190" s="260"/>
      <c r="AF190" s="260"/>
      <c r="AG190" s="260"/>
      <c r="AH190" s="260"/>
    </row>
    <row r="191" spans="1:34" s="314" customFormat="1" ht="19.899999999999999" hidden="1" customHeight="1" outlineLevel="3" x14ac:dyDescent="0.35">
      <c r="A191" s="169"/>
      <c r="B191" s="318"/>
      <c r="C191" s="322"/>
      <c r="D191" s="993"/>
      <c r="E191" s="994"/>
      <c r="F191" s="322"/>
      <c r="G191" s="997" t="str">
        <f t="shared" si="3"/>
        <v/>
      </c>
      <c r="H191" s="260"/>
      <c r="I191" s="260"/>
      <c r="J191" s="260"/>
      <c r="K191" s="260"/>
      <c r="L191" s="260"/>
      <c r="M191" s="260"/>
      <c r="N191" s="260"/>
      <c r="O191" s="260"/>
      <c r="P191" s="260"/>
      <c r="Q191" s="260"/>
      <c r="R191" s="260"/>
      <c r="S191" s="260"/>
      <c r="T191" s="260"/>
      <c r="U191" s="260"/>
      <c r="V191" s="260"/>
      <c r="W191" s="260"/>
      <c r="X191" s="260"/>
      <c r="Y191" s="260"/>
      <c r="Z191" s="260"/>
      <c r="AA191" s="260"/>
      <c r="AB191" s="260"/>
      <c r="AC191" s="260"/>
      <c r="AD191" s="260"/>
      <c r="AE191" s="260"/>
      <c r="AF191" s="260"/>
      <c r="AG191" s="260"/>
      <c r="AH191" s="260"/>
    </row>
    <row r="192" spans="1:34" s="314" customFormat="1" ht="19.899999999999999" hidden="1" customHeight="1" outlineLevel="3" x14ac:dyDescent="0.35">
      <c r="A192" s="169"/>
      <c r="B192" s="318"/>
      <c r="C192" s="322"/>
      <c r="D192" s="993"/>
      <c r="E192" s="994"/>
      <c r="F192" s="322"/>
      <c r="G192" s="997" t="str">
        <f t="shared" si="3"/>
        <v/>
      </c>
      <c r="H192" s="260"/>
      <c r="I192" s="260"/>
      <c r="J192" s="260"/>
      <c r="K192" s="260"/>
      <c r="L192" s="260"/>
      <c r="M192" s="260"/>
      <c r="N192" s="260"/>
      <c r="O192" s="260"/>
      <c r="P192" s="260"/>
      <c r="Q192" s="260"/>
      <c r="R192" s="260"/>
      <c r="S192" s="260"/>
      <c r="T192" s="260"/>
      <c r="U192" s="260"/>
      <c r="V192" s="260"/>
      <c r="W192" s="260"/>
      <c r="X192" s="260"/>
      <c r="Y192" s="260"/>
      <c r="Z192" s="260"/>
      <c r="AA192" s="260"/>
      <c r="AB192" s="260"/>
      <c r="AC192" s="260"/>
      <c r="AD192" s="260"/>
      <c r="AE192" s="260"/>
      <c r="AF192" s="260"/>
      <c r="AG192" s="260"/>
      <c r="AH192" s="260"/>
    </row>
    <row r="193" spans="1:34" s="314" customFormat="1" ht="19.899999999999999" hidden="1" customHeight="1" outlineLevel="3" x14ac:dyDescent="0.35">
      <c r="A193" s="169"/>
      <c r="B193" s="318"/>
      <c r="C193" s="322"/>
      <c r="D193" s="993"/>
      <c r="E193" s="994"/>
      <c r="F193" s="322"/>
      <c r="G193" s="997" t="str">
        <f t="shared" si="3"/>
        <v/>
      </c>
      <c r="H193" s="260"/>
      <c r="I193" s="260"/>
      <c r="J193" s="260"/>
      <c r="K193" s="260"/>
      <c r="L193" s="260"/>
      <c r="M193" s="260"/>
      <c r="N193" s="260"/>
      <c r="O193" s="260"/>
      <c r="P193" s="260"/>
      <c r="Q193" s="260"/>
      <c r="R193" s="260"/>
      <c r="S193" s="260"/>
      <c r="T193" s="260"/>
      <c r="U193" s="260"/>
      <c r="V193" s="260"/>
      <c r="W193" s="260"/>
      <c r="X193" s="260"/>
      <c r="Y193" s="260"/>
      <c r="Z193" s="260"/>
      <c r="AA193" s="260"/>
      <c r="AB193" s="260"/>
      <c r="AC193" s="260"/>
      <c r="AD193" s="260"/>
      <c r="AE193" s="260"/>
      <c r="AF193" s="260"/>
      <c r="AG193" s="260"/>
      <c r="AH193" s="260"/>
    </row>
    <row r="194" spans="1:34" s="314" customFormat="1" ht="19.899999999999999" hidden="1" customHeight="1" outlineLevel="3" x14ac:dyDescent="0.35">
      <c r="A194" s="169"/>
      <c r="B194" s="318"/>
      <c r="C194" s="322"/>
      <c r="D194" s="993"/>
      <c r="E194" s="994"/>
      <c r="F194" s="322"/>
      <c r="G194" s="997" t="str">
        <f t="shared" si="3"/>
        <v/>
      </c>
      <c r="H194" s="260"/>
      <c r="I194" s="260"/>
      <c r="J194" s="260"/>
      <c r="K194" s="260"/>
      <c r="L194" s="260"/>
      <c r="M194" s="260"/>
      <c r="N194" s="260"/>
      <c r="O194" s="260"/>
      <c r="P194" s="260"/>
      <c r="Q194" s="260"/>
      <c r="R194" s="260"/>
      <c r="S194" s="260"/>
      <c r="T194" s="260"/>
      <c r="U194" s="260"/>
      <c r="V194" s="260"/>
      <c r="W194" s="260"/>
      <c r="X194" s="260"/>
      <c r="Y194" s="260"/>
      <c r="Z194" s="260"/>
      <c r="AA194" s="260"/>
      <c r="AB194" s="260"/>
      <c r="AC194" s="260"/>
      <c r="AD194" s="260"/>
      <c r="AE194" s="260"/>
      <c r="AF194" s="260"/>
      <c r="AG194" s="260"/>
      <c r="AH194" s="260"/>
    </row>
    <row r="195" spans="1:34" s="314" customFormat="1" ht="19.899999999999999" hidden="1" customHeight="1" outlineLevel="3" x14ac:dyDescent="0.35">
      <c r="A195" s="169"/>
      <c r="B195" s="318"/>
      <c r="C195" s="322"/>
      <c r="D195" s="993"/>
      <c r="E195" s="994"/>
      <c r="F195" s="322"/>
      <c r="G195" s="997" t="str">
        <f t="shared" si="3"/>
        <v/>
      </c>
      <c r="H195" s="260"/>
      <c r="I195" s="260"/>
      <c r="J195" s="260"/>
      <c r="K195" s="260"/>
      <c r="L195" s="260"/>
      <c r="M195" s="260"/>
      <c r="N195" s="260"/>
      <c r="O195" s="260"/>
      <c r="P195" s="260"/>
      <c r="Q195" s="260"/>
      <c r="R195" s="260"/>
      <c r="S195" s="260"/>
      <c r="T195" s="260"/>
      <c r="U195" s="260"/>
      <c r="V195" s="260"/>
      <c r="W195" s="260"/>
      <c r="X195" s="260"/>
      <c r="Y195" s="260"/>
      <c r="Z195" s="260"/>
      <c r="AA195" s="260"/>
      <c r="AB195" s="260"/>
      <c r="AC195" s="260"/>
      <c r="AD195" s="260"/>
      <c r="AE195" s="260"/>
      <c r="AF195" s="260"/>
      <c r="AG195" s="260"/>
      <c r="AH195" s="260"/>
    </row>
    <row r="196" spans="1:34" s="314" customFormat="1" ht="19.899999999999999" hidden="1" customHeight="1" outlineLevel="3" x14ac:dyDescent="0.35">
      <c r="A196" s="169"/>
      <c r="B196" s="318"/>
      <c r="C196" s="322"/>
      <c r="D196" s="993"/>
      <c r="E196" s="994"/>
      <c r="F196" s="322"/>
      <c r="G196" s="997" t="str">
        <f t="shared" si="3"/>
        <v/>
      </c>
      <c r="H196" s="260"/>
      <c r="I196" s="260"/>
      <c r="J196" s="260"/>
      <c r="K196" s="260"/>
      <c r="L196" s="260"/>
      <c r="M196" s="260"/>
      <c r="N196" s="260"/>
      <c r="O196" s="260"/>
      <c r="P196" s="260"/>
      <c r="Q196" s="260"/>
      <c r="R196" s="260"/>
      <c r="S196" s="260"/>
      <c r="T196" s="260"/>
      <c r="U196" s="260"/>
      <c r="V196" s="260"/>
      <c r="W196" s="260"/>
      <c r="X196" s="260"/>
      <c r="Y196" s="260"/>
      <c r="Z196" s="260"/>
      <c r="AA196" s="260"/>
      <c r="AB196" s="260"/>
      <c r="AC196" s="260"/>
      <c r="AD196" s="260"/>
      <c r="AE196" s="260"/>
      <c r="AF196" s="260"/>
      <c r="AG196" s="260"/>
      <c r="AH196" s="260"/>
    </row>
    <row r="197" spans="1:34" s="314" customFormat="1" ht="19.899999999999999" hidden="1" customHeight="1" outlineLevel="3" x14ac:dyDescent="0.35">
      <c r="A197" s="169"/>
      <c r="B197" s="318"/>
      <c r="C197" s="322"/>
      <c r="D197" s="993"/>
      <c r="E197" s="994"/>
      <c r="F197" s="322"/>
      <c r="G197" s="997" t="str">
        <f t="shared" si="3"/>
        <v/>
      </c>
      <c r="H197" s="260"/>
      <c r="I197" s="260"/>
      <c r="J197" s="260"/>
      <c r="K197" s="260"/>
      <c r="L197" s="260"/>
      <c r="M197" s="260"/>
      <c r="N197" s="260"/>
      <c r="O197" s="260"/>
      <c r="P197" s="260"/>
      <c r="Q197" s="260"/>
      <c r="R197" s="260"/>
      <c r="S197" s="260"/>
      <c r="T197" s="260"/>
      <c r="U197" s="260"/>
      <c r="V197" s="260"/>
      <c r="W197" s="260"/>
      <c r="X197" s="260"/>
      <c r="Y197" s="260"/>
      <c r="Z197" s="260"/>
      <c r="AA197" s="260"/>
      <c r="AB197" s="260"/>
      <c r="AC197" s="260"/>
      <c r="AD197" s="260"/>
      <c r="AE197" s="260"/>
      <c r="AF197" s="260"/>
      <c r="AG197" s="260"/>
      <c r="AH197" s="260"/>
    </row>
    <row r="198" spans="1:34" s="314" customFormat="1" ht="19.899999999999999" hidden="1" customHeight="1" outlineLevel="3" x14ac:dyDescent="0.35">
      <c r="A198" s="169"/>
      <c r="B198" s="318"/>
      <c r="C198" s="322"/>
      <c r="D198" s="993"/>
      <c r="E198" s="994"/>
      <c r="F198" s="322"/>
      <c r="G198" s="997" t="str">
        <f t="shared" si="3"/>
        <v/>
      </c>
      <c r="H198" s="260"/>
      <c r="I198" s="260"/>
      <c r="J198" s="260"/>
      <c r="K198" s="260"/>
      <c r="L198" s="260"/>
      <c r="M198" s="260"/>
      <c r="N198" s="260"/>
      <c r="O198" s="260"/>
      <c r="P198" s="260"/>
      <c r="Q198" s="260"/>
      <c r="R198" s="260"/>
      <c r="S198" s="260"/>
      <c r="T198" s="260"/>
      <c r="U198" s="260"/>
      <c r="V198" s="260"/>
      <c r="W198" s="260"/>
      <c r="X198" s="260"/>
      <c r="Y198" s="260"/>
      <c r="Z198" s="260"/>
      <c r="AA198" s="260"/>
      <c r="AB198" s="260"/>
      <c r="AC198" s="260"/>
      <c r="AD198" s="260"/>
      <c r="AE198" s="260"/>
      <c r="AF198" s="260"/>
      <c r="AG198" s="260"/>
      <c r="AH198" s="260"/>
    </row>
    <row r="199" spans="1:34" s="314" customFormat="1" ht="19.899999999999999" hidden="1" customHeight="1" outlineLevel="3" x14ac:dyDescent="0.35">
      <c r="A199" s="169"/>
      <c r="B199" s="318"/>
      <c r="C199" s="322"/>
      <c r="D199" s="993"/>
      <c r="E199" s="994"/>
      <c r="F199" s="322"/>
      <c r="G199" s="997" t="str">
        <f t="shared" si="3"/>
        <v/>
      </c>
      <c r="H199" s="260"/>
      <c r="I199" s="260"/>
      <c r="J199" s="260"/>
      <c r="K199" s="260"/>
      <c r="L199" s="260"/>
      <c r="M199" s="260"/>
      <c r="N199" s="260"/>
      <c r="O199" s="260"/>
      <c r="P199" s="260"/>
      <c r="Q199" s="260"/>
      <c r="R199" s="260"/>
      <c r="S199" s="260"/>
      <c r="T199" s="260"/>
      <c r="U199" s="260"/>
      <c r="V199" s="260"/>
      <c r="W199" s="260"/>
      <c r="X199" s="260"/>
      <c r="Y199" s="260"/>
      <c r="Z199" s="260"/>
      <c r="AA199" s="260"/>
      <c r="AB199" s="260"/>
      <c r="AC199" s="260"/>
      <c r="AD199" s="260"/>
      <c r="AE199" s="260"/>
      <c r="AF199" s="260"/>
      <c r="AG199" s="260"/>
      <c r="AH199" s="260"/>
    </row>
    <row r="200" spans="1:34" s="314" customFormat="1" ht="19.899999999999999" hidden="1" customHeight="1" outlineLevel="3" x14ac:dyDescent="0.35">
      <c r="A200" s="169"/>
      <c r="B200" s="318"/>
      <c r="C200" s="322"/>
      <c r="D200" s="993"/>
      <c r="E200" s="994"/>
      <c r="F200" s="322"/>
      <c r="G200" s="997" t="str">
        <f t="shared" si="3"/>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row>
    <row r="201" spans="1:34" s="314" customFormat="1" ht="19.899999999999999" hidden="1" customHeight="1" outlineLevel="3" x14ac:dyDescent="0.35">
      <c r="A201" s="169"/>
      <c r="B201" s="318"/>
      <c r="C201" s="322"/>
      <c r="D201" s="993"/>
      <c r="E201" s="994"/>
      <c r="F201" s="322"/>
      <c r="G201" s="997" t="str">
        <f t="shared" si="3"/>
        <v/>
      </c>
      <c r="H201" s="260"/>
      <c r="I201" s="260"/>
      <c r="J201" s="260"/>
      <c r="K201" s="260"/>
      <c r="L201" s="260"/>
      <c r="M201" s="260"/>
      <c r="N201" s="260"/>
      <c r="O201" s="260"/>
      <c r="P201" s="260"/>
      <c r="Q201" s="260"/>
      <c r="R201" s="260"/>
      <c r="S201" s="260"/>
      <c r="T201" s="260"/>
      <c r="U201" s="260"/>
      <c r="V201" s="260"/>
      <c r="W201" s="260"/>
      <c r="X201" s="260"/>
      <c r="Y201" s="260"/>
      <c r="Z201" s="260"/>
      <c r="AA201" s="260"/>
      <c r="AB201" s="260"/>
      <c r="AC201" s="260"/>
      <c r="AD201" s="260"/>
      <c r="AE201" s="260"/>
      <c r="AF201" s="260"/>
      <c r="AG201" s="260"/>
      <c r="AH201" s="260"/>
    </row>
    <row r="202" spans="1:34" s="314" customFormat="1" ht="19.899999999999999" hidden="1" customHeight="1" outlineLevel="3" x14ac:dyDescent="0.35">
      <c r="A202" s="169"/>
      <c r="B202" s="318"/>
      <c r="C202" s="322"/>
      <c r="D202" s="993"/>
      <c r="E202" s="994"/>
      <c r="F202" s="322"/>
      <c r="G202" s="997" t="str">
        <f t="shared" si="3"/>
        <v/>
      </c>
      <c r="H202" s="260"/>
      <c r="I202" s="260"/>
      <c r="J202" s="260"/>
      <c r="K202" s="260"/>
      <c r="L202" s="260"/>
      <c r="M202" s="260"/>
      <c r="N202" s="260"/>
      <c r="O202" s="260"/>
      <c r="P202" s="260"/>
      <c r="Q202" s="260"/>
      <c r="R202" s="260"/>
      <c r="S202" s="260"/>
      <c r="T202" s="260"/>
      <c r="U202" s="260"/>
      <c r="V202" s="260"/>
      <c r="W202" s="260"/>
      <c r="X202" s="260"/>
      <c r="Y202" s="260"/>
      <c r="Z202" s="260"/>
      <c r="AA202" s="260"/>
      <c r="AB202" s="260"/>
      <c r="AC202" s="260"/>
      <c r="AD202" s="260"/>
      <c r="AE202" s="260"/>
      <c r="AF202" s="260"/>
      <c r="AG202" s="260"/>
      <c r="AH202" s="260"/>
    </row>
    <row r="203" spans="1:34" s="314" customFormat="1" ht="19.899999999999999" hidden="1" customHeight="1" outlineLevel="3" x14ac:dyDescent="0.35">
      <c r="A203" s="169"/>
      <c r="B203" s="318"/>
      <c r="C203" s="322"/>
      <c r="D203" s="993"/>
      <c r="E203" s="994"/>
      <c r="F203" s="322"/>
      <c r="G203" s="997" t="str">
        <f t="shared" si="3"/>
        <v/>
      </c>
      <c r="H203" s="260"/>
      <c r="I203" s="260"/>
      <c r="J203" s="260"/>
      <c r="K203" s="260"/>
      <c r="L203" s="260"/>
      <c r="M203" s="260"/>
      <c r="N203" s="260"/>
      <c r="O203" s="260"/>
      <c r="P203" s="260"/>
      <c r="Q203" s="260"/>
      <c r="R203" s="260"/>
      <c r="S203" s="260"/>
      <c r="T203" s="260"/>
      <c r="U203" s="260"/>
      <c r="V203" s="260"/>
      <c r="W203" s="260"/>
      <c r="X203" s="260"/>
      <c r="Y203" s="260"/>
      <c r="Z203" s="260"/>
      <c r="AA203" s="260"/>
      <c r="AB203" s="260"/>
      <c r="AC203" s="260"/>
      <c r="AD203" s="260"/>
      <c r="AE203" s="260"/>
      <c r="AF203" s="260"/>
      <c r="AG203" s="260"/>
      <c r="AH203" s="260"/>
    </row>
    <row r="204" spans="1:34" s="314" customFormat="1" ht="19.899999999999999" hidden="1" customHeight="1" outlineLevel="3" x14ac:dyDescent="0.35">
      <c r="A204" s="169"/>
      <c r="B204" s="318"/>
      <c r="C204" s="322"/>
      <c r="D204" s="993"/>
      <c r="E204" s="994"/>
      <c r="F204" s="322"/>
      <c r="G204" s="997" t="str">
        <f t="shared" si="3"/>
        <v/>
      </c>
      <c r="H204" s="260"/>
      <c r="I204" s="260"/>
      <c r="J204" s="260"/>
      <c r="K204" s="260"/>
      <c r="L204" s="260"/>
      <c r="M204" s="260"/>
      <c r="N204" s="260"/>
      <c r="O204" s="260"/>
      <c r="P204" s="260"/>
      <c r="Q204" s="260"/>
      <c r="R204" s="260"/>
      <c r="S204" s="260"/>
      <c r="T204" s="260"/>
      <c r="U204" s="260"/>
      <c r="V204" s="260"/>
      <c r="W204" s="260"/>
      <c r="X204" s="260"/>
      <c r="Y204" s="260"/>
      <c r="Z204" s="260"/>
      <c r="AA204" s="260"/>
      <c r="AB204" s="260"/>
      <c r="AC204" s="260"/>
      <c r="AD204" s="260"/>
      <c r="AE204" s="260"/>
      <c r="AF204" s="260"/>
      <c r="AG204" s="260"/>
      <c r="AH204" s="260"/>
    </row>
    <row r="205" spans="1:34" s="314" customFormat="1" ht="19.899999999999999" hidden="1" customHeight="1" outlineLevel="3" x14ac:dyDescent="0.35">
      <c r="A205" s="169"/>
      <c r="B205" s="318"/>
      <c r="C205" s="322"/>
      <c r="D205" s="993"/>
      <c r="E205" s="994"/>
      <c r="F205" s="322"/>
      <c r="G205" s="997" t="str">
        <f t="shared" si="3"/>
        <v/>
      </c>
      <c r="H205" s="260"/>
      <c r="I205" s="260"/>
      <c r="J205" s="260"/>
      <c r="K205" s="260"/>
      <c r="L205" s="260"/>
      <c r="M205" s="260"/>
      <c r="N205" s="260"/>
      <c r="O205" s="260"/>
      <c r="P205" s="260"/>
      <c r="Q205" s="260"/>
      <c r="R205" s="260"/>
      <c r="S205" s="260"/>
      <c r="T205" s="260"/>
      <c r="U205" s="260"/>
      <c r="V205" s="260"/>
      <c r="W205" s="260"/>
      <c r="X205" s="260"/>
      <c r="Y205" s="260"/>
      <c r="Z205" s="260"/>
      <c r="AA205" s="260"/>
      <c r="AB205" s="260"/>
      <c r="AC205" s="260"/>
      <c r="AD205" s="260"/>
      <c r="AE205" s="260"/>
      <c r="AF205" s="260"/>
      <c r="AG205" s="260"/>
      <c r="AH205" s="260"/>
    </row>
    <row r="206" spans="1:34" s="314" customFormat="1" ht="19.899999999999999" hidden="1" customHeight="1" outlineLevel="3" x14ac:dyDescent="0.35">
      <c r="A206" s="169"/>
      <c r="B206" s="318"/>
      <c r="C206" s="322"/>
      <c r="D206" s="993"/>
      <c r="E206" s="994"/>
      <c r="F206" s="322"/>
      <c r="G206" s="997" t="str">
        <f t="shared" si="3"/>
        <v/>
      </c>
      <c r="H206" s="260"/>
      <c r="I206" s="260"/>
      <c r="J206" s="260"/>
      <c r="K206" s="260"/>
      <c r="L206" s="260"/>
      <c r="M206" s="260"/>
      <c r="N206" s="260"/>
      <c r="O206" s="260"/>
      <c r="P206" s="260"/>
      <c r="Q206" s="260"/>
      <c r="R206" s="260"/>
      <c r="S206" s="260"/>
      <c r="T206" s="260"/>
      <c r="U206" s="260"/>
      <c r="V206" s="260"/>
      <c r="W206" s="260"/>
      <c r="X206" s="260"/>
      <c r="Y206" s="260"/>
      <c r="Z206" s="260"/>
      <c r="AA206" s="260"/>
      <c r="AB206" s="260"/>
      <c r="AC206" s="260"/>
      <c r="AD206" s="260"/>
      <c r="AE206" s="260"/>
      <c r="AF206" s="260"/>
      <c r="AG206" s="260"/>
      <c r="AH206" s="260"/>
    </row>
    <row r="207" spans="1:34" s="314" customFormat="1" ht="19.899999999999999" hidden="1" customHeight="1" outlineLevel="3" x14ac:dyDescent="0.35">
      <c r="A207" s="169"/>
      <c r="B207" s="318"/>
      <c r="C207" s="322"/>
      <c r="D207" s="993"/>
      <c r="E207" s="994"/>
      <c r="F207" s="322"/>
      <c r="G207" s="997" t="str">
        <f t="shared" si="3"/>
        <v/>
      </c>
      <c r="H207" s="260"/>
      <c r="I207" s="260"/>
      <c r="J207" s="260"/>
      <c r="K207" s="260"/>
      <c r="L207" s="260"/>
      <c r="M207" s="260"/>
      <c r="N207" s="260"/>
      <c r="O207" s="260"/>
      <c r="P207" s="260"/>
      <c r="Q207" s="260"/>
      <c r="R207" s="260"/>
      <c r="S207" s="260"/>
      <c r="T207" s="260"/>
      <c r="U207" s="260"/>
      <c r="V207" s="260"/>
      <c r="W207" s="260"/>
      <c r="X207" s="260"/>
      <c r="Y207" s="260"/>
      <c r="Z207" s="260"/>
      <c r="AA207" s="260"/>
      <c r="AB207" s="260"/>
      <c r="AC207" s="260"/>
      <c r="AD207" s="260"/>
      <c r="AE207" s="260"/>
      <c r="AF207" s="260"/>
      <c r="AG207" s="260"/>
      <c r="AH207" s="260"/>
    </row>
    <row r="208" spans="1:34" s="314" customFormat="1" ht="19.899999999999999" hidden="1" customHeight="1" outlineLevel="3" x14ac:dyDescent="0.35">
      <c r="A208" s="169"/>
      <c r="B208" s="318"/>
      <c r="C208" s="322"/>
      <c r="D208" s="993"/>
      <c r="E208" s="994"/>
      <c r="F208" s="322"/>
      <c r="G208" s="997" t="str">
        <f t="shared" si="3"/>
        <v/>
      </c>
      <c r="H208" s="260"/>
      <c r="I208" s="260"/>
      <c r="J208" s="260"/>
      <c r="K208" s="260"/>
      <c r="L208" s="260"/>
      <c r="M208" s="260"/>
      <c r="N208" s="260"/>
      <c r="O208" s="260"/>
      <c r="P208" s="260"/>
      <c r="Q208" s="260"/>
      <c r="R208" s="260"/>
      <c r="S208" s="260"/>
      <c r="T208" s="260"/>
      <c r="U208" s="260"/>
      <c r="V208" s="260"/>
      <c r="W208" s="260"/>
      <c r="X208" s="260"/>
      <c r="Y208" s="260"/>
      <c r="Z208" s="260"/>
      <c r="AA208" s="260"/>
      <c r="AB208" s="260"/>
      <c r="AC208" s="260"/>
      <c r="AD208" s="260"/>
      <c r="AE208" s="260"/>
      <c r="AF208" s="260"/>
      <c r="AG208" s="260"/>
      <c r="AH208" s="260"/>
    </row>
    <row r="209" spans="1:34" s="314" customFormat="1" ht="19.899999999999999" hidden="1" customHeight="1" outlineLevel="3" x14ac:dyDescent="0.35">
      <c r="A209" s="169"/>
      <c r="B209" s="318"/>
      <c r="C209" s="322"/>
      <c r="D209" s="993"/>
      <c r="E209" s="994"/>
      <c r="F209" s="322"/>
      <c r="G209" s="997" t="str">
        <f t="shared" si="3"/>
        <v/>
      </c>
      <c r="H209" s="260"/>
      <c r="I209" s="260"/>
      <c r="J209" s="260"/>
      <c r="K209" s="260"/>
      <c r="L209" s="260"/>
      <c r="M209" s="260"/>
      <c r="N209" s="260"/>
      <c r="O209" s="260"/>
      <c r="P209" s="260"/>
      <c r="Q209" s="260"/>
      <c r="R209" s="260"/>
      <c r="S209" s="260"/>
      <c r="T209" s="260"/>
      <c r="U209" s="260"/>
      <c r="V209" s="260"/>
      <c r="W209" s="260"/>
      <c r="X209" s="260"/>
      <c r="Y209" s="260"/>
      <c r="Z209" s="260"/>
      <c r="AA209" s="260"/>
      <c r="AB209" s="260"/>
      <c r="AC209" s="260"/>
      <c r="AD209" s="260"/>
      <c r="AE209" s="260"/>
      <c r="AF209" s="260"/>
      <c r="AG209" s="260"/>
      <c r="AH209" s="260"/>
    </row>
    <row r="210" spans="1:34" s="314" customFormat="1" ht="19.899999999999999" hidden="1" customHeight="1" outlineLevel="3" x14ac:dyDescent="0.35">
      <c r="A210" s="169"/>
      <c r="B210" s="318"/>
      <c r="C210" s="322"/>
      <c r="D210" s="993"/>
      <c r="E210" s="994"/>
      <c r="F210" s="322"/>
      <c r="G210" s="997" t="str">
        <f t="shared" si="3"/>
        <v/>
      </c>
      <c r="H210" s="260"/>
      <c r="I210" s="260"/>
      <c r="J210" s="260"/>
      <c r="K210" s="260"/>
      <c r="L210" s="260"/>
      <c r="M210" s="260"/>
      <c r="N210" s="260"/>
      <c r="O210" s="260"/>
      <c r="P210" s="260"/>
      <c r="Q210" s="260"/>
      <c r="R210" s="260"/>
      <c r="S210" s="260"/>
      <c r="T210" s="260"/>
      <c r="U210" s="260"/>
      <c r="V210" s="260"/>
      <c r="W210" s="260"/>
      <c r="X210" s="260"/>
      <c r="Y210" s="260"/>
      <c r="Z210" s="260"/>
      <c r="AA210" s="260"/>
      <c r="AB210" s="260"/>
      <c r="AC210" s="260"/>
      <c r="AD210" s="260"/>
      <c r="AE210" s="260"/>
      <c r="AF210" s="260"/>
      <c r="AG210" s="260"/>
      <c r="AH210" s="260"/>
    </row>
    <row r="211" spans="1:34" s="314" customFormat="1" ht="19.899999999999999" hidden="1" customHeight="1" outlineLevel="3" x14ac:dyDescent="0.35">
      <c r="A211" s="169"/>
      <c r="B211" s="318"/>
      <c r="C211" s="322"/>
      <c r="D211" s="993"/>
      <c r="E211" s="994"/>
      <c r="F211" s="322"/>
      <c r="G211" s="997" t="str">
        <f t="shared" si="3"/>
        <v/>
      </c>
      <c r="H211" s="260"/>
      <c r="I211" s="260"/>
      <c r="J211" s="260"/>
      <c r="K211" s="260"/>
      <c r="L211" s="260"/>
      <c r="M211" s="260"/>
      <c r="N211" s="260"/>
      <c r="O211" s="260"/>
      <c r="P211" s="260"/>
      <c r="Q211" s="260"/>
      <c r="R211" s="260"/>
      <c r="S211" s="260"/>
      <c r="T211" s="260"/>
      <c r="U211" s="260"/>
      <c r="V211" s="260"/>
      <c r="W211" s="260"/>
      <c r="X211" s="260"/>
      <c r="Y211" s="260"/>
      <c r="Z211" s="260"/>
      <c r="AA211" s="260"/>
      <c r="AB211" s="260"/>
      <c r="AC211" s="260"/>
      <c r="AD211" s="260"/>
      <c r="AE211" s="260"/>
      <c r="AF211" s="260"/>
      <c r="AG211" s="260"/>
      <c r="AH211" s="260"/>
    </row>
    <row r="212" spans="1:34" s="314" customFormat="1" ht="19.899999999999999" hidden="1" customHeight="1" outlineLevel="3" x14ac:dyDescent="0.35">
      <c r="A212" s="169"/>
      <c r="B212" s="318"/>
      <c r="C212" s="322"/>
      <c r="D212" s="993"/>
      <c r="E212" s="994"/>
      <c r="F212" s="322"/>
      <c r="G212" s="997" t="str">
        <f t="shared" si="3"/>
        <v/>
      </c>
      <c r="H212" s="260"/>
      <c r="I212" s="260"/>
      <c r="J212" s="260"/>
      <c r="K212" s="260"/>
      <c r="L212" s="260"/>
      <c r="M212" s="260"/>
      <c r="N212" s="260"/>
      <c r="O212" s="260"/>
      <c r="P212" s="260"/>
      <c r="Q212" s="260"/>
      <c r="R212" s="260"/>
      <c r="S212" s="260"/>
      <c r="T212" s="260"/>
      <c r="U212" s="260"/>
      <c r="V212" s="260"/>
      <c r="W212" s="260"/>
      <c r="X212" s="260"/>
      <c r="Y212" s="260"/>
      <c r="Z212" s="260"/>
      <c r="AA212" s="260"/>
      <c r="AB212" s="260"/>
      <c r="AC212" s="260"/>
      <c r="AD212" s="260"/>
      <c r="AE212" s="260"/>
      <c r="AF212" s="260"/>
      <c r="AG212" s="260"/>
      <c r="AH212" s="260"/>
    </row>
    <row r="213" spans="1:34" s="314" customFormat="1" ht="19.899999999999999" hidden="1" customHeight="1" outlineLevel="3" x14ac:dyDescent="0.35">
      <c r="A213" s="169"/>
      <c r="B213" s="318"/>
      <c r="C213" s="322"/>
      <c r="D213" s="993"/>
      <c r="E213" s="994"/>
      <c r="F213" s="322"/>
      <c r="G213" s="997" t="str">
        <f t="shared" si="3"/>
        <v/>
      </c>
      <c r="H213" s="260"/>
      <c r="I213" s="260"/>
      <c r="J213" s="260"/>
      <c r="K213" s="260"/>
      <c r="L213" s="260"/>
      <c r="M213" s="260"/>
      <c r="N213" s="260"/>
      <c r="O213" s="260"/>
      <c r="P213" s="260"/>
      <c r="Q213" s="260"/>
      <c r="R213" s="260"/>
      <c r="S213" s="260"/>
      <c r="T213" s="260"/>
      <c r="U213" s="260"/>
      <c r="V213" s="260"/>
      <c r="W213" s="260"/>
      <c r="X213" s="260"/>
      <c r="Y213" s="260"/>
      <c r="Z213" s="260"/>
      <c r="AA213" s="260"/>
      <c r="AB213" s="260"/>
      <c r="AC213" s="260"/>
      <c r="AD213" s="260"/>
      <c r="AE213" s="260"/>
      <c r="AF213" s="260"/>
      <c r="AG213" s="260"/>
      <c r="AH213" s="260"/>
    </row>
    <row r="214" spans="1:34" s="314" customFormat="1" ht="19.899999999999999" hidden="1" customHeight="1" outlineLevel="3" x14ac:dyDescent="0.35">
      <c r="A214" s="169"/>
      <c r="B214" s="318"/>
      <c r="C214" s="322"/>
      <c r="D214" s="993"/>
      <c r="E214" s="994"/>
      <c r="F214" s="322"/>
      <c r="G214" s="997" t="str">
        <f t="shared" si="3"/>
        <v/>
      </c>
      <c r="H214" s="260"/>
      <c r="I214" s="260"/>
      <c r="J214" s="260"/>
      <c r="K214" s="260"/>
      <c r="L214" s="260"/>
      <c r="M214" s="260"/>
      <c r="N214" s="260"/>
      <c r="O214" s="260"/>
      <c r="P214" s="260"/>
      <c r="Q214" s="260"/>
      <c r="R214" s="260"/>
      <c r="S214" s="260"/>
      <c r="T214" s="260"/>
      <c r="U214" s="260"/>
      <c r="V214" s="260"/>
      <c r="W214" s="260"/>
      <c r="X214" s="260"/>
      <c r="Y214" s="260"/>
      <c r="Z214" s="260"/>
      <c r="AA214" s="260"/>
      <c r="AB214" s="260"/>
      <c r="AC214" s="260"/>
      <c r="AD214" s="260"/>
      <c r="AE214" s="260"/>
      <c r="AF214" s="260"/>
      <c r="AG214" s="260"/>
      <c r="AH214" s="260"/>
    </row>
    <row r="215" spans="1:34" s="314" customFormat="1" ht="19.899999999999999" hidden="1" customHeight="1" outlineLevel="3" x14ac:dyDescent="0.35">
      <c r="A215" s="169"/>
      <c r="B215" s="318"/>
      <c r="C215" s="322"/>
      <c r="D215" s="993"/>
      <c r="E215" s="994"/>
      <c r="F215" s="322"/>
      <c r="G215" s="997" t="str">
        <f t="shared" si="3"/>
        <v/>
      </c>
      <c r="H215" s="260"/>
      <c r="I215" s="260"/>
      <c r="J215" s="260"/>
      <c r="K215" s="260"/>
      <c r="L215" s="260"/>
      <c r="M215" s="260"/>
      <c r="N215" s="260"/>
      <c r="O215" s="260"/>
      <c r="P215" s="260"/>
      <c r="Q215" s="260"/>
      <c r="R215" s="260"/>
      <c r="S215" s="260"/>
      <c r="T215" s="260"/>
      <c r="U215" s="260"/>
      <c r="V215" s="260"/>
      <c r="W215" s="260"/>
      <c r="X215" s="260"/>
      <c r="Y215" s="260"/>
      <c r="Z215" s="260"/>
      <c r="AA215" s="260"/>
      <c r="AB215" s="260"/>
      <c r="AC215" s="260"/>
      <c r="AD215" s="260"/>
      <c r="AE215" s="260"/>
      <c r="AF215" s="260"/>
      <c r="AG215" s="260"/>
      <c r="AH215" s="260"/>
    </row>
    <row r="216" spans="1:34" s="314" customFormat="1" ht="19.899999999999999" hidden="1" customHeight="1" outlineLevel="3" x14ac:dyDescent="0.35">
      <c r="A216" s="169"/>
      <c r="B216" s="318"/>
      <c r="C216" s="322"/>
      <c r="D216" s="993"/>
      <c r="E216" s="994"/>
      <c r="F216" s="322"/>
      <c r="G216" s="997" t="str">
        <f t="shared" ref="G216:G250" si="4">IF(D216="","",(D216*E216))</f>
        <v/>
      </c>
      <c r="H216" s="260"/>
      <c r="I216" s="260"/>
      <c r="J216" s="260"/>
      <c r="K216" s="260"/>
      <c r="L216" s="260"/>
      <c r="M216" s="260"/>
      <c r="N216" s="260"/>
      <c r="O216" s="260"/>
      <c r="P216" s="260"/>
      <c r="Q216" s="260"/>
      <c r="R216" s="260"/>
      <c r="S216" s="260"/>
      <c r="T216" s="260"/>
      <c r="U216" s="260"/>
      <c r="V216" s="260"/>
      <c r="W216" s="260"/>
      <c r="X216" s="260"/>
      <c r="Y216" s="260"/>
      <c r="Z216" s="260"/>
      <c r="AA216" s="260"/>
      <c r="AB216" s="260"/>
      <c r="AC216" s="260"/>
      <c r="AD216" s="260"/>
      <c r="AE216" s="260"/>
      <c r="AF216" s="260"/>
      <c r="AG216" s="260"/>
      <c r="AH216" s="260"/>
    </row>
    <row r="217" spans="1:34" s="314" customFormat="1" ht="19.899999999999999" hidden="1" customHeight="1" outlineLevel="3" x14ac:dyDescent="0.35">
      <c r="A217" s="169"/>
      <c r="B217" s="318"/>
      <c r="C217" s="322"/>
      <c r="D217" s="993"/>
      <c r="E217" s="994"/>
      <c r="F217" s="322"/>
      <c r="G217" s="997" t="str">
        <f t="shared" si="4"/>
        <v/>
      </c>
      <c r="H217" s="260"/>
      <c r="I217" s="260"/>
      <c r="J217" s="260"/>
      <c r="K217" s="260"/>
      <c r="L217" s="260"/>
      <c r="M217" s="260"/>
      <c r="N217" s="260"/>
      <c r="O217" s="260"/>
      <c r="P217" s="260"/>
      <c r="Q217" s="260"/>
      <c r="R217" s="260"/>
      <c r="S217" s="260"/>
      <c r="T217" s="260"/>
      <c r="U217" s="260"/>
      <c r="V217" s="260"/>
      <c r="W217" s="260"/>
      <c r="X217" s="260"/>
      <c r="Y217" s="260"/>
      <c r="Z217" s="260"/>
      <c r="AA217" s="260"/>
      <c r="AB217" s="260"/>
      <c r="AC217" s="260"/>
      <c r="AD217" s="260"/>
      <c r="AE217" s="260"/>
      <c r="AF217" s="260"/>
      <c r="AG217" s="260"/>
      <c r="AH217" s="260"/>
    </row>
    <row r="218" spans="1:34" s="314" customFormat="1" ht="19.899999999999999" hidden="1" customHeight="1" outlineLevel="3" x14ac:dyDescent="0.35">
      <c r="A218" s="169"/>
      <c r="B218" s="318"/>
      <c r="C218" s="322"/>
      <c r="D218" s="993"/>
      <c r="E218" s="994"/>
      <c r="F218" s="322"/>
      <c r="G218" s="997" t="str">
        <f t="shared" si="4"/>
        <v/>
      </c>
      <c r="H218" s="260"/>
      <c r="I218" s="260"/>
      <c r="J218" s="260"/>
      <c r="K218" s="260"/>
      <c r="L218" s="260"/>
      <c r="M218" s="260"/>
      <c r="N218" s="260"/>
      <c r="O218" s="260"/>
      <c r="P218" s="260"/>
      <c r="Q218" s="260"/>
      <c r="R218" s="260"/>
      <c r="S218" s="260"/>
      <c r="T218" s="260"/>
      <c r="U218" s="260"/>
      <c r="V218" s="260"/>
      <c r="W218" s="260"/>
      <c r="X218" s="260"/>
      <c r="Y218" s="260"/>
      <c r="Z218" s="260"/>
      <c r="AA218" s="260"/>
      <c r="AB218" s="260"/>
      <c r="AC218" s="260"/>
      <c r="AD218" s="260"/>
      <c r="AE218" s="260"/>
      <c r="AF218" s="260"/>
      <c r="AG218" s="260"/>
      <c r="AH218" s="260"/>
    </row>
    <row r="219" spans="1:34" s="314" customFormat="1" ht="19.899999999999999" hidden="1" customHeight="1" outlineLevel="3" x14ac:dyDescent="0.35">
      <c r="A219" s="169"/>
      <c r="B219" s="318"/>
      <c r="C219" s="322"/>
      <c r="D219" s="993"/>
      <c r="E219" s="994"/>
      <c r="F219" s="322"/>
      <c r="G219" s="997" t="str">
        <f t="shared" si="4"/>
        <v/>
      </c>
      <c r="H219" s="260"/>
      <c r="I219" s="260"/>
      <c r="J219" s="260"/>
      <c r="K219" s="260"/>
      <c r="L219" s="260"/>
      <c r="M219" s="260"/>
      <c r="N219" s="260"/>
      <c r="O219" s="260"/>
      <c r="P219" s="260"/>
      <c r="Q219" s="260"/>
      <c r="R219" s="260"/>
      <c r="S219" s="260"/>
      <c r="T219" s="260"/>
      <c r="U219" s="260"/>
      <c r="V219" s="260"/>
      <c r="W219" s="260"/>
      <c r="X219" s="260"/>
      <c r="Y219" s="260"/>
      <c r="Z219" s="260"/>
      <c r="AA219" s="260"/>
      <c r="AB219" s="260"/>
      <c r="AC219" s="260"/>
      <c r="AD219" s="260"/>
      <c r="AE219" s="260"/>
      <c r="AF219" s="260"/>
      <c r="AG219" s="260"/>
      <c r="AH219" s="260"/>
    </row>
    <row r="220" spans="1:34" s="314" customFormat="1" ht="19.899999999999999" hidden="1" customHeight="1" outlineLevel="3" x14ac:dyDescent="0.35">
      <c r="A220" s="169"/>
      <c r="B220" s="318"/>
      <c r="C220" s="322"/>
      <c r="D220" s="993"/>
      <c r="E220" s="994"/>
      <c r="F220" s="322"/>
      <c r="G220" s="997" t="str">
        <f t="shared" si="4"/>
        <v/>
      </c>
      <c r="H220" s="260"/>
      <c r="I220" s="260"/>
      <c r="J220" s="260"/>
      <c r="K220" s="260"/>
      <c r="L220" s="260"/>
      <c r="M220" s="260"/>
      <c r="N220" s="260"/>
      <c r="O220" s="260"/>
      <c r="P220" s="260"/>
      <c r="Q220" s="260"/>
      <c r="R220" s="260"/>
      <c r="S220" s="260"/>
      <c r="T220" s="260"/>
      <c r="U220" s="260"/>
      <c r="V220" s="260"/>
      <c r="W220" s="260"/>
      <c r="X220" s="260"/>
      <c r="Y220" s="260"/>
      <c r="Z220" s="260"/>
      <c r="AA220" s="260"/>
      <c r="AB220" s="260"/>
      <c r="AC220" s="260"/>
      <c r="AD220" s="260"/>
      <c r="AE220" s="260"/>
      <c r="AF220" s="260"/>
      <c r="AG220" s="260"/>
      <c r="AH220" s="260"/>
    </row>
    <row r="221" spans="1:34" s="314" customFormat="1" ht="19.899999999999999" hidden="1" customHeight="1" outlineLevel="3" x14ac:dyDescent="0.35">
      <c r="A221" s="169"/>
      <c r="B221" s="318"/>
      <c r="C221" s="322"/>
      <c r="D221" s="993"/>
      <c r="E221" s="994"/>
      <c r="F221" s="322"/>
      <c r="G221" s="997" t="str">
        <f t="shared" si="4"/>
        <v/>
      </c>
      <c r="H221" s="260"/>
      <c r="I221" s="260"/>
      <c r="J221" s="260"/>
      <c r="K221" s="260"/>
      <c r="L221" s="260"/>
      <c r="M221" s="260"/>
      <c r="N221" s="260"/>
      <c r="O221" s="260"/>
      <c r="P221" s="260"/>
      <c r="Q221" s="260"/>
      <c r="R221" s="260"/>
      <c r="S221" s="260"/>
      <c r="T221" s="260"/>
      <c r="U221" s="260"/>
      <c r="V221" s="260"/>
      <c r="W221" s="260"/>
      <c r="X221" s="260"/>
      <c r="Y221" s="260"/>
      <c r="Z221" s="260"/>
      <c r="AA221" s="260"/>
      <c r="AB221" s="260"/>
      <c r="AC221" s="260"/>
      <c r="AD221" s="260"/>
      <c r="AE221" s="260"/>
      <c r="AF221" s="260"/>
      <c r="AG221" s="260"/>
      <c r="AH221" s="260"/>
    </row>
    <row r="222" spans="1:34" s="314" customFormat="1" ht="19.899999999999999" hidden="1" customHeight="1" outlineLevel="3" x14ac:dyDescent="0.35">
      <c r="A222" s="169"/>
      <c r="B222" s="318"/>
      <c r="C222" s="322"/>
      <c r="D222" s="993"/>
      <c r="E222" s="994"/>
      <c r="F222" s="322"/>
      <c r="G222" s="997" t="str">
        <f t="shared" si="4"/>
        <v/>
      </c>
      <c r="H222" s="260"/>
      <c r="I222" s="260"/>
      <c r="J222" s="260"/>
      <c r="K222" s="260"/>
      <c r="L222" s="260"/>
      <c r="M222" s="260"/>
      <c r="N222" s="260"/>
      <c r="O222" s="260"/>
      <c r="P222" s="260"/>
      <c r="Q222" s="260"/>
      <c r="R222" s="260"/>
      <c r="S222" s="260"/>
      <c r="T222" s="260"/>
      <c r="U222" s="260"/>
      <c r="V222" s="260"/>
      <c r="W222" s="260"/>
      <c r="X222" s="260"/>
      <c r="Y222" s="260"/>
      <c r="Z222" s="260"/>
      <c r="AA222" s="260"/>
      <c r="AB222" s="260"/>
      <c r="AC222" s="260"/>
      <c r="AD222" s="260"/>
      <c r="AE222" s="260"/>
      <c r="AF222" s="260"/>
      <c r="AG222" s="260"/>
      <c r="AH222" s="260"/>
    </row>
    <row r="223" spans="1:34" s="314" customFormat="1" ht="19.899999999999999" hidden="1" customHeight="1" outlineLevel="3" x14ac:dyDescent="0.35">
      <c r="A223" s="169"/>
      <c r="B223" s="318"/>
      <c r="C223" s="322"/>
      <c r="D223" s="993"/>
      <c r="E223" s="994"/>
      <c r="F223" s="322"/>
      <c r="G223" s="997" t="str">
        <f t="shared" si="4"/>
        <v/>
      </c>
      <c r="H223" s="260"/>
      <c r="I223" s="260"/>
      <c r="J223" s="260"/>
      <c r="K223" s="260"/>
      <c r="L223" s="260"/>
      <c r="M223" s="260"/>
      <c r="N223" s="260"/>
      <c r="O223" s="260"/>
      <c r="P223" s="260"/>
      <c r="Q223" s="260"/>
      <c r="R223" s="260"/>
      <c r="S223" s="260"/>
      <c r="T223" s="260"/>
      <c r="U223" s="260"/>
      <c r="V223" s="260"/>
      <c r="W223" s="260"/>
      <c r="X223" s="260"/>
      <c r="Y223" s="260"/>
      <c r="Z223" s="260"/>
      <c r="AA223" s="260"/>
      <c r="AB223" s="260"/>
      <c r="AC223" s="260"/>
      <c r="AD223" s="260"/>
      <c r="AE223" s="260"/>
      <c r="AF223" s="260"/>
      <c r="AG223" s="260"/>
      <c r="AH223" s="260"/>
    </row>
    <row r="224" spans="1:34" s="314" customFormat="1" ht="19.899999999999999" hidden="1" customHeight="1" outlineLevel="3" x14ac:dyDescent="0.35">
      <c r="A224" s="169"/>
      <c r="B224" s="318"/>
      <c r="C224" s="322"/>
      <c r="D224" s="993"/>
      <c r="E224" s="994"/>
      <c r="F224" s="322"/>
      <c r="G224" s="997" t="str">
        <f t="shared" si="4"/>
        <v/>
      </c>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row>
    <row r="225" spans="1:34" s="314" customFormat="1" ht="19.899999999999999" hidden="1" customHeight="1" outlineLevel="3" x14ac:dyDescent="0.35">
      <c r="A225" s="169"/>
      <c r="B225" s="318"/>
      <c r="C225" s="322"/>
      <c r="D225" s="993"/>
      <c r="E225" s="994"/>
      <c r="F225" s="322"/>
      <c r="G225" s="997" t="str">
        <f t="shared" si="4"/>
        <v/>
      </c>
      <c r="H225" s="260"/>
      <c r="I225" s="260"/>
      <c r="J225" s="260"/>
      <c r="K225" s="260"/>
      <c r="L225" s="260"/>
      <c r="M225" s="260"/>
      <c r="N225" s="260"/>
      <c r="O225" s="260"/>
      <c r="P225" s="260"/>
      <c r="Q225" s="260"/>
      <c r="R225" s="260"/>
      <c r="S225" s="260"/>
      <c r="T225" s="260"/>
      <c r="U225" s="260"/>
      <c r="V225" s="260"/>
      <c r="W225" s="260"/>
      <c r="X225" s="260"/>
      <c r="Y225" s="260"/>
      <c r="Z225" s="260"/>
      <c r="AA225" s="260"/>
      <c r="AB225" s="260"/>
      <c r="AC225" s="260"/>
      <c r="AD225" s="260"/>
      <c r="AE225" s="260"/>
      <c r="AF225" s="260"/>
      <c r="AG225" s="260"/>
      <c r="AH225" s="260"/>
    </row>
    <row r="226" spans="1:34" s="314" customFormat="1" ht="19.899999999999999" hidden="1" customHeight="1" outlineLevel="3" x14ac:dyDescent="0.35">
      <c r="A226" s="169"/>
      <c r="B226" s="318"/>
      <c r="C226" s="322"/>
      <c r="D226" s="993"/>
      <c r="E226" s="994"/>
      <c r="F226" s="322"/>
      <c r="G226" s="997" t="str">
        <f t="shared" si="4"/>
        <v/>
      </c>
      <c r="H226" s="260"/>
      <c r="I226" s="260"/>
      <c r="J226" s="260"/>
      <c r="K226" s="260"/>
      <c r="L226" s="260"/>
      <c r="M226" s="260"/>
      <c r="N226" s="260"/>
      <c r="O226" s="260"/>
      <c r="P226" s="260"/>
      <c r="Q226" s="260"/>
      <c r="R226" s="260"/>
      <c r="S226" s="260"/>
      <c r="T226" s="260"/>
      <c r="U226" s="260"/>
      <c r="V226" s="260"/>
      <c r="W226" s="260"/>
      <c r="X226" s="260"/>
      <c r="Y226" s="260"/>
      <c r="Z226" s="260"/>
      <c r="AA226" s="260"/>
      <c r="AB226" s="260"/>
      <c r="AC226" s="260"/>
      <c r="AD226" s="260"/>
      <c r="AE226" s="260"/>
      <c r="AF226" s="260"/>
      <c r="AG226" s="260"/>
      <c r="AH226" s="260"/>
    </row>
    <row r="227" spans="1:34" s="314" customFormat="1" ht="19.899999999999999" hidden="1" customHeight="1" outlineLevel="3" x14ac:dyDescent="0.35">
      <c r="A227" s="169"/>
      <c r="B227" s="318"/>
      <c r="C227" s="322"/>
      <c r="D227" s="993"/>
      <c r="E227" s="994"/>
      <c r="F227" s="322"/>
      <c r="G227" s="997" t="str">
        <f t="shared" si="4"/>
        <v/>
      </c>
      <c r="H227" s="260"/>
      <c r="I227" s="260"/>
      <c r="J227" s="260"/>
      <c r="K227" s="260"/>
      <c r="L227" s="260"/>
      <c r="M227" s="260"/>
      <c r="N227" s="260"/>
      <c r="O227" s="260"/>
      <c r="P227" s="260"/>
      <c r="Q227" s="260"/>
      <c r="R227" s="260"/>
      <c r="S227" s="260"/>
      <c r="T227" s="260"/>
      <c r="U227" s="260"/>
      <c r="V227" s="260"/>
      <c r="W227" s="260"/>
      <c r="X227" s="260"/>
      <c r="Y227" s="260"/>
      <c r="Z227" s="260"/>
      <c r="AA227" s="260"/>
      <c r="AB227" s="260"/>
      <c r="AC227" s="260"/>
      <c r="AD227" s="260"/>
      <c r="AE227" s="260"/>
      <c r="AF227" s="260"/>
      <c r="AG227" s="260"/>
      <c r="AH227" s="260"/>
    </row>
    <row r="228" spans="1:34" s="314" customFormat="1" ht="19.899999999999999" hidden="1" customHeight="1" outlineLevel="3" x14ac:dyDescent="0.35">
      <c r="A228" s="169"/>
      <c r="B228" s="318"/>
      <c r="C228" s="322"/>
      <c r="D228" s="993"/>
      <c r="E228" s="994"/>
      <c r="F228" s="322"/>
      <c r="G228" s="997" t="str">
        <f t="shared" si="4"/>
        <v/>
      </c>
      <c r="H228" s="260"/>
      <c r="I228" s="260"/>
      <c r="J228" s="260"/>
      <c r="K228" s="260"/>
      <c r="L228" s="260"/>
      <c r="M228" s="260"/>
      <c r="N228" s="260"/>
      <c r="O228" s="260"/>
      <c r="P228" s="260"/>
      <c r="Q228" s="260"/>
      <c r="R228" s="260"/>
      <c r="S228" s="260"/>
      <c r="T228" s="260"/>
      <c r="U228" s="260"/>
      <c r="V228" s="260"/>
      <c r="W228" s="260"/>
      <c r="X228" s="260"/>
      <c r="Y228" s="260"/>
      <c r="Z228" s="260"/>
      <c r="AA228" s="260"/>
      <c r="AB228" s="260"/>
      <c r="AC228" s="260"/>
      <c r="AD228" s="260"/>
      <c r="AE228" s="260"/>
      <c r="AF228" s="260"/>
      <c r="AG228" s="260"/>
      <c r="AH228" s="260"/>
    </row>
    <row r="229" spans="1:34" s="314" customFormat="1" ht="19.899999999999999" hidden="1" customHeight="1" outlineLevel="3" x14ac:dyDescent="0.35">
      <c r="A229" s="169"/>
      <c r="B229" s="318"/>
      <c r="C229" s="322"/>
      <c r="D229" s="993"/>
      <c r="E229" s="994"/>
      <c r="F229" s="322"/>
      <c r="G229" s="997" t="str">
        <f t="shared" si="4"/>
        <v/>
      </c>
      <c r="H229" s="260"/>
      <c r="I229" s="260"/>
      <c r="J229" s="260"/>
      <c r="K229" s="260"/>
      <c r="L229" s="260"/>
      <c r="M229" s="260"/>
      <c r="N229" s="260"/>
      <c r="O229" s="260"/>
      <c r="P229" s="260"/>
      <c r="Q229" s="260"/>
      <c r="R229" s="260"/>
      <c r="S229" s="260"/>
      <c r="T229" s="260"/>
      <c r="U229" s="260"/>
      <c r="V229" s="260"/>
      <c r="W229" s="260"/>
      <c r="X229" s="260"/>
      <c r="Y229" s="260"/>
      <c r="Z229" s="260"/>
      <c r="AA229" s="260"/>
      <c r="AB229" s="260"/>
      <c r="AC229" s="260"/>
      <c r="AD229" s="260"/>
      <c r="AE229" s="260"/>
      <c r="AF229" s="260"/>
      <c r="AG229" s="260"/>
      <c r="AH229" s="260"/>
    </row>
    <row r="230" spans="1:34" s="314" customFormat="1" ht="19.899999999999999" hidden="1" customHeight="1" outlineLevel="3" x14ac:dyDescent="0.35">
      <c r="A230" s="169"/>
      <c r="B230" s="318"/>
      <c r="C230" s="322"/>
      <c r="D230" s="993"/>
      <c r="E230" s="994"/>
      <c r="F230" s="322"/>
      <c r="G230" s="997" t="str">
        <f t="shared" si="4"/>
        <v/>
      </c>
      <c r="H230" s="260"/>
      <c r="I230" s="260"/>
      <c r="J230" s="260"/>
      <c r="K230" s="260"/>
      <c r="L230" s="260"/>
      <c r="M230" s="260"/>
      <c r="N230" s="260"/>
      <c r="O230" s="260"/>
      <c r="P230" s="260"/>
      <c r="Q230" s="260"/>
      <c r="R230" s="260"/>
      <c r="S230" s="260"/>
      <c r="T230" s="260"/>
      <c r="U230" s="260"/>
      <c r="V230" s="260"/>
      <c r="W230" s="260"/>
      <c r="X230" s="260"/>
      <c r="Y230" s="260"/>
      <c r="Z230" s="260"/>
      <c r="AA230" s="260"/>
      <c r="AB230" s="260"/>
      <c r="AC230" s="260"/>
      <c r="AD230" s="260"/>
      <c r="AE230" s="260"/>
      <c r="AF230" s="260"/>
      <c r="AG230" s="260"/>
      <c r="AH230" s="260"/>
    </row>
    <row r="231" spans="1:34" s="314" customFormat="1" ht="19.899999999999999" hidden="1" customHeight="1" outlineLevel="3" x14ac:dyDescent="0.35">
      <c r="A231" s="169"/>
      <c r="B231" s="318"/>
      <c r="C231" s="322"/>
      <c r="D231" s="993"/>
      <c r="E231" s="994"/>
      <c r="F231" s="322"/>
      <c r="G231" s="997" t="str">
        <f t="shared" si="4"/>
        <v/>
      </c>
      <c r="H231" s="260"/>
      <c r="I231" s="260"/>
      <c r="J231" s="260"/>
      <c r="K231" s="260"/>
      <c r="L231" s="260"/>
      <c r="M231" s="260"/>
      <c r="N231" s="260"/>
      <c r="O231" s="260"/>
      <c r="P231" s="260"/>
      <c r="Q231" s="260"/>
      <c r="R231" s="260"/>
      <c r="S231" s="260"/>
      <c r="T231" s="260"/>
      <c r="U231" s="260"/>
      <c r="V231" s="260"/>
      <c r="W231" s="260"/>
      <c r="X231" s="260"/>
      <c r="Y231" s="260"/>
      <c r="Z231" s="260"/>
      <c r="AA231" s="260"/>
      <c r="AB231" s="260"/>
      <c r="AC231" s="260"/>
      <c r="AD231" s="260"/>
      <c r="AE231" s="260"/>
      <c r="AF231" s="260"/>
      <c r="AG231" s="260"/>
      <c r="AH231" s="260"/>
    </row>
    <row r="232" spans="1:34" s="314" customFormat="1" ht="19.899999999999999" hidden="1" customHeight="1" outlineLevel="3" x14ac:dyDescent="0.35">
      <c r="A232" s="169"/>
      <c r="B232" s="318"/>
      <c r="C232" s="322"/>
      <c r="D232" s="993"/>
      <c r="E232" s="994"/>
      <c r="F232" s="322"/>
      <c r="G232" s="997" t="str">
        <f t="shared" si="4"/>
        <v/>
      </c>
      <c r="H232" s="260"/>
      <c r="I232" s="260"/>
      <c r="J232" s="260"/>
      <c r="K232" s="260"/>
      <c r="L232" s="260"/>
      <c r="M232" s="260"/>
      <c r="N232" s="260"/>
      <c r="O232" s="260"/>
      <c r="P232" s="260"/>
      <c r="Q232" s="260"/>
      <c r="R232" s="260"/>
      <c r="S232" s="260"/>
      <c r="T232" s="260"/>
      <c r="U232" s="260"/>
      <c r="V232" s="260"/>
      <c r="W232" s="260"/>
      <c r="X232" s="260"/>
      <c r="Y232" s="260"/>
      <c r="Z232" s="260"/>
      <c r="AA232" s="260"/>
      <c r="AB232" s="260"/>
      <c r="AC232" s="260"/>
      <c r="AD232" s="260"/>
      <c r="AE232" s="260"/>
      <c r="AF232" s="260"/>
      <c r="AG232" s="260"/>
      <c r="AH232" s="260"/>
    </row>
    <row r="233" spans="1:34" s="314" customFormat="1" ht="19.899999999999999" hidden="1" customHeight="1" outlineLevel="3" x14ac:dyDescent="0.35">
      <c r="A233" s="169"/>
      <c r="B233" s="318"/>
      <c r="C233" s="322"/>
      <c r="D233" s="993"/>
      <c r="E233" s="994"/>
      <c r="F233" s="322"/>
      <c r="G233" s="997" t="str">
        <f t="shared" si="4"/>
        <v/>
      </c>
      <c r="H233" s="260"/>
      <c r="I233" s="260"/>
      <c r="J233" s="260"/>
      <c r="K233" s="260"/>
      <c r="L233" s="260"/>
      <c r="M233" s="260"/>
      <c r="N233" s="260"/>
      <c r="O233" s="260"/>
      <c r="P233" s="260"/>
      <c r="Q233" s="260"/>
      <c r="R233" s="260"/>
      <c r="S233" s="260"/>
      <c r="T233" s="260"/>
      <c r="U233" s="260"/>
      <c r="V233" s="260"/>
      <c r="W233" s="260"/>
      <c r="X233" s="260"/>
      <c r="Y233" s="260"/>
      <c r="Z233" s="260"/>
      <c r="AA233" s="260"/>
      <c r="AB233" s="260"/>
      <c r="AC233" s="260"/>
      <c r="AD233" s="260"/>
      <c r="AE233" s="260"/>
      <c r="AF233" s="260"/>
      <c r="AG233" s="260"/>
      <c r="AH233" s="260"/>
    </row>
    <row r="234" spans="1:34" s="314" customFormat="1" ht="19.899999999999999" hidden="1" customHeight="1" outlineLevel="3" x14ac:dyDescent="0.35">
      <c r="A234" s="169"/>
      <c r="B234" s="318"/>
      <c r="C234" s="322"/>
      <c r="D234" s="993"/>
      <c r="E234" s="994"/>
      <c r="F234" s="322"/>
      <c r="G234" s="997" t="str">
        <f t="shared" si="4"/>
        <v/>
      </c>
      <c r="H234" s="260"/>
      <c r="I234" s="260"/>
      <c r="J234" s="260"/>
      <c r="K234" s="260"/>
      <c r="L234" s="260"/>
      <c r="M234" s="260"/>
      <c r="N234" s="260"/>
      <c r="O234" s="260"/>
      <c r="P234" s="260"/>
      <c r="Q234" s="260"/>
      <c r="R234" s="260"/>
      <c r="S234" s="260"/>
      <c r="T234" s="260"/>
      <c r="U234" s="260"/>
      <c r="V234" s="260"/>
      <c r="W234" s="260"/>
      <c r="X234" s="260"/>
      <c r="Y234" s="260"/>
      <c r="Z234" s="260"/>
      <c r="AA234" s="260"/>
      <c r="AB234" s="260"/>
      <c r="AC234" s="260"/>
      <c r="AD234" s="260"/>
      <c r="AE234" s="260"/>
      <c r="AF234" s="260"/>
      <c r="AG234" s="260"/>
      <c r="AH234" s="260"/>
    </row>
    <row r="235" spans="1:34" s="314" customFormat="1" ht="19.899999999999999" hidden="1" customHeight="1" outlineLevel="3" x14ac:dyDescent="0.35">
      <c r="A235" s="169"/>
      <c r="B235" s="318"/>
      <c r="C235" s="322"/>
      <c r="D235" s="993"/>
      <c r="E235" s="994"/>
      <c r="F235" s="322"/>
      <c r="G235" s="997" t="str">
        <f t="shared" si="4"/>
        <v/>
      </c>
      <c r="H235" s="260"/>
      <c r="I235" s="260"/>
      <c r="J235" s="260"/>
      <c r="K235" s="260"/>
      <c r="L235" s="260"/>
      <c r="M235" s="260"/>
      <c r="N235" s="260"/>
      <c r="O235" s="260"/>
      <c r="P235" s="260"/>
      <c r="Q235" s="260"/>
      <c r="R235" s="260"/>
      <c r="S235" s="260"/>
      <c r="T235" s="260"/>
      <c r="U235" s="260"/>
      <c r="V235" s="260"/>
      <c r="W235" s="260"/>
      <c r="X235" s="260"/>
      <c r="Y235" s="260"/>
      <c r="Z235" s="260"/>
      <c r="AA235" s="260"/>
      <c r="AB235" s="260"/>
      <c r="AC235" s="260"/>
      <c r="AD235" s="260"/>
      <c r="AE235" s="260"/>
      <c r="AF235" s="260"/>
      <c r="AG235" s="260"/>
      <c r="AH235" s="260"/>
    </row>
    <row r="236" spans="1:34" s="314" customFormat="1" ht="19.899999999999999" hidden="1" customHeight="1" outlineLevel="3" x14ac:dyDescent="0.35">
      <c r="A236" s="169"/>
      <c r="B236" s="318"/>
      <c r="C236" s="322"/>
      <c r="D236" s="993"/>
      <c r="E236" s="994"/>
      <c r="F236" s="322"/>
      <c r="G236" s="997" t="str">
        <f t="shared" si="4"/>
        <v/>
      </c>
      <c r="H236" s="260"/>
      <c r="I236" s="260"/>
      <c r="J236" s="260"/>
      <c r="K236" s="260"/>
      <c r="L236" s="260"/>
      <c r="M236" s="260"/>
      <c r="N236" s="260"/>
      <c r="O236" s="260"/>
      <c r="P236" s="260"/>
      <c r="Q236" s="260"/>
      <c r="R236" s="260"/>
      <c r="S236" s="260"/>
      <c r="T236" s="260"/>
      <c r="U236" s="260"/>
      <c r="V236" s="260"/>
      <c r="W236" s="260"/>
      <c r="X236" s="260"/>
      <c r="Y236" s="260"/>
      <c r="Z236" s="260"/>
      <c r="AA236" s="260"/>
      <c r="AB236" s="260"/>
      <c r="AC236" s="260"/>
      <c r="AD236" s="260"/>
      <c r="AE236" s="260"/>
      <c r="AF236" s="260"/>
      <c r="AG236" s="260"/>
      <c r="AH236" s="260"/>
    </row>
    <row r="237" spans="1:34" s="314" customFormat="1" ht="19.899999999999999" hidden="1" customHeight="1" outlineLevel="3" x14ac:dyDescent="0.35">
      <c r="A237" s="169"/>
      <c r="B237" s="318"/>
      <c r="C237" s="322"/>
      <c r="D237" s="993"/>
      <c r="E237" s="994"/>
      <c r="F237" s="322"/>
      <c r="G237" s="997" t="str">
        <f t="shared" si="4"/>
        <v/>
      </c>
      <c r="H237" s="260"/>
      <c r="I237" s="260"/>
      <c r="J237" s="260"/>
      <c r="K237" s="260"/>
      <c r="L237" s="260"/>
      <c r="M237" s="260"/>
      <c r="N237" s="260"/>
      <c r="O237" s="260"/>
      <c r="P237" s="260"/>
      <c r="Q237" s="260"/>
      <c r="R237" s="260"/>
      <c r="S237" s="260"/>
      <c r="T237" s="260"/>
      <c r="U237" s="260"/>
      <c r="V237" s="260"/>
      <c r="W237" s="260"/>
      <c r="X237" s="260"/>
      <c r="Y237" s="260"/>
      <c r="Z237" s="260"/>
      <c r="AA237" s="260"/>
      <c r="AB237" s="260"/>
      <c r="AC237" s="260"/>
      <c r="AD237" s="260"/>
      <c r="AE237" s="260"/>
      <c r="AF237" s="260"/>
      <c r="AG237" s="260"/>
      <c r="AH237" s="260"/>
    </row>
    <row r="238" spans="1:34" s="314" customFormat="1" ht="19.899999999999999" hidden="1" customHeight="1" outlineLevel="3" x14ac:dyDescent="0.35">
      <c r="A238" s="169"/>
      <c r="B238" s="318"/>
      <c r="C238" s="322"/>
      <c r="D238" s="993"/>
      <c r="E238" s="994"/>
      <c r="F238" s="322"/>
      <c r="G238" s="997" t="str">
        <f t="shared" si="4"/>
        <v/>
      </c>
      <c r="H238" s="260"/>
      <c r="I238" s="260"/>
      <c r="J238" s="260"/>
      <c r="K238" s="260"/>
      <c r="L238" s="260"/>
      <c r="M238" s="260"/>
      <c r="N238" s="260"/>
      <c r="O238" s="260"/>
      <c r="P238" s="260"/>
      <c r="Q238" s="260"/>
      <c r="R238" s="260"/>
      <c r="S238" s="260"/>
      <c r="T238" s="260"/>
      <c r="U238" s="260"/>
      <c r="V238" s="260"/>
      <c r="W238" s="260"/>
      <c r="X238" s="260"/>
      <c r="Y238" s="260"/>
      <c r="Z238" s="260"/>
      <c r="AA238" s="260"/>
      <c r="AB238" s="260"/>
      <c r="AC238" s="260"/>
      <c r="AD238" s="260"/>
      <c r="AE238" s="260"/>
      <c r="AF238" s="260"/>
      <c r="AG238" s="260"/>
      <c r="AH238" s="260"/>
    </row>
    <row r="239" spans="1:34" s="314" customFormat="1" ht="19.899999999999999" hidden="1" customHeight="1" outlineLevel="3" x14ac:dyDescent="0.35">
      <c r="A239" s="169"/>
      <c r="B239" s="318"/>
      <c r="C239" s="322"/>
      <c r="D239" s="993"/>
      <c r="E239" s="994"/>
      <c r="F239" s="322"/>
      <c r="G239" s="997" t="str">
        <f t="shared" si="4"/>
        <v/>
      </c>
      <c r="H239" s="260"/>
      <c r="I239" s="260"/>
      <c r="J239" s="260"/>
      <c r="K239" s="260"/>
      <c r="L239" s="260"/>
      <c r="M239" s="260"/>
      <c r="N239" s="260"/>
      <c r="O239" s="260"/>
      <c r="P239" s="260"/>
      <c r="Q239" s="260"/>
      <c r="R239" s="260"/>
      <c r="S239" s="260"/>
      <c r="T239" s="260"/>
      <c r="U239" s="260"/>
      <c r="V239" s="260"/>
      <c r="W239" s="260"/>
      <c r="X239" s="260"/>
      <c r="Y239" s="260"/>
      <c r="Z239" s="260"/>
      <c r="AA239" s="260"/>
      <c r="AB239" s="260"/>
      <c r="AC239" s="260"/>
      <c r="AD239" s="260"/>
      <c r="AE239" s="260"/>
      <c r="AF239" s="260"/>
      <c r="AG239" s="260"/>
      <c r="AH239" s="260"/>
    </row>
    <row r="240" spans="1:34" s="314" customFormat="1" ht="19.899999999999999" hidden="1" customHeight="1" outlineLevel="3" x14ac:dyDescent="0.35">
      <c r="A240" s="169"/>
      <c r="B240" s="318"/>
      <c r="C240" s="322"/>
      <c r="D240" s="993"/>
      <c r="E240" s="994"/>
      <c r="F240" s="322"/>
      <c r="G240" s="997" t="str">
        <f t="shared" si="4"/>
        <v/>
      </c>
      <c r="H240" s="260"/>
      <c r="I240" s="260"/>
      <c r="J240" s="260"/>
      <c r="K240" s="260"/>
      <c r="L240" s="260"/>
      <c r="M240" s="260"/>
      <c r="N240" s="260"/>
      <c r="O240" s="260"/>
      <c r="P240" s="260"/>
      <c r="Q240" s="260"/>
      <c r="R240" s="260"/>
      <c r="S240" s="260"/>
      <c r="T240" s="260"/>
      <c r="U240" s="260"/>
      <c r="V240" s="260"/>
      <c r="W240" s="260"/>
      <c r="X240" s="260"/>
      <c r="Y240" s="260"/>
      <c r="Z240" s="260"/>
      <c r="AA240" s="260"/>
      <c r="AB240" s="260"/>
      <c r="AC240" s="260"/>
      <c r="AD240" s="260"/>
      <c r="AE240" s="260"/>
      <c r="AF240" s="260"/>
      <c r="AG240" s="260"/>
      <c r="AH240" s="260"/>
    </row>
    <row r="241" spans="1:34" s="314" customFormat="1" ht="19.899999999999999" hidden="1" customHeight="1" outlineLevel="3" x14ac:dyDescent="0.35">
      <c r="A241" s="169"/>
      <c r="B241" s="318"/>
      <c r="C241" s="322"/>
      <c r="D241" s="993"/>
      <c r="E241" s="994"/>
      <c r="F241" s="322"/>
      <c r="G241" s="997" t="str">
        <f t="shared" si="4"/>
        <v/>
      </c>
      <c r="H241" s="260"/>
      <c r="I241" s="260"/>
      <c r="J241" s="260"/>
      <c r="K241" s="260"/>
      <c r="L241" s="260"/>
      <c r="M241" s="260"/>
      <c r="N241" s="260"/>
      <c r="O241" s="260"/>
      <c r="P241" s="260"/>
      <c r="Q241" s="260"/>
      <c r="R241" s="260"/>
      <c r="S241" s="260"/>
      <c r="T241" s="260"/>
      <c r="U241" s="260"/>
      <c r="V241" s="260"/>
      <c r="W241" s="260"/>
      <c r="X241" s="260"/>
      <c r="Y241" s="260"/>
      <c r="Z241" s="260"/>
      <c r="AA241" s="260"/>
      <c r="AB241" s="260"/>
      <c r="AC241" s="260"/>
      <c r="AD241" s="260"/>
      <c r="AE241" s="260"/>
      <c r="AF241" s="260"/>
      <c r="AG241" s="260"/>
      <c r="AH241" s="260"/>
    </row>
    <row r="242" spans="1:34" s="314" customFormat="1" ht="19.899999999999999" hidden="1" customHeight="1" outlineLevel="3" x14ac:dyDescent="0.35">
      <c r="A242" s="169"/>
      <c r="B242" s="318"/>
      <c r="C242" s="322"/>
      <c r="D242" s="993"/>
      <c r="E242" s="994"/>
      <c r="F242" s="322"/>
      <c r="G242" s="997" t="str">
        <f t="shared" si="4"/>
        <v/>
      </c>
      <c r="H242" s="260"/>
      <c r="I242" s="260"/>
      <c r="J242" s="260"/>
      <c r="K242" s="260"/>
      <c r="L242" s="260"/>
      <c r="M242" s="260"/>
      <c r="N242" s="260"/>
      <c r="O242" s="260"/>
      <c r="P242" s="260"/>
      <c r="Q242" s="260"/>
      <c r="R242" s="260"/>
      <c r="S242" s="260"/>
      <c r="T242" s="260"/>
      <c r="U242" s="260"/>
      <c r="V242" s="260"/>
      <c r="W242" s="260"/>
      <c r="X242" s="260"/>
      <c r="Y242" s="260"/>
      <c r="Z242" s="260"/>
      <c r="AA242" s="260"/>
      <c r="AB242" s="260"/>
      <c r="AC242" s="260"/>
      <c r="AD242" s="260"/>
      <c r="AE242" s="260"/>
      <c r="AF242" s="260"/>
      <c r="AG242" s="260"/>
      <c r="AH242" s="260"/>
    </row>
    <row r="243" spans="1:34" s="314" customFormat="1" ht="19.899999999999999" hidden="1" customHeight="1" outlineLevel="3" x14ac:dyDescent="0.35">
      <c r="A243" s="169"/>
      <c r="B243" s="318"/>
      <c r="C243" s="322"/>
      <c r="D243" s="993"/>
      <c r="E243" s="994"/>
      <c r="F243" s="322"/>
      <c r="G243" s="997" t="str">
        <f t="shared" si="4"/>
        <v/>
      </c>
      <c r="H243" s="260"/>
      <c r="I243" s="260"/>
      <c r="J243" s="260"/>
      <c r="K243" s="260"/>
      <c r="L243" s="260"/>
      <c r="M243" s="260"/>
      <c r="N243" s="260"/>
      <c r="O243" s="260"/>
      <c r="P243" s="260"/>
      <c r="Q243" s="260"/>
      <c r="R243" s="260"/>
      <c r="S243" s="260"/>
      <c r="T243" s="260"/>
      <c r="U243" s="260"/>
      <c r="V243" s="260"/>
      <c r="W243" s="260"/>
      <c r="X243" s="260"/>
      <c r="Y243" s="260"/>
      <c r="Z243" s="260"/>
      <c r="AA243" s="260"/>
      <c r="AB243" s="260"/>
      <c r="AC243" s="260"/>
      <c r="AD243" s="260"/>
      <c r="AE243" s="260"/>
      <c r="AF243" s="260"/>
      <c r="AG243" s="260"/>
      <c r="AH243" s="260"/>
    </row>
    <row r="244" spans="1:34" s="314" customFormat="1" ht="19.899999999999999" hidden="1" customHeight="1" outlineLevel="3" x14ac:dyDescent="0.35">
      <c r="A244" s="169"/>
      <c r="B244" s="318"/>
      <c r="C244" s="322"/>
      <c r="D244" s="993"/>
      <c r="E244" s="994"/>
      <c r="F244" s="322"/>
      <c r="G244" s="997" t="str">
        <f t="shared" si="4"/>
        <v/>
      </c>
      <c r="H244" s="260"/>
      <c r="I244" s="260"/>
      <c r="J244" s="260"/>
      <c r="K244" s="260"/>
      <c r="L244" s="260"/>
      <c r="M244" s="260"/>
      <c r="N244" s="260"/>
      <c r="O244" s="260"/>
      <c r="P244" s="260"/>
      <c r="Q244" s="260"/>
      <c r="R244" s="260"/>
      <c r="S244" s="260"/>
      <c r="T244" s="260"/>
      <c r="U244" s="260"/>
      <c r="V244" s="260"/>
      <c r="W244" s="260"/>
      <c r="X244" s="260"/>
      <c r="Y244" s="260"/>
      <c r="Z244" s="260"/>
      <c r="AA244" s="260"/>
      <c r="AB244" s="260"/>
      <c r="AC244" s="260"/>
      <c r="AD244" s="260"/>
      <c r="AE244" s="260"/>
      <c r="AF244" s="260"/>
      <c r="AG244" s="260"/>
      <c r="AH244" s="260"/>
    </row>
    <row r="245" spans="1:34" s="314" customFormat="1" ht="19.899999999999999" hidden="1" customHeight="1" outlineLevel="3" x14ac:dyDescent="0.35">
      <c r="A245" s="169"/>
      <c r="B245" s="318"/>
      <c r="C245" s="322"/>
      <c r="D245" s="993"/>
      <c r="E245" s="994"/>
      <c r="F245" s="322"/>
      <c r="G245" s="997" t="str">
        <f t="shared" si="4"/>
        <v/>
      </c>
      <c r="H245" s="260"/>
      <c r="I245" s="260"/>
      <c r="J245" s="260"/>
      <c r="K245" s="260"/>
      <c r="L245" s="260"/>
      <c r="M245" s="260"/>
      <c r="N245" s="260"/>
      <c r="O245" s="260"/>
      <c r="P245" s="260"/>
      <c r="Q245" s="260"/>
      <c r="R245" s="260"/>
      <c r="S245" s="260"/>
      <c r="T245" s="260"/>
      <c r="U245" s="260"/>
      <c r="V245" s="260"/>
      <c r="W245" s="260"/>
      <c r="X245" s="260"/>
      <c r="Y245" s="260"/>
      <c r="Z245" s="260"/>
      <c r="AA245" s="260"/>
      <c r="AB245" s="260"/>
      <c r="AC245" s="260"/>
      <c r="AD245" s="260"/>
      <c r="AE245" s="260"/>
      <c r="AF245" s="260"/>
      <c r="AG245" s="260"/>
      <c r="AH245" s="260"/>
    </row>
    <row r="246" spans="1:34" s="314" customFormat="1" ht="19.899999999999999" hidden="1" customHeight="1" outlineLevel="3" x14ac:dyDescent="0.35">
      <c r="A246" s="169"/>
      <c r="B246" s="318"/>
      <c r="C246" s="322"/>
      <c r="D246" s="993"/>
      <c r="E246" s="994"/>
      <c r="F246" s="322"/>
      <c r="G246" s="997" t="str">
        <f t="shared" si="4"/>
        <v/>
      </c>
      <c r="H246" s="260"/>
      <c r="I246" s="260"/>
      <c r="J246" s="260"/>
      <c r="K246" s="260"/>
      <c r="L246" s="260"/>
      <c r="M246" s="260"/>
      <c r="N246" s="260"/>
      <c r="O246" s="260"/>
      <c r="P246" s="260"/>
      <c r="Q246" s="260"/>
      <c r="R246" s="260"/>
      <c r="S246" s="260"/>
      <c r="T246" s="260"/>
      <c r="U246" s="260"/>
      <c r="V246" s="260"/>
      <c r="W246" s="260"/>
      <c r="X246" s="260"/>
      <c r="Y246" s="260"/>
      <c r="Z246" s="260"/>
      <c r="AA246" s="260"/>
      <c r="AB246" s="260"/>
      <c r="AC246" s="260"/>
      <c r="AD246" s="260"/>
      <c r="AE246" s="260"/>
      <c r="AF246" s="260"/>
      <c r="AG246" s="260"/>
      <c r="AH246" s="260"/>
    </row>
    <row r="247" spans="1:34" s="314" customFormat="1" ht="19.899999999999999" hidden="1" customHeight="1" outlineLevel="3" x14ac:dyDescent="0.35">
      <c r="A247" s="169"/>
      <c r="B247" s="318"/>
      <c r="C247" s="322"/>
      <c r="D247" s="993"/>
      <c r="E247" s="994"/>
      <c r="F247" s="322"/>
      <c r="G247" s="997" t="str">
        <f t="shared" si="4"/>
        <v/>
      </c>
      <c r="H247" s="260"/>
      <c r="I247" s="260"/>
      <c r="J247" s="260"/>
      <c r="K247" s="260"/>
      <c r="L247" s="260"/>
      <c r="M247" s="260"/>
      <c r="N247" s="260"/>
      <c r="O247" s="260"/>
      <c r="P247" s="260"/>
      <c r="Q247" s="260"/>
      <c r="R247" s="260"/>
      <c r="S247" s="260"/>
      <c r="T247" s="260"/>
      <c r="U247" s="260"/>
      <c r="V247" s="260"/>
      <c r="W247" s="260"/>
      <c r="X247" s="260"/>
      <c r="Y247" s="260"/>
      <c r="Z247" s="260"/>
      <c r="AA247" s="260"/>
      <c r="AB247" s="260"/>
      <c r="AC247" s="260"/>
      <c r="AD247" s="260"/>
      <c r="AE247" s="260"/>
      <c r="AF247" s="260"/>
      <c r="AG247" s="260"/>
      <c r="AH247" s="260"/>
    </row>
    <row r="248" spans="1:34" s="314" customFormat="1" ht="19.899999999999999" hidden="1" customHeight="1" outlineLevel="3" x14ac:dyDescent="0.35">
      <c r="A248" s="169"/>
      <c r="B248" s="318"/>
      <c r="C248" s="322"/>
      <c r="D248" s="993"/>
      <c r="E248" s="994"/>
      <c r="F248" s="322"/>
      <c r="G248" s="997" t="str">
        <f t="shared" si="4"/>
        <v/>
      </c>
      <c r="H248" s="260"/>
      <c r="I248" s="260"/>
      <c r="J248" s="260"/>
      <c r="K248" s="260"/>
      <c r="L248" s="260"/>
      <c r="M248" s="260"/>
      <c r="N248" s="260"/>
      <c r="O248" s="260"/>
      <c r="P248" s="260"/>
      <c r="Q248" s="260"/>
      <c r="R248" s="260"/>
      <c r="S248" s="260"/>
      <c r="T248" s="260"/>
      <c r="U248" s="260"/>
      <c r="V248" s="260"/>
      <c r="W248" s="260"/>
      <c r="X248" s="260"/>
      <c r="Y248" s="260"/>
      <c r="Z248" s="260"/>
      <c r="AA248" s="260"/>
      <c r="AB248" s="260"/>
      <c r="AC248" s="260"/>
      <c r="AD248" s="260"/>
      <c r="AE248" s="260"/>
      <c r="AF248" s="260"/>
      <c r="AG248" s="260"/>
      <c r="AH248" s="260"/>
    </row>
    <row r="249" spans="1:34" s="314" customFormat="1" ht="19.899999999999999" hidden="1" customHeight="1" outlineLevel="3" x14ac:dyDescent="0.35">
      <c r="A249" s="169"/>
      <c r="B249" s="318"/>
      <c r="C249" s="322"/>
      <c r="D249" s="993"/>
      <c r="E249" s="994"/>
      <c r="F249" s="322"/>
      <c r="G249" s="997" t="str">
        <f t="shared" si="4"/>
        <v/>
      </c>
      <c r="H249" s="260"/>
      <c r="I249" s="260"/>
      <c r="J249" s="260"/>
      <c r="K249" s="260"/>
      <c r="L249" s="260"/>
      <c r="M249" s="260"/>
      <c r="N249" s="260"/>
      <c r="O249" s="260"/>
      <c r="P249" s="260"/>
      <c r="Q249" s="260"/>
      <c r="R249" s="260"/>
      <c r="S249" s="260"/>
      <c r="T249" s="260"/>
      <c r="U249" s="260"/>
      <c r="V249" s="260"/>
      <c r="W249" s="260"/>
      <c r="X249" s="260"/>
      <c r="Y249" s="260"/>
      <c r="Z249" s="260"/>
      <c r="AA249" s="260"/>
      <c r="AB249" s="260"/>
      <c r="AC249" s="260"/>
      <c r="AD249" s="260"/>
      <c r="AE249" s="260"/>
      <c r="AF249" s="260"/>
      <c r="AG249" s="260"/>
      <c r="AH249" s="260"/>
    </row>
    <row r="250" spans="1:34" s="314" customFormat="1" ht="19.899999999999999" hidden="1" customHeight="1" outlineLevel="3" x14ac:dyDescent="0.35">
      <c r="A250" s="169"/>
      <c r="B250" s="318"/>
      <c r="C250" s="322"/>
      <c r="D250" s="993"/>
      <c r="E250" s="994"/>
      <c r="F250" s="322"/>
      <c r="G250" s="997" t="str">
        <f t="shared" si="4"/>
        <v/>
      </c>
      <c r="H250" s="260"/>
      <c r="I250" s="260"/>
      <c r="J250" s="260"/>
      <c r="K250" s="260"/>
      <c r="L250" s="260"/>
      <c r="M250" s="260"/>
      <c r="N250" s="260"/>
      <c r="O250" s="260"/>
      <c r="P250" s="260"/>
      <c r="Q250" s="260"/>
      <c r="R250" s="260"/>
      <c r="S250" s="260"/>
      <c r="T250" s="260"/>
      <c r="U250" s="260"/>
      <c r="V250" s="260"/>
      <c r="W250" s="260"/>
      <c r="X250" s="260"/>
      <c r="Y250" s="260"/>
      <c r="Z250" s="260"/>
      <c r="AA250" s="260"/>
      <c r="AB250" s="260"/>
      <c r="AC250" s="260"/>
      <c r="AD250" s="260"/>
      <c r="AE250" s="260"/>
      <c r="AF250" s="260"/>
      <c r="AG250" s="260"/>
      <c r="AH250" s="260"/>
    </row>
    <row r="251" spans="1:34" s="314" customFormat="1" ht="19.899999999999999" customHeight="1" outlineLevel="2" collapsed="1" x14ac:dyDescent="0.35">
      <c r="A251" s="169"/>
      <c r="B251" s="323" t="s">
        <v>40</v>
      </c>
      <c r="C251" s="324"/>
      <c r="D251" s="991">
        <f>SUM(D151:D250)</f>
        <v>0</v>
      </c>
      <c r="E251" s="995"/>
      <c r="F251" s="325"/>
      <c r="G251" s="991">
        <f>SUM(G151:G250)</f>
        <v>0</v>
      </c>
      <c r="H251" s="260"/>
      <c r="I251" s="260"/>
      <c r="J251" s="260"/>
      <c r="K251" s="260"/>
      <c r="L251" s="260"/>
      <c r="M251" s="260"/>
      <c r="N251" s="260"/>
      <c r="O251" s="260"/>
      <c r="P251" s="260"/>
      <c r="Q251" s="260"/>
      <c r="R251" s="260"/>
      <c r="S251" s="260"/>
      <c r="T251" s="260"/>
      <c r="U251" s="260"/>
      <c r="V251" s="260"/>
      <c r="W251" s="260"/>
      <c r="X251" s="260"/>
      <c r="Y251" s="260"/>
      <c r="Z251" s="260"/>
      <c r="AA251" s="260"/>
      <c r="AB251" s="260"/>
      <c r="AC251" s="260"/>
      <c r="AD251" s="260"/>
      <c r="AE251" s="260"/>
      <c r="AF251" s="260"/>
      <c r="AG251" s="260"/>
      <c r="AH251" s="260"/>
    </row>
    <row r="252" spans="1:34" x14ac:dyDescent="0.35">
      <c r="B252" s="169" t="s">
        <v>995</v>
      </c>
    </row>
    <row r="253" spans="1:34" x14ac:dyDescent="0.35"/>
    <row r="254" spans="1:34" s="538" customFormat="1" ht="30" customHeight="1" x14ac:dyDescent="0.35">
      <c r="B254" s="296" t="s">
        <v>671</v>
      </c>
    </row>
    <row r="255" spans="1:34" x14ac:dyDescent="0.35"/>
    <row r="256" spans="1:34" x14ac:dyDescent="0.35"/>
    <row r="257" spans="2:10" ht="21.4" customHeight="1" x14ac:dyDescent="0.35">
      <c r="B257" s="1267"/>
      <c r="C257" s="1267"/>
      <c r="D257" s="1267"/>
      <c r="E257" s="1266" t="s">
        <v>1086</v>
      </c>
      <c r="F257" s="1266"/>
      <c r="G257" s="1050"/>
      <c r="I257" s="205"/>
      <c r="J257" s="205"/>
    </row>
    <row r="258" spans="2:10" ht="21.4" customHeight="1" x14ac:dyDescent="0.35">
      <c r="B258" s="1267"/>
      <c r="C258" s="1267"/>
      <c r="D258" s="1267"/>
      <c r="E258" s="282" t="str">
        <f>FAEE!B14</f>
        <v>Construção ou fase preparatória</v>
      </c>
      <c r="F258" s="283" t="str">
        <f>FAEE!B15</f>
        <v>Exploração</v>
      </c>
      <c r="G258" s="326" t="str">
        <f>FAEE!B16</f>
        <v>Desativação</v>
      </c>
      <c r="I258" s="327"/>
      <c r="J258" s="327"/>
    </row>
    <row r="259" spans="2:10" x14ac:dyDescent="0.35">
      <c r="B259" s="1130" t="s">
        <v>1495</v>
      </c>
      <c r="C259" s="1130"/>
      <c r="D259" s="1130"/>
      <c r="E259" s="832">
        <f>E260+E262</f>
        <v>0</v>
      </c>
      <c r="F259" s="832">
        <f>F260+F262</f>
        <v>0</v>
      </c>
      <c r="G259" s="832">
        <f t="shared" ref="G259" si="5">G260+G262</f>
        <v>0</v>
      </c>
      <c r="I259" s="171"/>
      <c r="J259" s="171"/>
    </row>
    <row r="260" spans="2:10" x14ac:dyDescent="0.35">
      <c r="B260" s="1263" t="s">
        <v>1179</v>
      </c>
      <c r="C260" s="1264"/>
      <c r="D260" s="1264"/>
      <c r="E260" s="806">
        <f>SUMIF($B$33:$B$132,E$258,$F$33:$F$132)+E261</f>
        <v>0</v>
      </c>
      <c r="F260" s="806">
        <f t="shared" ref="F260:G260" si="6">SUMIF($B$33:$B$132,F$258,$F$33:$F$132)+F261</f>
        <v>0</v>
      </c>
      <c r="G260" s="806">
        <f t="shared" si="6"/>
        <v>0</v>
      </c>
      <c r="I260" s="328"/>
      <c r="J260" s="328"/>
    </row>
    <row r="261" spans="2:10" s="248" customFormat="1" x14ac:dyDescent="0.35">
      <c r="B261" s="1115" t="s">
        <v>1181</v>
      </c>
      <c r="C261" s="1116"/>
      <c r="D261" s="1116"/>
      <c r="E261" s="808">
        <f>'Combustão Móvel'!E561</f>
        <v>0</v>
      </c>
      <c r="F261" s="808">
        <f>'Combustão Móvel'!F561</f>
        <v>0</v>
      </c>
      <c r="G261" s="808">
        <f>'Combustão Móvel'!G561</f>
        <v>0</v>
      </c>
    </row>
    <row r="262" spans="2:10" x14ac:dyDescent="0.35">
      <c r="B262" s="1259" t="s">
        <v>1178</v>
      </c>
      <c r="C262" s="1260"/>
      <c r="D262" s="1260"/>
      <c r="E262" s="806">
        <f>SUMIF($B$151:$B$250,E$258,$G$151:$G$250)</f>
        <v>0</v>
      </c>
      <c r="F262" s="806">
        <f t="shared" ref="F262:G262" si="7">SUMIF($B$151:$B$250,F$258,$G$151:$G$250)</f>
        <v>0</v>
      </c>
      <c r="G262" s="806">
        <f t="shared" si="7"/>
        <v>0</v>
      </c>
    </row>
    <row r="263" spans="2:10" x14ac:dyDescent="0.35">
      <c r="B263" s="210"/>
      <c r="C263" s="210"/>
      <c r="D263" s="210"/>
      <c r="E263" s="334"/>
      <c r="F263" s="334"/>
      <c r="G263" s="334"/>
    </row>
    <row r="264" spans="2:10" ht="17.5" x14ac:dyDescent="0.35">
      <c r="E264" s="1218" t="s">
        <v>1177</v>
      </c>
      <c r="F264" s="1099"/>
      <c r="G264" s="1099"/>
      <c r="H264" s="1099"/>
    </row>
    <row r="265" spans="2:10" x14ac:dyDescent="0.35">
      <c r="E265" s="282" t="str">
        <f>E258</f>
        <v>Construção ou fase preparatória</v>
      </c>
      <c r="F265" s="283" t="s">
        <v>36</v>
      </c>
      <c r="G265" s="326" t="s">
        <v>255</v>
      </c>
      <c r="H265" s="329" t="s">
        <v>40</v>
      </c>
    </row>
    <row r="266" spans="2:10" x14ac:dyDescent="0.35">
      <c r="B266" s="1130" t="str">
        <f>B259</f>
        <v xml:space="preserve">Emissões de GEE elétricas e térmicas adquiridas </v>
      </c>
      <c r="C266" s="1130"/>
      <c r="D266" s="1130"/>
      <c r="E266" s="832">
        <f>E267+E269</f>
        <v>0</v>
      </c>
      <c r="F266" s="832">
        <f t="shared" ref="F266:G266" si="8">F267+F269</f>
        <v>0</v>
      </c>
      <c r="G266" s="832">
        <f t="shared" si="8"/>
        <v>0</v>
      </c>
      <c r="H266" s="833">
        <f>SUM(E266:G266)</f>
        <v>0</v>
      </c>
    </row>
    <row r="267" spans="2:10" x14ac:dyDescent="0.35">
      <c r="B267" s="1130" t="str">
        <f t="shared" ref="B267:B269" si="9">B260</f>
        <v>Emissões de eletricidade adquirida</v>
      </c>
      <c r="C267" s="1130"/>
      <c r="D267" s="1130"/>
      <c r="E267" s="806">
        <f>IF(VLOOKUP(E$265,'Dados gerais'!$D$33:$F$35,3,FALSE)="",VLOOKUP('Energia Elétrica e térmica'!E$265,'Fatores de Emissão'!$B$12:$E$14,3,FALSE)*E260,VLOOKUP(E$265,'Dados gerais'!$D$33:$F$35,3,FALSE)*E260)</f>
        <v>0</v>
      </c>
      <c r="F267" s="806">
        <f>IF(VLOOKUP(F$265,'Dados gerais'!$D$33:$F$35,3,FALSE)="",VLOOKUP('Energia Elétrica e térmica'!F$265,'Fatores de Emissão'!$B$12:$E$14,3,FALSE)*F260,VLOOKUP(F$265,'Dados gerais'!$D$33:$F$35,3,FALSE)*F260)</f>
        <v>0</v>
      </c>
      <c r="G267" s="806">
        <f>IF(VLOOKUP(G$265,'Dados gerais'!$D$33:$F$35,3,FALSE)="",VLOOKUP('Energia Elétrica e térmica'!G$265,'Fatores de Emissão'!$B$12:$E$14,3,FALSE)*G260,VLOOKUP(G$265,'Dados gerais'!$D$33:$F$35,3,FALSE)*G260)</f>
        <v>0</v>
      </c>
      <c r="H267" s="834">
        <f t="shared" ref="H267:H269" si="10">SUM(E267:G267)</f>
        <v>0</v>
      </c>
    </row>
    <row r="268" spans="2:10" s="248" customFormat="1" x14ac:dyDescent="0.35">
      <c r="B268" s="1268" t="str">
        <f t="shared" si="9"/>
        <v xml:space="preserve">               Fração proveniente do transporte em ferrovia relatado em combustão móvel</v>
      </c>
      <c r="C268" s="1268"/>
      <c r="D268" s="1268"/>
      <c r="E268" s="808">
        <f>IF(VLOOKUP(E$265,'Dados gerais'!$D$33:$F$35,3,FALSE)="",VLOOKUP(E$265,'Fatores de Emissão'!$B$12:$E$14,3,FALSE)*E261,VLOOKUP(E$265,'Dados gerais'!$D$33:$F$35,3,FALSE)*E261)</f>
        <v>0</v>
      </c>
      <c r="F268" s="808">
        <f>IF(VLOOKUP(F$265,'Dados gerais'!$D$33:$F$35,3,FALSE)="",VLOOKUP(F$265,'Fatores de Emissão'!$B$12:$E$14,3,FALSE)*F261,VLOOKUP(F$265,'Dados gerais'!$D$33:$F$35,3,FALSE)*F261)</f>
        <v>0</v>
      </c>
      <c r="G268" s="808">
        <f>IF(VLOOKUP(G$265,'Dados gerais'!$D$33:$F$35,3,FALSE)="",VLOOKUP(G$265,'Fatores de Emissão'!$B$12:$E$14,3,FALSE)*G261,VLOOKUP(G$265,'Dados gerais'!$D$33:$F$35,3,FALSE)*G261)</f>
        <v>0</v>
      </c>
      <c r="H268" s="835">
        <f t="shared" si="10"/>
        <v>0</v>
      </c>
    </row>
    <row r="269" spans="2:10" x14ac:dyDescent="0.35">
      <c r="B269" s="1130" t="str">
        <f t="shared" si="9"/>
        <v>Emissões de energia térmica adquirida</v>
      </c>
      <c r="C269" s="1130"/>
      <c r="D269" s="1130"/>
      <c r="E269" s="806">
        <f>IF(VLOOKUP(E$265,'Dados gerais'!$D$33:$F$35,3,FALSE)="",VLOOKUP('Energia Elétrica e térmica'!E$265,'Fatores de Emissão'!$B$12:$E$14,3,FALSE)*E262,VLOOKUP(E$265,'Dados gerais'!$D$33:$F$35,3,FALSE)*E262)</f>
        <v>0</v>
      </c>
      <c r="F269" s="806">
        <f>IF(VLOOKUP(F$265,'Dados gerais'!$D$33:$F$35,3,FALSE)="",VLOOKUP('Energia Elétrica e térmica'!F$265,'Fatores de Emissão'!$B$12:$E$14,3,FALSE)*F262,VLOOKUP(F$265,'Dados gerais'!$D$33:$F$35,3,FALSE)*F262)</f>
        <v>0</v>
      </c>
      <c r="G269" s="806">
        <f>IF(VLOOKUP(G$265,'Dados gerais'!$D$33:$F$35,3,FALSE)="",VLOOKUP('Energia Elétrica e térmica'!G$265,'Fatores de Emissão'!$B$12:$E$14,3,FALSE)*G262,VLOOKUP(G$265,'Dados gerais'!$D$33:$F$35,3,FALSE)*G262)</f>
        <v>0</v>
      </c>
      <c r="H269" s="834">
        <f t="shared" si="10"/>
        <v>0</v>
      </c>
    </row>
    <row r="270" spans="2:10" x14ac:dyDescent="0.35"/>
    <row r="271" spans="2:10" x14ac:dyDescent="0.35"/>
    <row r="272" spans="2:10" x14ac:dyDescent="0.35"/>
    <row r="273" x14ac:dyDescent="0.35"/>
    <row r="274" x14ac:dyDescent="0.35"/>
    <row r="275" x14ac:dyDescent="0.35"/>
    <row r="276" x14ac:dyDescent="0.35"/>
    <row r="277" x14ac:dyDescent="0.35"/>
    <row r="278" x14ac:dyDescent="0.35"/>
    <row r="279" x14ac:dyDescent="0.35"/>
    <row r="280" x14ac:dyDescent="0.35"/>
    <row r="281" x14ac:dyDescent="0.35"/>
    <row r="282" x14ac:dyDescent="0.35"/>
    <row r="283" x14ac:dyDescent="0.35"/>
    <row r="284" x14ac:dyDescent="0.35"/>
    <row r="285" x14ac:dyDescent="0.35"/>
    <row r="286" x14ac:dyDescent="0.35"/>
    <row r="287" x14ac:dyDescent="0.35"/>
    <row r="288" x14ac:dyDescent="0.35"/>
    <row r="289" x14ac:dyDescent="0.35"/>
    <row r="290" x14ac:dyDescent="0.35"/>
    <row r="291" x14ac:dyDescent="0.35"/>
    <row r="292" x14ac:dyDescent="0.35"/>
    <row r="293" x14ac:dyDescent="0.35"/>
    <row r="294" x14ac:dyDescent="0.35"/>
    <row r="295" x14ac:dyDescent="0.35"/>
    <row r="296" x14ac:dyDescent="0.35"/>
    <row r="297" x14ac:dyDescent="0.35"/>
    <row r="298" x14ac:dyDescent="0.35"/>
    <row r="299" x14ac:dyDescent="0.35"/>
    <row r="300" x14ac:dyDescent="0.35"/>
    <row r="301" x14ac:dyDescent="0.35"/>
    <row r="302" x14ac:dyDescent="0.35"/>
  </sheetData>
  <sheetProtection algorithmName="SHA-512" hashValue="lJ+j4oxNA84bhEzvk89A7+IqxV4ya+87wXCS/4E4TsWp+14uDa8rbeohtKyr4O3AnQhIxknl+hR4gzRMLcbngg==" saltValue="4zO5XuqZCgkT0w4cAM1Feg==" spinCount="100000" sheet="1" formatRows="0" selectLockedCells="1"/>
  <protectedRanges>
    <protectedRange sqref="B151:F250" name="EET2"/>
    <protectedRange sqref="B33:D132" name="EET1"/>
  </protectedRanges>
  <mergeCells count="21">
    <mergeCell ref="B257:D258"/>
    <mergeCell ref="B269:D269"/>
    <mergeCell ref="E264:H264"/>
    <mergeCell ref="B268:D268"/>
    <mergeCell ref="G147:G149"/>
    <mergeCell ref="D9:F9"/>
    <mergeCell ref="F147:F149"/>
    <mergeCell ref="B262:D262"/>
    <mergeCell ref="B266:D266"/>
    <mergeCell ref="B267:D267"/>
    <mergeCell ref="B141:F141"/>
    <mergeCell ref="B144:F144"/>
    <mergeCell ref="B261:D261"/>
    <mergeCell ref="B260:D260"/>
    <mergeCell ref="C147:C149"/>
    <mergeCell ref="B147:B149"/>
    <mergeCell ref="D147:D149"/>
    <mergeCell ref="C17:H17"/>
    <mergeCell ref="E147:E149"/>
    <mergeCell ref="E257:G257"/>
    <mergeCell ref="B259:D259"/>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D288A310-A6B7-4D14-9B78-F1043731ECCC}">
            <xm:f>Triagem!$C$32=""</xm:f>
            <x14:dxf>
              <font>
                <color rgb="FFFF0000"/>
              </font>
              <fill>
                <patternFill>
                  <bgColor theme="7" tint="0.79998168889431442"/>
                </patternFill>
              </fill>
            </x14:dxf>
          </x14:cfRule>
          <xm:sqref>D9 F9</xm:sqref>
        </x14:conditionalFormatting>
        <x14:conditionalFormatting xmlns:xm="http://schemas.microsoft.com/office/excel/2006/main">
          <x14:cfRule type="expression" priority="2" id="{B23E43F8-9874-4E42-8312-E8E6F6E7456E}">
            <xm:f>Triagem!$C$32="Sim"</xm:f>
            <x14:dxf/>
          </x14:cfRule>
          <x14:cfRule type="expression" priority="3" id="{4C4DE9A8-21EB-4F96-9E16-10B960DD9981}">
            <xm:f>Triagem!$C$32="Não"</xm:f>
            <x14:dxf>
              <font>
                <color theme="2" tint="-0.24994659260841701"/>
              </font>
            </x14:dxf>
          </x14:cfRule>
          <xm:sqref>D9 H9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8CB661F-945E-48FE-87DF-B0E7D5977FAE}">
          <x14:formula1>
            <xm:f>FACM!$A$13:$A$15</xm:f>
          </x14:formula1>
          <xm:sqref>B32:B132 B150:B250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B9975-F0E5-499D-92A7-13D8BA77DD64}">
  <sheetPr codeName="Folha19"/>
  <dimension ref="B11:L166"/>
  <sheetViews>
    <sheetView showGridLines="0" zoomScale="70" zoomScaleNormal="70" workbookViewId="0">
      <selection activeCell="B14" sqref="B14"/>
    </sheetView>
  </sheetViews>
  <sheetFormatPr defaultRowHeight="14.5" x14ac:dyDescent="0.35"/>
  <cols>
    <col min="2" max="2" width="35.81640625" bestFit="1" customWidth="1"/>
    <col min="3" max="5" width="19.453125" bestFit="1" customWidth="1"/>
    <col min="6" max="6" width="28.7265625" bestFit="1" customWidth="1"/>
    <col min="7" max="7" width="16.1796875" customWidth="1"/>
    <col min="8" max="8" width="22.26953125" customWidth="1"/>
    <col min="9" max="9" width="21.54296875" customWidth="1"/>
    <col min="10" max="10" width="28.26953125" customWidth="1"/>
    <col min="11" max="11" width="27.54296875" bestFit="1" customWidth="1"/>
    <col min="12" max="12" width="13.1796875" bestFit="1" customWidth="1"/>
    <col min="13" max="14" width="18.7265625" bestFit="1" customWidth="1"/>
    <col min="15" max="15" width="27.54296875" bestFit="1" customWidth="1"/>
    <col min="16" max="18" width="18.7265625" bestFit="1" customWidth="1"/>
    <col min="19" max="19" width="27.54296875" bestFit="1" customWidth="1"/>
    <col min="20" max="20" width="38" bestFit="1" customWidth="1"/>
  </cols>
  <sheetData>
    <row r="11" spans="2:4" s="30" customFormat="1" ht="21.5" x14ac:dyDescent="0.9">
      <c r="B11" s="12" t="s">
        <v>261</v>
      </c>
    </row>
    <row r="13" spans="2:4" ht="20" x14ac:dyDescent="0.85">
      <c r="B13" s="2"/>
      <c r="C13" s="47" t="s">
        <v>424</v>
      </c>
      <c r="D13" s="49" t="s">
        <v>322</v>
      </c>
    </row>
    <row r="14" spans="2:4" ht="20" x14ac:dyDescent="0.35">
      <c r="B14" s="13" t="str">
        <f>'Fatores de Emissão'!B12</f>
        <v>Construção ou fase preparatória</v>
      </c>
      <c r="C14" s="6">
        <f>'Dados gerais'!E33</f>
        <v>0</v>
      </c>
      <c r="D14" s="6">
        <f>'Dados gerais'!F33</f>
        <v>0</v>
      </c>
    </row>
    <row r="15" spans="2:4" ht="20" x14ac:dyDescent="0.35">
      <c r="B15" s="14" t="str">
        <f>'Fatores de Emissão'!B13</f>
        <v>Exploração</v>
      </c>
      <c r="C15" s="6">
        <f>'Dados gerais'!E34</f>
        <v>0</v>
      </c>
      <c r="D15" s="6">
        <f>'Dados gerais'!F34</f>
        <v>0</v>
      </c>
    </row>
    <row r="16" spans="2:4" ht="20" x14ac:dyDescent="0.35">
      <c r="B16" s="15" t="str">
        <f>'Fatores de Emissão'!B14</f>
        <v>Desativação</v>
      </c>
      <c r="C16" s="6">
        <f>'Dados gerais'!E35</f>
        <v>0</v>
      </c>
      <c r="D16" s="6">
        <f>'Dados gerais'!F35</f>
        <v>0</v>
      </c>
    </row>
    <row r="17" spans="2:12" x14ac:dyDescent="0.35">
      <c r="G17" t="s">
        <v>970</v>
      </c>
    </row>
    <row r="18" spans="2:12" ht="69.650000000000006" customHeight="1" x14ac:dyDescent="0.35">
      <c r="B18" s="60" t="s">
        <v>262</v>
      </c>
      <c r="C18" s="60" t="s">
        <v>518</v>
      </c>
      <c r="D18" s="60" t="s">
        <v>520</v>
      </c>
      <c r="E18" s="60" t="s">
        <v>518</v>
      </c>
      <c r="G18" s="136" t="s">
        <v>35</v>
      </c>
      <c r="H18" s="136" t="s">
        <v>971</v>
      </c>
      <c r="I18" s="136" t="s">
        <v>972</v>
      </c>
      <c r="J18" s="136" t="s">
        <v>975</v>
      </c>
      <c r="K18" s="136" t="s">
        <v>973</v>
      </c>
      <c r="L18" s="136" t="s">
        <v>974</v>
      </c>
    </row>
    <row r="19" spans="2:12" ht="17" x14ac:dyDescent="0.35">
      <c r="B19" s="58">
        <f>'Fatores de Emissão'!B375</f>
        <v>2022</v>
      </c>
      <c r="C19" s="61">
        <f>'Fatores de Emissão'!C375</f>
        <v>0.158</v>
      </c>
      <c r="D19" s="58">
        <f>'Fatores de Emissão'!D375</f>
        <v>0.49989079284395288</v>
      </c>
      <c r="E19" s="61">
        <f>'Fatores de Emissão'!F375</f>
        <v>0.158</v>
      </c>
      <c r="G19" s="22" t="str">
        <f>B14</f>
        <v>Construção ou fase preparatória</v>
      </c>
      <c r="H19" s="22">
        <f>C14</f>
        <v>0</v>
      </c>
      <c r="I19" s="22">
        <f>IF(D14="", 'Fatores de Emissão'!E12+C14,D14+C14)</f>
        <v>0</v>
      </c>
      <c r="J19" s="137" t="e">
        <f>IF(H19&gt;$B$47,$E$47,VLOOKUP(H19,$B$19:$E$47,4,FALSE))</f>
        <v>#N/A</v>
      </c>
      <c r="K19" s="137" t="e">
        <f>IF(I19&gt;$B$47,$E$47,VLOOKUP(I19,$B$19:$E$47,4,FALSE))</f>
        <v>#N/A</v>
      </c>
      <c r="L19" s="137" t="e">
        <f>(J19+K19)/2</f>
        <v>#N/A</v>
      </c>
    </row>
    <row r="20" spans="2:12" ht="17" x14ac:dyDescent="0.35">
      <c r="B20" s="58">
        <f>'Fatores de Emissão'!B376</f>
        <v>2023</v>
      </c>
      <c r="C20" s="61">
        <f>'Fatores de Emissão'!C376</f>
        <v>0.107</v>
      </c>
      <c r="D20" s="58">
        <f>'Fatores de Emissão'!D376</f>
        <v>0.61495375027118715</v>
      </c>
      <c r="E20" s="61">
        <f>'Fatores de Emissão'!F376</f>
        <v>0.107</v>
      </c>
      <c r="G20" s="22" t="str">
        <f t="shared" ref="G20:G21" si="0">B15</f>
        <v>Exploração</v>
      </c>
      <c r="H20" s="22">
        <f t="shared" ref="H20:H21" si="1">C15</f>
        <v>0</v>
      </c>
      <c r="I20" s="22">
        <f>IF(D15="", 'Fatores de Emissão'!E13+C15,D15+C15)</f>
        <v>0</v>
      </c>
      <c r="J20" s="137" t="e">
        <f t="shared" ref="J20:J21" si="2">IF(H20&gt;$B$47,$E$47,VLOOKUP(H20,$B$19:$E$47,4,FALSE))</f>
        <v>#N/A</v>
      </c>
      <c r="K20" s="137" t="e">
        <f t="shared" ref="K20:K21" si="3">IF(I20&gt;$B$47,$E$47,VLOOKUP(I20,$B$19:$E$47,4,FALSE))</f>
        <v>#N/A</v>
      </c>
      <c r="L20" s="137" t="e">
        <f t="shared" ref="L20:L21" si="4">(J20+K20)/2</f>
        <v>#N/A</v>
      </c>
    </row>
    <row r="21" spans="2:12" ht="17" x14ac:dyDescent="0.35">
      <c r="B21" s="58">
        <f>'Fatores de Emissão'!B377</f>
        <v>2024</v>
      </c>
      <c r="C21" s="61">
        <f>'Fatores de Emissão'!C377</f>
        <v>7.9274647393547698E-2</v>
      </c>
      <c r="D21" s="58">
        <f>'Fatores de Emissão'!D377</f>
        <v>0.71472518058449019</v>
      </c>
      <c r="E21" s="61">
        <f>'Fatores de Emissão'!F377</f>
        <v>7.9274647393547698E-2</v>
      </c>
      <c r="G21" s="22" t="str">
        <f t="shared" si="0"/>
        <v>Desativação</v>
      </c>
      <c r="H21" s="22">
        <f t="shared" si="1"/>
        <v>0</v>
      </c>
      <c r="I21" s="22">
        <f>IF(D16="", 'Fatores de Emissão'!E14+C16,D16+C16)</f>
        <v>0</v>
      </c>
      <c r="J21" s="137" t="e">
        <f t="shared" si="2"/>
        <v>#N/A</v>
      </c>
      <c r="K21" s="137" t="e">
        <f t="shared" si="3"/>
        <v>#N/A</v>
      </c>
      <c r="L21" s="137" t="e">
        <f t="shared" si="4"/>
        <v>#N/A</v>
      </c>
    </row>
    <row r="22" spans="2:12" ht="17" x14ac:dyDescent="0.35">
      <c r="B22" s="58">
        <f>'Fatores de Emissão'!B378</f>
        <v>2025</v>
      </c>
      <c r="C22" s="61">
        <f>'Fatores de Emissão'!C378</f>
        <v>3.8904417353890289E-2</v>
      </c>
      <c r="D22" s="58">
        <f>'Fatores de Emissão'!D378</f>
        <v>0.86</v>
      </c>
      <c r="E22" s="61">
        <f>'Fatores de Emissão'!F378</f>
        <v>3.8904417353890289E-2</v>
      </c>
    </row>
    <row r="23" spans="2:12" ht="17" x14ac:dyDescent="0.35">
      <c r="B23" s="58">
        <f>'Fatores de Emissão'!B379</f>
        <v>2026</v>
      </c>
      <c r="C23" s="61">
        <f>'Fatores de Emissão'!C379</f>
        <v>3.501397561850126E-2</v>
      </c>
      <c r="D23" s="58">
        <f>'Fatores de Emissão'!D379</f>
        <v>0.874</v>
      </c>
      <c r="E23" s="61">
        <f>'Fatores de Emissão'!F379</f>
        <v>3.501397561850126E-2</v>
      </c>
    </row>
    <row r="24" spans="2:12" ht="17" x14ac:dyDescent="0.35">
      <c r="B24" s="58">
        <f>'Fatores de Emissão'!B380</f>
        <v>2027</v>
      </c>
      <c r="C24" s="61">
        <f>'Fatores de Emissão'!C380</f>
        <v>3.1123533883112224E-2</v>
      </c>
      <c r="D24" s="58">
        <f>'Fatores de Emissão'!D380</f>
        <v>0.88800000000000001</v>
      </c>
      <c r="E24" s="61">
        <f>'Fatores de Emissão'!F380</f>
        <v>3.1123533883112224E-2</v>
      </c>
    </row>
    <row r="25" spans="2:12" ht="17" x14ac:dyDescent="0.35">
      <c r="B25" s="58">
        <f>'Fatores de Emissão'!B381</f>
        <v>2028</v>
      </c>
      <c r="C25" s="61">
        <f>'Fatores de Emissão'!C381</f>
        <v>2.7233092147723192E-2</v>
      </c>
      <c r="D25" s="58">
        <f>'Fatores de Emissão'!D381</f>
        <v>0.90200000000000002</v>
      </c>
      <c r="E25" s="61">
        <f>'Fatores de Emissão'!F381</f>
        <v>2.7233092147723192E-2</v>
      </c>
    </row>
    <row r="26" spans="2:12" ht="17" x14ac:dyDescent="0.35">
      <c r="B26" s="58">
        <f>'Fatores de Emissão'!B382</f>
        <v>2029</v>
      </c>
      <c r="C26" s="61">
        <f>'Fatores de Emissão'!C382</f>
        <v>2.3342650412334159E-2</v>
      </c>
      <c r="D26" s="58">
        <f>'Fatores de Emissão'!D382</f>
        <v>0.91600000000000004</v>
      </c>
      <c r="E26" s="61">
        <f>'Fatores de Emissão'!F382</f>
        <v>2.3342650412334159E-2</v>
      </c>
    </row>
    <row r="27" spans="2:12" ht="17" x14ac:dyDescent="0.35">
      <c r="B27" s="58">
        <f>'Fatores de Emissão'!B383</f>
        <v>2030</v>
      </c>
      <c r="C27" s="61">
        <f>'Fatores de Emissão'!C383</f>
        <v>1.9452208676945131E-2</v>
      </c>
      <c r="D27" s="58">
        <f>'Fatores de Emissão'!D383</f>
        <v>0.93</v>
      </c>
      <c r="E27" s="61">
        <f>'Fatores de Emissão'!F383</f>
        <v>1.9452208676945131E-2</v>
      </c>
    </row>
    <row r="28" spans="2:12" ht="17" x14ac:dyDescent="0.35">
      <c r="B28" s="58">
        <f>'Fatores de Emissão'!B384</f>
        <v>2031</v>
      </c>
      <c r="C28" s="61">
        <f>'Fatores de Emissão'!C384</f>
        <v>1.9452208676945131E-2</v>
      </c>
      <c r="D28" s="58">
        <f>'Fatores de Emissão'!D384</f>
        <v>0.93</v>
      </c>
      <c r="E28" s="61">
        <f>'Fatores de Emissão'!F384</f>
        <v>1.9452208676945131E-2</v>
      </c>
    </row>
    <row r="29" spans="2:12" ht="17" x14ac:dyDescent="0.35">
      <c r="B29" s="58">
        <f>'Fatores de Emissão'!B385</f>
        <v>2032</v>
      </c>
      <c r="C29" s="61">
        <f>'Fatores de Emissão'!C385</f>
        <v>1.9452208676945131E-2</v>
      </c>
      <c r="D29" s="58">
        <f>'Fatores de Emissão'!D385</f>
        <v>0.93</v>
      </c>
      <c r="E29" s="61">
        <f>'Fatores de Emissão'!F385</f>
        <v>1.9452208676945131E-2</v>
      </c>
    </row>
    <row r="30" spans="2:12" ht="17" x14ac:dyDescent="0.35">
      <c r="B30" s="58">
        <f>'Fatores de Emissão'!B386</f>
        <v>2033</v>
      </c>
      <c r="C30" s="61">
        <f>'Fatores de Emissão'!C386</f>
        <v>1.9452208676945131E-2</v>
      </c>
      <c r="D30" s="58">
        <f>'Fatores de Emissão'!D386</f>
        <v>0.93</v>
      </c>
      <c r="E30" s="61">
        <f>'Fatores de Emissão'!F386</f>
        <v>1.9452208676945131E-2</v>
      </c>
    </row>
    <row r="31" spans="2:12" ht="17" x14ac:dyDescent="0.35">
      <c r="B31" s="58">
        <f>'Fatores de Emissão'!B387</f>
        <v>2034</v>
      </c>
      <c r="C31" s="61">
        <f>'Fatores de Emissão'!C387</f>
        <v>1.9452208676945131E-2</v>
      </c>
      <c r="D31" s="58">
        <f>'Fatores de Emissão'!D387</f>
        <v>0.93</v>
      </c>
      <c r="E31" s="61">
        <f>'Fatores de Emissão'!F387</f>
        <v>1.9452208676945131E-2</v>
      </c>
    </row>
    <row r="32" spans="2:12" ht="17" x14ac:dyDescent="0.35">
      <c r="B32" s="58">
        <f>'Fatores de Emissão'!B388</f>
        <v>2035</v>
      </c>
      <c r="C32" s="61">
        <f>'Fatores de Emissão'!C388</f>
        <v>1.9452208676945131E-2</v>
      </c>
      <c r="D32" s="58">
        <f>'Fatores de Emissão'!D388</f>
        <v>0.93</v>
      </c>
      <c r="E32" s="61">
        <f>'Fatores de Emissão'!F388</f>
        <v>1.9452208676945131E-2</v>
      </c>
    </row>
    <row r="33" spans="2:5" ht="17" x14ac:dyDescent="0.35">
      <c r="B33" s="58">
        <f>'Fatores de Emissão'!B389</f>
        <v>2036</v>
      </c>
      <c r="C33" s="61">
        <f>'Fatores de Emissão'!C389</f>
        <v>1.9452208676945131E-2</v>
      </c>
      <c r="D33" s="58">
        <f>'Fatores de Emissão'!D389</f>
        <v>0.93</v>
      </c>
      <c r="E33" s="61">
        <f>'Fatores de Emissão'!F389</f>
        <v>1.9452208676945131E-2</v>
      </c>
    </row>
    <row r="34" spans="2:5" ht="17" x14ac:dyDescent="0.35">
      <c r="B34" s="58">
        <f>'Fatores de Emissão'!B390</f>
        <v>2037</v>
      </c>
      <c r="C34" s="61">
        <f>'Fatores de Emissão'!C390</f>
        <v>1.9452208676945131E-2</v>
      </c>
      <c r="D34" s="58">
        <f>'Fatores de Emissão'!D390</f>
        <v>0.93</v>
      </c>
      <c r="E34" s="61">
        <f>'Fatores de Emissão'!F390</f>
        <v>1.9452208676945131E-2</v>
      </c>
    </row>
    <row r="35" spans="2:5" ht="17" x14ac:dyDescent="0.35">
      <c r="B35" s="58">
        <f>'Fatores de Emissão'!B391</f>
        <v>2038</v>
      </c>
      <c r="C35" s="61">
        <f>'Fatores de Emissão'!C391</f>
        <v>1.9452208676945131E-2</v>
      </c>
      <c r="D35" s="58">
        <f>'Fatores de Emissão'!D391</f>
        <v>0.93</v>
      </c>
      <c r="E35" s="61">
        <f>'Fatores de Emissão'!F391</f>
        <v>1.9452208676945131E-2</v>
      </c>
    </row>
    <row r="36" spans="2:5" ht="17" x14ac:dyDescent="0.35">
      <c r="B36" s="58">
        <f>'Fatores de Emissão'!B392</f>
        <v>2039</v>
      </c>
      <c r="C36" s="61">
        <f>'Fatores de Emissão'!C392</f>
        <v>1.9452208676945131E-2</v>
      </c>
      <c r="D36" s="58">
        <f>'Fatores de Emissão'!D392</f>
        <v>0.93</v>
      </c>
      <c r="E36" s="61">
        <f>'Fatores de Emissão'!F392</f>
        <v>1.9452208676945131E-2</v>
      </c>
    </row>
    <row r="37" spans="2:5" ht="17" x14ac:dyDescent="0.35">
      <c r="B37" s="58">
        <f>'Fatores de Emissão'!B393</f>
        <v>2040</v>
      </c>
      <c r="C37" s="61">
        <f>'Fatores de Emissão'!C393</f>
        <v>1.9452208676945131E-2</v>
      </c>
      <c r="D37" s="58">
        <f>'Fatores de Emissão'!D393</f>
        <v>0.93</v>
      </c>
      <c r="E37" s="61">
        <f>'Fatores de Emissão'!F393</f>
        <v>1.9452208676945131E-2</v>
      </c>
    </row>
    <row r="38" spans="2:5" ht="17" x14ac:dyDescent="0.35">
      <c r="B38" s="58">
        <f>'Fatores de Emissão'!B394</f>
        <v>2041</v>
      </c>
      <c r="C38" s="61">
        <f>'Fatores de Emissão'!C394</f>
        <v>1.9452208676945131E-2</v>
      </c>
      <c r="D38" s="58">
        <f>'Fatores de Emissão'!D394</f>
        <v>0.93</v>
      </c>
      <c r="E38" s="61">
        <f>'Fatores de Emissão'!F394</f>
        <v>1.9452208676945131E-2</v>
      </c>
    </row>
    <row r="39" spans="2:5" ht="17" x14ac:dyDescent="0.35">
      <c r="B39" s="58">
        <f>'Fatores de Emissão'!B395</f>
        <v>2042</v>
      </c>
      <c r="C39" s="61">
        <f>'Fatores de Emissão'!C395</f>
        <v>1.9452208676945131E-2</v>
      </c>
      <c r="D39" s="58">
        <f>'Fatores de Emissão'!D395</f>
        <v>0.93</v>
      </c>
      <c r="E39" s="61">
        <f>'Fatores de Emissão'!F395</f>
        <v>1.9452208676945131E-2</v>
      </c>
    </row>
    <row r="40" spans="2:5" ht="17" x14ac:dyDescent="0.35">
      <c r="B40" s="58">
        <f>'Fatores de Emissão'!B396</f>
        <v>2043</v>
      </c>
      <c r="C40" s="61">
        <f>'Fatores de Emissão'!C396</f>
        <v>1.9452208676945131E-2</v>
      </c>
      <c r="D40" s="58">
        <f>'Fatores de Emissão'!D396</f>
        <v>0.93</v>
      </c>
      <c r="E40" s="61">
        <f>'Fatores de Emissão'!F396</f>
        <v>1.9452208676945131E-2</v>
      </c>
    </row>
    <row r="41" spans="2:5" ht="17" x14ac:dyDescent="0.35">
      <c r="B41" s="58">
        <f>'Fatores de Emissão'!B397</f>
        <v>2044</v>
      </c>
      <c r="C41" s="61">
        <f>'Fatores de Emissão'!C397</f>
        <v>1.9452208676945131E-2</v>
      </c>
      <c r="D41" s="58">
        <f>'Fatores de Emissão'!D397</f>
        <v>0.93</v>
      </c>
      <c r="E41" s="61">
        <f>'Fatores de Emissão'!F397</f>
        <v>1.9452208676945131E-2</v>
      </c>
    </row>
    <row r="42" spans="2:5" ht="17" x14ac:dyDescent="0.35">
      <c r="B42" s="58">
        <f>'Fatores de Emissão'!B398</f>
        <v>2045</v>
      </c>
      <c r="C42" s="61">
        <f>'Fatores de Emissão'!C398</f>
        <v>1.9452208676945131E-2</v>
      </c>
      <c r="D42" s="58">
        <f>'Fatores de Emissão'!D398</f>
        <v>0.93</v>
      </c>
      <c r="E42" s="61">
        <f>'Fatores de Emissão'!F398</f>
        <v>1.9452208676945131E-2</v>
      </c>
    </row>
    <row r="43" spans="2:5" ht="17" x14ac:dyDescent="0.35">
      <c r="B43" s="58">
        <f>'Fatores de Emissão'!B399</f>
        <v>2046</v>
      </c>
      <c r="C43" s="61">
        <f>'Fatores de Emissão'!C399</f>
        <v>1.9452208676945131E-2</v>
      </c>
      <c r="D43" s="58">
        <f>'Fatores de Emissão'!D399</f>
        <v>0.93</v>
      </c>
      <c r="E43" s="61">
        <f>'Fatores de Emissão'!F399</f>
        <v>1.9452208676945131E-2</v>
      </c>
    </row>
    <row r="44" spans="2:5" ht="17" x14ac:dyDescent="0.35">
      <c r="B44" s="58">
        <f>'Fatores de Emissão'!B400</f>
        <v>2047</v>
      </c>
      <c r="C44" s="61">
        <f>'Fatores de Emissão'!C400</f>
        <v>1.9452208676945131E-2</v>
      </c>
      <c r="D44" s="58">
        <f>'Fatores de Emissão'!D400</f>
        <v>0.93</v>
      </c>
      <c r="E44" s="61">
        <f>'Fatores de Emissão'!F400</f>
        <v>1.9452208676945131E-2</v>
      </c>
    </row>
    <row r="45" spans="2:5" ht="17" x14ac:dyDescent="0.35">
      <c r="B45" s="58">
        <f>'Fatores de Emissão'!B401</f>
        <v>2048</v>
      </c>
      <c r="C45" s="61">
        <f>'Fatores de Emissão'!C401</f>
        <v>1.9452208676945131E-2</v>
      </c>
      <c r="D45" s="58">
        <f>'Fatores de Emissão'!D401</f>
        <v>0.93</v>
      </c>
      <c r="E45" s="61">
        <f>'Fatores de Emissão'!F401</f>
        <v>1.9452208676945131E-2</v>
      </c>
    </row>
    <row r="46" spans="2:5" ht="17" x14ac:dyDescent="0.35">
      <c r="B46" s="58">
        <f>'Fatores de Emissão'!B402</f>
        <v>2049</v>
      </c>
      <c r="C46" s="61">
        <f>'Fatores de Emissão'!C402</f>
        <v>1.9452208676945131E-2</v>
      </c>
      <c r="D46" s="58">
        <f>'Fatores de Emissão'!D402</f>
        <v>0.93</v>
      </c>
      <c r="E46" s="61">
        <f>'Fatores de Emissão'!F402</f>
        <v>1.9452208676945131E-2</v>
      </c>
    </row>
    <row r="47" spans="2:5" ht="17" x14ac:dyDescent="0.35">
      <c r="B47" s="58">
        <f>'Fatores de Emissão'!B403</f>
        <v>2050</v>
      </c>
      <c r="C47" s="61">
        <f>'Fatores de Emissão'!C403</f>
        <v>1.9452208676945131E-2</v>
      </c>
      <c r="D47" s="58">
        <f>'Fatores de Emissão'!D403</f>
        <v>0.93</v>
      </c>
      <c r="E47" s="61">
        <f>'Fatores de Emissão'!F403</f>
        <v>1.9452208676945131E-2</v>
      </c>
    </row>
    <row r="48" spans="2:5" ht="17" x14ac:dyDescent="0.35">
      <c r="B48" s="58" t="s">
        <v>993</v>
      </c>
      <c r="C48" s="61">
        <f>C47</f>
        <v>1.9452208676945131E-2</v>
      </c>
      <c r="D48" s="61">
        <f t="shared" ref="D48:E48" si="5">D47</f>
        <v>0.93</v>
      </c>
      <c r="E48" s="61">
        <f t="shared" si="5"/>
        <v>1.9452208676945131E-2</v>
      </c>
    </row>
    <row r="53" spans="2:12" ht="20" x14ac:dyDescent="0.35">
      <c r="B53" s="3" t="s">
        <v>35</v>
      </c>
      <c r="C53" s="3" t="s">
        <v>899</v>
      </c>
      <c r="D53" s="13" t="str">
        <f>B14</f>
        <v>Construção ou fase preparatória</v>
      </c>
      <c r="E53" s="14" t="str">
        <f>B15</f>
        <v>Exploração</v>
      </c>
      <c r="F53" s="15" t="str">
        <f>B16</f>
        <v>Desativação</v>
      </c>
      <c r="H53" s="3" t="s">
        <v>35</v>
      </c>
      <c r="I53" s="3" t="s">
        <v>899</v>
      </c>
      <c r="J53" s="13" t="str">
        <f>D53</f>
        <v>Construção ou fase preparatória</v>
      </c>
      <c r="K53" s="14" t="str">
        <f>E53</f>
        <v>Exploração</v>
      </c>
      <c r="L53" s="15" t="str">
        <f>F53</f>
        <v>Desativação</v>
      </c>
    </row>
    <row r="54" spans="2:12" x14ac:dyDescent="0.35">
      <c r="B54" s="5">
        <f>'Energia Elétrica e térmica'!B33</f>
        <v>0</v>
      </c>
      <c r="C54" s="39" t="str">
        <f>'Energia Elétrica e térmica'!F33</f>
        <v/>
      </c>
      <c r="D54" s="5">
        <f>IF(B54=$D$53,C54,0)</f>
        <v>0</v>
      </c>
      <c r="E54" s="5">
        <f>IF(B54=$E$53,C54,0)</f>
        <v>0</v>
      </c>
      <c r="F54" s="5">
        <f>IF(B54=$F$53,C54,0)</f>
        <v>0</v>
      </c>
      <c r="H54" s="5">
        <f>'Energia Elétrica e térmica'!B151</f>
        <v>0</v>
      </c>
      <c r="I54" s="39">
        <f>'Energia Elétrica e térmica'!E151</f>
        <v>0</v>
      </c>
      <c r="J54" s="5">
        <f>IF(H54=$J$53,I54,0)</f>
        <v>0</v>
      </c>
      <c r="K54" s="5">
        <f>IF(H54=$K$53,I54,0)</f>
        <v>0</v>
      </c>
      <c r="L54" s="5">
        <f>IF(H54=$L$53,I54,0)</f>
        <v>0</v>
      </c>
    </row>
    <row r="55" spans="2:12" x14ac:dyDescent="0.35">
      <c r="B55" s="5">
        <f>'Energia Elétrica e térmica'!B34</f>
        <v>0</v>
      </c>
      <c r="C55" s="39" t="str">
        <f>'Energia Elétrica e térmica'!F34</f>
        <v/>
      </c>
      <c r="D55" s="5">
        <f t="shared" ref="D55:D118" si="6">IF(B55=$D$53,C55,0)</f>
        <v>0</v>
      </c>
      <c r="E55" s="5">
        <f t="shared" ref="E55:E118" si="7">IF(B55=$E$53,C55,0)</f>
        <v>0</v>
      </c>
      <c r="F55" s="5">
        <f t="shared" ref="F55:F118" si="8">IF(B55=$F$53,C55,0)</f>
        <v>0</v>
      </c>
      <c r="H55" s="5">
        <f>'Energia Elétrica e térmica'!B152</f>
        <v>0</v>
      </c>
      <c r="I55" s="39">
        <f>'Energia Elétrica e térmica'!E152</f>
        <v>0</v>
      </c>
      <c r="J55" s="5">
        <f t="shared" ref="J55:J118" si="9">IF(H55=$J$53,I55,0)</f>
        <v>0</v>
      </c>
      <c r="K55" s="5">
        <f t="shared" ref="K55:K118" si="10">IF(H55=$K$53,I55,0)</f>
        <v>0</v>
      </c>
      <c r="L55" s="5">
        <f t="shared" ref="L55:L118" si="11">IF(H55=$L$53,I55,0)</f>
        <v>0</v>
      </c>
    </row>
    <row r="56" spans="2:12" x14ac:dyDescent="0.35">
      <c r="B56" s="5">
        <f>'Energia Elétrica e térmica'!B35</f>
        <v>0</v>
      </c>
      <c r="C56" s="39" t="str">
        <f>'Energia Elétrica e térmica'!F35</f>
        <v/>
      </c>
      <c r="D56" s="5">
        <f t="shared" si="6"/>
        <v>0</v>
      </c>
      <c r="E56" s="5">
        <f t="shared" si="7"/>
        <v>0</v>
      </c>
      <c r="F56" s="5">
        <f t="shared" si="8"/>
        <v>0</v>
      </c>
      <c r="H56" s="5">
        <f>'Energia Elétrica e térmica'!B153</f>
        <v>0</v>
      </c>
      <c r="I56" s="39">
        <f>'Energia Elétrica e térmica'!E153</f>
        <v>0</v>
      </c>
      <c r="J56" s="5">
        <f t="shared" si="9"/>
        <v>0</v>
      </c>
      <c r="K56" s="5">
        <f t="shared" si="10"/>
        <v>0</v>
      </c>
      <c r="L56" s="5">
        <f t="shared" si="11"/>
        <v>0</v>
      </c>
    </row>
    <row r="57" spans="2:12" x14ac:dyDescent="0.35">
      <c r="B57" s="5">
        <f>'Energia Elétrica e térmica'!B36</f>
        <v>0</v>
      </c>
      <c r="C57" s="39" t="str">
        <f>'Energia Elétrica e térmica'!F36</f>
        <v/>
      </c>
      <c r="D57" s="5">
        <f t="shared" si="6"/>
        <v>0</v>
      </c>
      <c r="E57" s="5">
        <f t="shared" si="7"/>
        <v>0</v>
      </c>
      <c r="F57" s="5">
        <f t="shared" si="8"/>
        <v>0</v>
      </c>
      <c r="H57" s="5">
        <f>'Energia Elétrica e térmica'!B154</f>
        <v>0</v>
      </c>
      <c r="I57" s="39">
        <f>'Energia Elétrica e térmica'!E154</f>
        <v>0</v>
      </c>
      <c r="J57" s="5">
        <f t="shared" si="9"/>
        <v>0</v>
      </c>
      <c r="K57" s="5">
        <f t="shared" si="10"/>
        <v>0</v>
      </c>
      <c r="L57" s="5">
        <f t="shared" si="11"/>
        <v>0</v>
      </c>
    </row>
    <row r="58" spans="2:12" x14ac:dyDescent="0.35">
      <c r="B58" s="5">
        <f>'Energia Elétrica e térmica'!B37</f>
        <v>0</v>
      </c>
      <c r="C58" s="39" t="str">
        <f>'Energia Elétrica e térmica'!F37</f>
        <v/>
      </c>
      <c r="D58" s="5">
        <f t="shared" si="6"/>
        <v>0</v>
      </c>
      <c r="E58" s="5">
        <f t="shared" si="7"/>
        <v>0</v>
      </c>
      <c r="F58" s="5">
        <f t="shared" si="8"/>
        <v>0</v>
      </c>
      <c r="H58" s="5">
        <f>'Energia Elétrica e térmica'!B155</f>
        <v>0</v>
      </c>
      <c r="I58" s="39">
        <f>'Energia Elétrica e térmica'!E155</f>
        <v>0</v>
      </c>
      <c r="J58" s="5">
        <f t="shared" si="9"/>
        <v>0</v>
      </c>
      <c r="K58" s="5">
        <f t="shared" si="10"/>
        <v>0</v>
      </c>
      <c r="L58" s="5">
        <f t="shared" si="11"/>
        <v>0</v>
      </c>
    </row>
    <row r="59" spans="2:12" x14ac:dyDescent="0.35">
      <c r="B59" s="5">
        <f>'Energia Elétrica e térmica'!B38</f>
        <v>0</v>
      </c>
      <c r="C59" s="39" t="str">
        <f>'Energia Elétrica e térmica'!F38</f>
        <v/>
      </c>
      <c r="D59" s="5">
        <f t="shared" si="6"/>
        <v>0</v>
      </c>
      <c r="E59" s="5">
        <f t="shared" si="7"/>
        <v>0</v>
      </c>
      <c r="F59" s="5">
        <f t="shared" si="8"/>
        <v>0</v>
      </c>
      <c r="H59" s="5">
        <f>'Energia Elétrica e térmica'!B156</f>
        <v>0</v>
      </c>
      <c r="I59" s="39">
        <f>'Energia Elétrica e térmica'!E156</f>
        <v>0</v>
      </c>
      <c r="J59" s="5">
        <f t="shared" si="9"/>
        <v>0</v>
      </c>
      <c r="K59" s="5">
        <f t="shared" si="10"/>
        <v>0</v>
      </c>
      <c r="L59" s="5">
        <f t="shared" si="11"/>
        <v>0</v>
      </c>
    </row>
    <row r="60" spans="2:12" x14ac:dyDescent="0.35">
      <c r="B60" s="5">
        <f>'Energia Elétrica e térmica'!B39</f>
        <v>0</v>
      </c>
      <c r="C60" s="39" t="str">
        <f>'Energia Elétrica e térmica'!F39</f>
        <v/>
      </c>
      <c r="D60" s="5">
        <f t="shared" si="6"/>
        <v>0</v>
      </c>
      <c r="E60" s="5">
        <f t="shared" si="7"/>
        <v>0</v>
      </c>
      <c r="F60" s="5">
        <f t="shared" si="8"/>
        <v>0</v>
      </c>
      <c r="H60" s="5">
        <f>'Energia Elétrica e térmica'!B157</f>
        <v>0</v>
      </c>
      <c r="I60" s="39">
        <f>'Energia Elétrica e térmica'!E157</f>
        <v>0</v>
      </c>
      <c r="J60" s="5">
        <f t="shared" si="9"/>
        <v>0</v>
      </c>
      <c r="K60" s="5">
        <f t="shared" si="10"/>
        <v>0</v>
      </c>
      <c r="L60" s="5">
        <f t="shared" si="11"/>
        <v>0</v>
      </c>
    </row>
    <row r="61" spans="2:12" x14ac:dyDescent="0.35">
      <c r="B61" s="5">
        <f>'Energia Elétrica e térmica'!B40</f>
        <v>0</v>
      </c>
      <c r="C61" s="39" t="str">
        <f>'Energia Elétrica e térmica'!F40</f>
        <v/>
      </c>
      <c r="D61" s="5">
        <f t="shared" si="6"/>
        <v>0</v>
      </c>
      <c r="E61" s="5">
        <f t="shared" si="7"/>
        <v>0</v>
      </c>
      <c r="F61" s="5">
        <f t="shared" si="8"/>
        <v>0</v>
      </c>
      <c r="H61" s="5">
        <f>'Energia Elétrica e térmica'!B158</f>
        <v>0</v>
      </c>
      <c r="I61" s="39">
        <f>'Energia Elétrica e térmica'!E158</f>
        <v>0</v>
      </c>
      <c r="J61" s="5">
        <f t="shared" si="9"/>
        <v>0</v>
      </c>
      <c r="K61" s="5">
        <f t="shared" si="10"/>
        <v>0</v>
      </c>
      <c r="L61" s="5">
        <f t="shared" si="11"/>
        <v>0</v>
      </c>
    </row>
    <row r="62" spans="2:12" x14ac:dyDescent="0.35">
      <c r="B62" s="5">
        <f>'Energia Elétrica e térmica'!B41</f>
        <v>0</v>
      </c>
      <c r="C62" s="39" t="str">
        <f>'Energia Elétrica e térmica'!F41</f>
        <v/>
      </c>
      <c r="D62" s="5">
        <f t="shared" si="6"/>
        <v>0</v>
      </c>
      <c r="E62" s="5">
        <f t="shared" si="7"/>
        <v>0</v>
      </c>
      <c r="F62" s="5">
        <f t="shared" si="8"/>
        <v>0</v>
      </c>
      <c r="H62" s="5">
        <f>'Energia Elétrica e térmica'!B159</f>
        <v>0</v>
      </c>
      <c r="I62" s="39">
        <f>'Energia Elétrica e térmica'!E159</f>
        <v>0</v>
      </c>
      <c r="J62" s="5">
        <f t="shared" si="9"/>
        <v>0</v>
      </c>
      <c r="K62" s="5">
        <f t="shared" si="10"/>
        <v>0</v>
      </c>
      <c r="L62" s="5">
        <f t="shared" si="11"/>
        <v>0</v>
      </c>
    </row>
    <row r="63" spans="2:12" x14ac:dyDescent="0.35">
      <c r="B63" s="5">
        <f>'Energia Elétrica e térmica'!B42</f>
        <v>0</v>
      </c>
      <c r="C63" s="39" t="str">
        <f>'Energia Elétrica e térmica'!F42</f>
        <v/>
      </c>
      <c r="D63" s="5">
        <f t="shared" si="6"/>
        <v>0</v>
      </c>
      <c r="E63" s="5">
        <f t="shared" si="7"/>
        <v>0</v>
      </c>
      <c r="F63" s="5">
        <f t="shared" si="8"/>
        <v>0</v>
      </c>
      <c r="H63" s="5">
        <f>'Energia Elétrica e térmica'!B160</f>
        <v>0</v>
      </c>
      <c r="I63" s="39">
        <f>'Energia Elétrica e térmica'!E160</f>
        <v>0</v>
      </c>
      <c r="J63" s="5">
        <f t="shared" si="9"/>
        <v>0</v>
      </c>
      <c r="K63" s="5">
        <f t="shared" si="10"/>
        <v>0</v>
      </c>
      <c r="L63" s="5">
        <f t="shared" si="11"/>
        <v>0</v>
      </c>
    </row>
    <row r="64" spans="2:12" x14ac:dyDescent="0.35">
      <c r="B64" s="5">
        <f>'Energia Elétrica e térmica'!B43</f>
        <v>0</v>
      </c>
      <c r="C64" s="39" t="str">
        <f>'Energia Elétrica e térmica'!F43</f>
        <v/>
      </c>
      <c r="D64" s="5">
        <f t="shared" si="6"/>
        <v>0</v>
      </c>
      <c r="E64" s="5">
        <f t="shared" si="7"/>
        <v>0</v>
      </c>
      <c r="F64" s="5">
        <f t="shared" si="8"/>
        <v>0</v>
      </c>
      <c r="H64" s="5">
        <f>'Energia Elétrica e térmica'!B161</f>
        <v>0</v>
      </c>
      <c r="I64" s="39">
        <f>'Energia Elétrica e térmica'!E161</f>
        <v>0</v>
      </c>
      <c r="J64" s="5">
        <f t="shared" si="9"/>
        <v>0</v>
      </c>
      <c r="K64" s="5">
        <f t="shared" si="10"/>
        <v>0</v>
      </c>
      <c r="L64" s="5">
        <f t="shared" si="11"/>
        <v>0</v>
      </c>
    </row>
    <row r="65" spans="2:12" x14ac:dyDescent="0.35">
      <c r="B65" s="5">
        <f>'Energia Elétrica e térmica'!B44</f>
        <v>0</v>
      </c>
      <c r="C65" s="39" t="str">
        <f>'Energia Elétrica e térmica'!F44</f>
        <v/>
      </c>
      <c r="D65" s="5">
        <f t="shared" si="6"/>
        <v>0</v>
      </c>
      <c r="E65" s="5">
        <f t="shared" si="7"/>
        <v>0</v>
      </c>
      <c r="F65" s="5">
        <f t="shared" si="8"/>
        <v>0</v>
      </c>
      <c r="H65" s="5">
        <f>'Energia Elétrica e térmica'!B162</f>
        <v>0</v>
      </c>
      <c r="I65" s="39">
        <f>'Energia Elétrica e térmica'!E162</f>
        <v>0</v>
      </c>
      <c r="J65" s="5">
        <f t="shared" si="9"/>
        <v>0</v>
      </c>
      <c r="K65" s="5">
        <f t="shared" si="10"/>
        <v>0</v>
      </c>
      <c r="L65" s="5">
        <f t="shared" si="11"/>
        <v>0</v>
      </c>
    </row>
    <row r="66" spans="2:12" x14ac:dyDescent="0.35">
      <c r="B66" s="5">
        <f>'Energia Elétrica e térmica'!B45</f>
        <v>0</v>
      </c>
      <c r="C66" s="39" t="str">
        <f>'Energia Elétrica e térmica'!F45</f>
        <v/>
      </c>
      <c r="D66" s="5">
        <f t="shared" si="6"/>
        <v>0</v>
      </c>
      <c r="E66" s="5">
        <f t="shared" si="7"/>
        <v>0</v>
      </c>
      <c r="F66" s="5">
        <f t="shared" si="8"/>
        <v>0</v>
      </c>
      <c r="H66" s="5">
        <f>'Energia Elétrica e térmica'!B163</f>
        <v>0</v>
      </c>
      <c r="I66" s="39">
        <f>'Energia Elétrica e térmica'!E163</f>
        <v>0</v>
      </c>
      <c r="J66" s="5">
        <f t="shared" si="9"/>
        <v>0</v>
      </c>
      <c r="K66" s="5">
        <f t="shared" si="10"/>
        <v>0</v>
      </c>
      <c r="L66" s="5">
        <f t="shared" si="11"/>
        <v>0</v>
      </c>
    </row>
    <row r="67" spans="2:12" x14ac:dyDescent="0.35">
      <c r="B67" s="5">
        <f>'Energia Elétrica e térmica'!B46</f>
        <v>0</v>
      </c>
      <c r="C67" s="39" t="str">
        <f>'Energia Elétrica e térmica'!F46</f>
        <v/>
      </c>
      <c r="D67" s="5">
        <f t="shared" si="6"/>
        <v>0</v>
      </c>
      <c r="E67" s="5">
        <f t="shared" si="7"/>
        <v>0</v>
      </c>
      <c r="F67" s="5">
        <f t="shared" si="8"/>
        <v>0</v>
      </c>
      <c r="H67" s="5">
        <f>'Energia Elétrica e térmica'!B164</f>
        <v>0</v>
      </c>
      <c r="I67" s="39">
        <f>'Energia Elétrica e térmica'!E164</f>
        <v>0</v>
      </c>
      <c r="J67" s="5">
        <f t="shared" si="9"/>
        <v>0</v>
      </c>
      <c r="K67" s="5">
        <f t="shared" si="10"/>
        <v>0</v>
      </c>
      <c r="L67" s="5">
        <f t="shared" si="11"/>
        <v>0</v>
      </c>
    </row>
    <row r="68" spans="2:12" x14ac:dyDescent="0.35">
      <c r="B68" s="5">
        <f>'Energia Elétrica e térmica'!B47</f>
        <v>0</v>
      </c>
      <c r="C68" s="39" t="str">
        <f>'Energia Elétrica e térmica'!F47</f>
        <v/>
      </c>
      <c r="D68" s="5">
        <f t="shared" si="6"/>
        <v>0</v>
      </c>
      <c r="E68" s="5">
        <f t="shared" si="7"/>
        <v>0</v>
      </c>
      <c r="F68" s="5">
        <f t="shared" si="8"/>
        <v>0</v>
      </c>
      <c r="H68" s="5">
        <f>'Energia Elétrica e térmica'!B165</f>
        <v>0</v>
      </c>
      <c r="I68" s="39">
        <f>'Energia Elétrica e térmica'!E165</f>
        <v>0</v>
      </c>
      <c r="J68" s="5">
        <f t="shared" si="9"/>
        <v>0</v>
      </c>
      <c r="K68" s="5">
        <f t="shared" si="10"/>
        <v>0</v>
      </c>
      <c r="L68" s="5">
        <f t="shared" si="11"/>
        <v>0</v>
      </c>
    </row>
    <row r="69" spans="2:12" x14ac:dyDescent="0.35">
      <c r="B69" s="5">
        <f>'Energia Elétrica e térmica'!B48</f>
        <v>0</v>
      </c>
      <c r="C69" s="39" t="str">
        <f>'Energia Elétrica e térmica'!F48</f>
        <v/>
      </c>
      <c r="D69" s="5">
        <f t="shared" si="6"/>
        <v>0</v>
      </c>
      <c r="E69" s="5">
        <f t="shared" si="7"/>
        <v>0</v>
      </c>
      <c r="F69" s="5">
        <f t="shared" si="8"/>
        <v>0</v>
      </c>
      <c r="H69" s="5">
        <f>'Energia Elétrica e térmica'!B166</f>
        <v>0</v>
      </c>
      <c r="I69" s="39">
        <f>'Energia Elétrica e térmica'!E166</f>
        <v>0</v>
      </c>
      <c r="J69" s="5">
        <f t="shared" si="9"/>
        <v>0</v>
      </c>
      <c r="K69" s="5">
        <f t="shared" si="10"/>
        <v>0</v>
      </c>
      <c r="L69" s="5">
        <f t="shared" si="11"/>
        <v>0</v>
      </c>
    </row>
    <row r="70" spans="2:12" x14ac:dyDescent="0.35">
      <c r="B70" s="5">
        <f>'Energia Elétrica e térmica'!B49</f>
        <v>0</v>
      </c>
      <c r="C70" s="39" t="str">
        <f>'Energia Elétrica e térmica'!F49</f>
        <v/>
      </c>
      <c r="D70" s="5">
        <f t="shared" si="6"/>
        <v>0</v>
      </c>
      <c r="E70" s="5">
        <f t="shared" si="7"/>
        <v>0</v>
      </c>
      <c r="F70" s="5">
        <f t="shared" si="8"/>
        <v>0</v>
      </c>
      <c r="H70" s="5">
        <f>'Energia Elétrica e térmica'!B167</f>
        <v>0</v>
      </c>
      <c r="I70" s="39">
        <f>'Energia Elétrica e térmica'!E167</f>
        <v>0</v>
      </c>
      <c r="J70" s="5">
        <f t="shared" si="9"/>
        <v>0</v>
      </c>
      <c r="K70" s="5">
        <f t="shared" si="10"/>
        <v>0</v>
      </c>
      <c r="L70" s="5">
        <f t="shared" si="11"/>
        <v>0</v>
      </c>
    </row>
    <row r="71" spans="2:12" x14ac:dyDescent="0.35">
      <c r="B71" s="5">
        <f>'Energia Elétrica e térmica'!B50</f>
        <v>0</v>
      </c>
      <c r="C71" s="39" t="str">
        <f>'Energia Elétrica e térmica'!F50</f>
        <v/>
      </c>
      <c r="D71" s="5">
        <f t="shared" si="6"/>
        <v>0</v>
      </c>
      <c r="E71" s="5">
        <f t="shared" si="7"/>
        <v>0</v>
      </c>
      <c r="F71" s="5">
        <f t="shared" si="8"/>
        <v>0</v>
      </c>
      <c r="H71" s="5">
        <f>'Energia Elétrica e térmica'!B168</f>
        <v>0</v>
      </c>
      <c r="I71" s="39">
        <f>'Energia Elétrica e térmica'!E168</f>
        <v>0</v>
      </c>
      <c r="J71" s="5">
        <f t="shared" si="9"/>
        <v>0</v>
      </c>
      <c r="K71" s="5">
        <f t="shared" si="10"/>
        <v>0</v>
      </c>
      <c r="L71" s="5">
        <f t="shared" si="11"/>
        <v>0</v>
      </c>
    </row>
    <row r="72" spans="2:12" x14ac:dyDescent="0.35">
      <c r="B72" s="5">
        <f>'Energia Elétrica e térmica'!B51</f>
        <v>0</v>
      </c>
      <c r="C72" s="39" t="str">
        <f>'Energia Elétrica e térmica'!F51</f>
        <v/>
      </c>
      <c r="D72" s="5">
        <f t="shared" si="6"/>
        <v>0</v>
      </c>
      <c r="E72" s="5">
        <f t="shared" si="7"/>
        <v>0</v>
      </c>
      <c r="F72" s="5">
        <f t="shared" si="8"/>
        <v>0</v>
      </c>
      <c r="H72" s="5">
        <f>'Energia Elétrica e térmica'!B169</f>
        <v>0</v>
      </c>
      <c r="I72" s="39">
        <f>'Energia Elétrica e térmica'!E169</f>
        <v>0</v>
      </c>
      <c r="J72" s="5">
        <f t="shared" si="9"/>
        <v>0</v>
      </c>
      <c r="K72" s="5">
        <f t="shared" si="10"/>
        <v>0</v>
      </c>
      <c r="L72" s="5">
        <f t="shared" si="11"/>
        <v>0</v>
      </c>
    </row>
    <row r="73" spans="2:12" x14ac:dyDescent="0.35">
      <c r="B73" s="5">
        <f>'Energia Elétrica e térmica'!B52</f>
        <v>0</v>
      </c>
      <c r="C73" s="39" t="str">
        <f>'Energia Elétrica e térmica'!F52</f>
        <v/>
      </c>
      <c r="D73" s="5">
        <f t="shared" si="6"/>
        <v>0</v>
      </c>
      <c r="E73" s="5">
        <f t="shared" si="7"/>
        <v>0</v>
      </c>
      <c r="F73" s="5">
        <f t="shared" si="8"/>
        <v>0</v>
      </c>
      <c r="H73" s="5">
        <f>'Energia Elétrica e térmica'!B170</f>
        <v>0</v>
      </c>
      <c r="I73" s="39">
        <f>'Energia Elétrica e térmica'!E170</f>
        <v>0</v>
      </c>
      <c r="J73" s="5">
        <f t="shared" si="9"/>
        <v>0</v>
      </c>
      <c r="K73" s="5">
        <f t="shared" si="10"/>
        <v>0</v>
      </c>
      <c r="L73" s="5">
        <f t="shared" si="11"/>
        <v>0</v>
      </c>
    </row>
    <row r="74" spans="2:12" x14ac:dyDescent="0.35">
      <c r="B74" s="5">
        <f>'Energia Elétrica e térmica'!B53</f>
        <v>0</v>
      </c>
      <c r="C74" s="39" t="str">
        <f>'Energia Elétrica e térmica'!F53</f>
        <v/>
      </c>
      <c r="D74" s="5">
        <f t="shared" si="6"/>
        <v>0</v>
      </c>
      <c r="E74" s="5">
        <f t="shared" si="7"/>
        <v>0</v>
      </c>
      <c r="F74" s="5">
        <f t="shared" si="8"/>
        <v>0</v>
      </c>
      <c r="H74" s="5">
        <f>'Energia Elétrica e térmica'!B171</f>
        <v>0</v>
      </c>
      <c r="I74" s="39">
        <f>'Energia Elétrica e térmica'!E171</f>
        <v>0</v>
      </c>
      <c r="J74" s="5">
        <f t="shared" si="9"/>
        <v>0</v>
      </c>
      <c r="K74" s="5">
        <f t="shared" si="10"/>
        <v>0</v>
      </c>
      <c r="L74" s="5">
        <f t="shared" si="11"/>
        <v>0</v>
      </c>
    </row>
    <row r="75" spans="2:12" x14ac:dyDescent="0.35">
      <c r="B75" s="5">
        <f>'Energia Elétrica e térmica'!B54</f>
        <v>0</v>
      </c>
      <c r="C75" s="39" t="str">
        <f>'Energia Elétrica e térmica'!F54</f>
        <v/>
      </c>
      <c r="D75" s="5">
        <f t="shared" si="6"/>
        <v>0</v>
      </c>
      <c r="E75" s="5">
        <f t="shared" si="7"/>
        <v>0</v>
      </c>
      <c r="F75" s="5">
        <f t="shared" si="8"/>
        <v>0</v>
      </c>
      <c r="H75" s="5">
        <f>'Energia Elétrica e térmica'!B172</f>
        <v>0</v>
      </c>
      <c r="I75" s="39">
        <f>'Energia Elétrica e térmica'!E172</f>
        <v>0</v>
      </c>
      <c r="J75" s="5">
        <f t="shared" si="9"/>
        <v>0</v>
      </c>
      <c r="K75" s="5">
        <f t="shared" si="10"/>
        <v>0</v>
      </c>
      <c r="L75" s="5">
        <f t="shared" si="11"/>
        <v>0</v>
      </c>
    </row>
    <row r="76" spans="2:12" x14ac:dyDescent="0.35">
      <c r="B76" s="5">
        <f>'Energia Elétrica e térmica'!B55</f>
        <v>0</v>
      </c>
      <c r="C76" s="39" t="str">
        <f>'Energia Elétrica e térmica'!F55</f>
        <v/>
      </c>
      <c r="D76" s="5">
        <f t="shared" si="6"/>
        <v>0</v>
      </c>
      <c r="E76" s="5">
        <f t="shared" si="7"/>
        <v>0</v>
      </c>
      <c r="F76" s="5">
        <f t="shared" si="8"/>
        <v>0</v>
      </c>
      <c r="H76" s="5">
        <f>'Energia Elétrica e térmica'!B173</f>
        <v>0</v>
      </c>
      <c r="I76" s="39">
        <f>'Energia Elétrica e térmica'!E173</f>
        <v>0</v>
      </c>
      <c r="J76" s="5">
        <f t="shared" si="9"/>
        <v>0</v>
      </c>
      <c r="K76" s="5">
        <f t="shared" si="10"/>
        <v>0</v>
      </c>
      <c r="L76" s="5">
        <f t="shared" si="11"/>
        <v>0</v>
      </c>
    </row>
    <row r="77" spans="2:12" x14ac:dyDescent="0.35">
      <c r="B77" s="5">
        <f>'Energia Elétrica e térmica'!B56</f>
        <v>0</v>
      </c>
      <c r="C77" s="39" t="str">
        <f>'Energia Elétrica e térmica'!F56</f>
        <v/>
      </c>
      <c r="D77" s="5">
        <f t="shared" si="6"/>
        <v>0</v>
      </c>
      <c r="E77" s="5">
        <f t="shared" si="7"/>
        <v>0</v>
      </c>
      <c r="F77" s="5">
        <f t="shared" si="8"/>
        <v>0</v>
      </c>
      <c r="H77" s="5">
        <f>'Energia Elétrica e térmica'!B174</f>
        <v>0</v>
      </c>
      <c r="I77" s="39">
        <f>'Energia Elétrica e térmica'!E174</f>
        <v>0</v>
      </c>
      <c r="J77" s="5">
        <f t="shared" si="9"/>
        <v>0</v>
      </c>
      <c r="K77" s="5">
        <f t="shared" si="10"/>
        <v>0</v>
      </c>
      <c r="L77" s="5">
        <f t="shared" si="11"/>
        <v>0</v>
      </c>
    </row>
    <row r="78" spans="2:12" x14ac:dyDescent="0.35">
      <c r="B78" s="5">
        <f>'Energia Elétrica e térmica'!B57</f>
        <v>0</v>
      </c>
      <c r="C78" s="39" t="str">
        <f>'Energia Elétrica e térmica'!F57</f>
        <v/>
      </c>
      <c r="D78" s="5">
        <f t="shared" si="6"/>
        <v>0</v>
      </c>
      <c r="E78" s="5">
        <f t="shared" si="7"/>
        <v>0</v>
      </c>
      <c r="F78" s="5">
        <f t="shared" si="8"/>
        <v>0</v>
      </c>
      <c r="H78" s="5">
        <f>'Energia Elétrica e térmica'!B175</f>
        <v>0</v>
      </c>
      <c r="I78" s="39">
        <f>'Energia Elétrica e térmica'!E175</f>
        <v>0</v>
      </c>
      <c r="J78" s="5">
        <f t="shared" si="9"/>
        <v>0</v>
      </c>
      <c r="K78" s="5">
        <f t="shared" si="10"/>
        <v>0</v>
      </c>
      <c r="L78" s="5">
        <f t="shared" si="11"/>
        <v>0</v>
      </c>
    </row>
    <row r="79" spans="2:12" x14ac:dyDescent="0.35">
      <c r="B79" s="5">
        <f>'Energia Elétrica e térmica'!B58</f>
        <v>0</v>
      </c>
      <c r="C79" s="39" t="str">
        <f>'Energia Elétrica e térmica'!F58</f>
        <v/>
      </c>
      <c r="D79" s="5">
        <f t="shared" si="6"/>
        <v>0</v>
      </c>
      <c r="E79" s="5">
        <f t="shared" si="7"/>
        <v>0</v>
      </c>
      <c r="F79" s="5">
        <f t="shared" si="8"/>
        <v>0</v>
      </c>
      <c r="H79" s="5">
        <f>'Energia Elétrica e térmica'!B176</f>
        <v>0</v>
      </c>
      <c r="I79" s="39">
        <f>'Energia Elétrica e térmica'!E176</f>
        <v>0</v>
      </c>
      <c r="J79" s="5">
        <f t="shared" si="9"/>
        <v>0</v>
      </c>
      <c r="K79" s="5">
        <f t="shared" si="10"/>
        <v>0</v>
      </c>
      <c r="L79" s="5">
        <f t="shared" si="11"/>
        <v>0</v>
      </c>
    </row>
    <row r="80" spans="2:12" x14ac:dyDescent="0.35">
      <c r="B80" s="5">
        <f>'Energia Elétrica e térmica'!B59</f>
        <v>0</v>
      </c>
      <c r="C80" s="39" t="str">
        <f>'Energia Elétrica e térmica'!F59</f>
        <v/>
      </c>
      <c r="D80" s="5">
        <f t="shared" si="6"/>
        <v>0</v>
      </c>
      <c r="E80" s="5">
        <f t="shared" si="7"/>
        <v>0</v>
      </c>
      <c r="F80" s="5">
        <f t="shared" si="8"/>
        <v>0</v>
      </c>
      <c r="H80" s="5">
        <f>'Energia Elétrica e térmica'!B177</f>
        <v>0</v>
      </c>
      <c r="I80" s="39">
        <f>'Energia Elétrica e térmica'!E177</f>
        <v>0</v>
      </c>
      <c r="J80" s="5">
        <f t="shared" si="9"/>
        <v>0</v>
      </c>
      <c r="K80" s="5">
        <f t="shared" si="10"/>
        <v>0</v>
      </c>
      <c r="L80" s="5">
        <f t="shared" si="11"/>
        <v>0</v>
      </c>
    </row>
    <row r="81" spans="2:12" x14ac:dyDescent="0.35">
      <c r="B81" s="5">
        <f>'Energia Elétrica e térmica'!B60</f>
        <v>0</v>
      </c>
      <c r="C81" s="39" t="str">
        <f>'Energia Elétrica e térmica'!F60</f>
        <v/>
      </c>
      <c r="D81" s="5">
        <f t="shared" si="6"/>
        <v>0</v>
      </c>
      <c r="E81" s="5">
        <f t="shared" si="7"/>
        <v>0</v>
      </c>
      <c r="F81" s="5">
        <f t="shared" si="8"/>
        <v>0</v>
      </c>
      <c r="H81" s="5">
        <f>'Energia Elétrica e térmica'!B178</f>
        <v>0</v>
      </c>
      <c r="I81" s="39">
        <f>'Energia Elétrica e térmica'!E178</f>
        <v>0</v>
      </c>
      <c r="J81" s="5">
        <f t="shared" si="9"/>
        <v>0</v>
      </c>
      <c r="K81" s="5">
        <f t="shared" si="10"/>
        <v>0</v>
      </c>
      <c r="L81" s="5">
        <f t="shared" si="11"/>
        <v>0</v>
      </c>
    </row>
    <row r="82" spans="2:12" x14ac:dyDescent="0.35">
      <c r="B82" s="5">
        <f>'Energia Elétrica e térmica'!B61</f>
        <v>0</v>
      </c>
      <c r="C82" s="39" t="str">
        <f>'Energia Elétrica e térmica'!F61</f>
        <v/>
      </c>
      <c r="D82" s="5">
        <f t="shared" si="6"/>
        <v>0</v>
      </c>
      <c r="E82" s="5">
        <f t="shared" si="7"/>
        <v>0</v>
      </c>
      <c r="F82" s="5">
        <f t="shared" si="8"/>
        <v>0</v>
      </c>
      <c r="H82" s="5">
        <f>'Energia Elétrica e térmica'!B179</f>
        <v>0</v>
      </c>
      <c r="I82" s="39">
        <f>'Energia Elétrica e térmica'!E179</f>
        <v>0</v>
      </c>
      <c r="J82" s="5">
        <f t="shared" si="9"/>
        <v>0</v>
      </c>
      <c r="K82" s="5">
        <f t="shared" si="10"/>
        <v>0</v>
      </c>
      <c r="L82" s="5">
        <f t="shared" si="11"/>
        <v>0</v>
      </c>
    </row>
    <row r="83" spans="2:12" x14ac:dyDescent="0.35">
      <c r="B83" s="5">
        <f>'Energia Elétrica e térmica'!B62</f>
        <v>0</v>
      </c>
      <c r="C83" s="39" t="str">
        <f>'Energia Elétrica e térmica'!F62</f>
        <v/>
      </c>
      <c r="D83" s="5">
        <f t="shared" si="6"/>
        <v>0</v>
      </c>
      <c r="E83" s="5">
        <f t="shared" si="7"/>
        <v>0</v>
      </c>
      <c r="F83" s="5">
        <f t="shared" si="8"/>
        <v>0</v>
      </c>
      <c r="H83" s="5">
        <f>'Energia Elétrica e térmica'!B180</f>
        <v>0</v>
      </c>
      <c r="I83" s="39">
        <f>'Energia Elétrica e térmica'!E180</f>
        <v>0</v>
      </c>
      <c r="J83" s="5">
        <f t="shared" si="9"/>
        <v>0</v>
      </c>
      <c r="K83" s="5">
        <f t="shared" si="10"/>
        <v>0</v>
      </c>
      <c r="L83" s="5">
        <f t="shared" si="11"/>
        <v>0</v>
      </c>
    </row>
    <row r="84" spans="2:12" x14ac:dyDescent="0.35">
      <c r="B84" s="5">
        <f>'Energia Elétrica e térmica'!B63</f>
        <v>0</v>
      </c>
      <c r="C84" s="39" t="str">
        <f>'Energia Elétrica e térmica'!F63</f>
        <v/>
      </c>
      <c r="D84" s="5">
        <f t="shared" si="6"/>
        <v>0</v>
      </c>
      <c r="E84" s="5">
        <f t="shared" si="7"/>
        <v>0</v>
      </c>
      <c r="F84" s="5">
        <f t="shared" si="8"/>
        <v>0</v>
      </c>
      <c r="H84" s="5">
        <f>'Energia Elétrica e térmica'!B181</f>
        <v>0</v>
      </c>
      <c r="I84" s="39">
        <f>'Energia Elétrica e térmica'!E181</f>
        <v>0</v>
      </c>
      <c r="J84" s="5">
        <f t="shared" si="9"/>
        <v>0</v>
      </c>
      <c r="K84" s="5">
        <f t="shared" si="10"/>
        <v>0</v>
      </c>
      <c r="L84" s="5">
        <f t="shared" si="11"/>
        <v>0</v>
      </c>
    </row>
    <row r="85" spans="2:12" x14ac:dyDescent="0.35">
      <c r="B85" s="5">
        <f>'Energia Elétrica e térmica'!B64</f>
        <v>0</v>
      </c>
      <c r="C85" s="39" t="str">
        <f>'Energia Elétrica e térmica'!F64</f>
        <v/>
      </c>
      <c r="D85" s="5">
        <f t="shared" si="6"/>
        <v>0</v>
      </c>
      <c r="E85" s="5">
        <f t="shared" si="7"/>
        <v>0</v>
      </c>
      <c r="F85" s="5">
        <f t="shared" si="8"/>
        <v>0</v>
      </c>
      <c r="H85" s="5">
        <f>'Energia Elétrica e térmica'!B182</f>
        <v>0</v>
      </c>
      <c r="I85" s="39">
        <f>'Energia Elétrica e térmica'!E182</f>
        <v>0</v>
      </c>
      <c r="J85" s="5">
        <f t="shared" si="9"/>
        <v>0</v>
      </c>
      <c r="K85" s="5">
        <f t="shared" si="10"/>
        <v>0</v>
      </c>
      <c r="L85" s="5">
        <f t="shared" si="11"/>
        <v>0</v>
      </c>
    </row>
    <row r="86" spans="2:12" x14ac:dyDescent="0.35">
      <c r="B86" s="5">
        <f>'Energia Elétrica e térmica'!B65</f>
        <v>0</v>
      </c>
      <c r="C86" s="39" t="str">
        <f>'Energia Elétrica e térmica'!F65</f>
        <v/>
      </c>
      <c r="D86" s="5">
        <f t="shared" si="6"/>
        <v>0</v>
      </c>
      <c r="E86" s="5">
        <f t="shared" si="7"/>
        <v>0</v>
      </c>
      <c r="F86" s="5">
        <f t="shared" si="8"/>
        <v>0</v>
      </c>
      <c r="H86" s="5">
        <f>'Energia Elétrica e térmica'!B183</f>
        <v>0</v>
      </c>
      <c r="I86" s="39">
        <f>'Energia Elétrica e térmica'!E183</f>
        <v>0</v>
      </c>
      <c r="J86" s="5">
        <f t="shared" si="9"/>
        <v>0</v>
      </c>
      <c r="K86" s="5">
        <f t="shared" si="10"/>
        <v>0</v>
      </c>
      <c r="L86" s="5">
        <f t="shared" si="11"/>
        <v>0</v>
      </c>
    </row>
    <row r="87" spans="2:12" x14ac:dyDescent="0.35">
      <c r="B87" s="5">
        <f>'Energia Elétrica e térmica'!B66</f>
        <v>0</v>
      </c>
      <c r="C87" s="39" t="str">
        <f>'Energia Elétrica e térmica'!F66</f>
        <v/>
      </c>
      <c r="D87" s="5">
        <f t="shared" si="6"/>
        <v>0</v>
      </c>
      <c r="E87" s="5">
        <f t="shared" si="7"/>
        <v>0</v>
      </c>
      <c r="F87" s="5">
        <f t="shared" si="8"/>
        <v>0</v>
      </c>
      <c r="H87" s="5">
        <f>'Energia Elétrica e térmica'!B184</f>
        <v>0</v>
      </c>
      <c r="I87" s="39">
        <f>'Energia Elétrica e térmica'!E184</f>
        <v>0</v>
      </c>
      <c r="J87" s="5">
        <f t="shared" si="9"/>
        <v>0</v>
      </c>
      <c r="K87" s="5">
        <f t="shared" si="10"/>
        <v>0</v>
      </c>
      <c r="L87" s="5">
        <f t="shared" si="11"/>
        <v>0</v>
      </c>
    </row>
    <row r="88" spans="2:12" x14ac:dyDescent="0.35">
      <c r="B88" s="5">
        <f>'Energia Elétrica e térmica'!B67</f>
        <v>0</v>
      </c>
      <c r="C88" s="39" t="str">
        <f>'Energia Elétrica e térmica'!F67</f>
        <v/>
      </c>
      <c r="D88" s="5">
        <f t="shared" si="6"/>
        <v>0</v>
      </c>
      <c r="E88" s="5">
        <f t="shared" si="7"/>
        <v>0</v>
      </c>
      <c r="F88" s="5">
        <f t="shared" si="8"/>
        <v>0</v>
      </c>
      <c r="H88" s="5">
        <f>'Energia Elétrica e térmica'!B185</f>
        <v>0</v>
      </c>
      <c r="I88" s="39">
        <f>'Energia Elétrica e térmica'!E185</f>
        <v>0</v>
      </c>
      <c r="J88" s="5">
        <f t="shared" si="9"/>
        <v>0</v>
      </c>
      <c r="K88" s="5">
        <f t="shared" si="10"/>
        <v>0</v>
      </c>
      <c r="L88" s="5">
        <f t="shared" si="11"/>
        <v>0</v>
      </c>
    </row>
    <row r="89" spans="2:12" x14ac:dyDescent="0.35">
      <c r="B89" s="5">
        <f>'Energia Elétrica e térmica'!B68</f>
        <v>0</v>
      </c>
      <c r="C89" s="39" t="str">
        <f>'Energia Elétrica e térmica'!F68</f>
        <v/>
      </c>
      <c r="D89" s="5">
        <f t="shared" si="6"/>
        <v>0</v>
      </c>
      <c r="E89" s="5">
        <f t="shared" si="7"/>
        <v>0</v>
      </c>
      <c r="F89" s="5">
        <f t="shared" si="8"/>
        <v>0</v>
      </c>
      <c r="H89" s="5">
        <f>'Energia Elétrica e térmica'!B186</f>
        <v>0</v>
      </c>
      <c r="I89" s="39">
        <f>'Energia Elétrica e térmica'!E186</f>
        <v>0</v>
      </c>
      <c r="J89" s="5">
        <f t="shared" si="9"/>
        <v>0</v>
      </c>
      <c r="K89" s="5">
        <f t="shared" si="10"/>
        <v>0</v>
      </c>
      <c r="L89" s="5">
        <f t="shared" si="11"/>
        <v>0</v>
      </c>
    </row>
    <row r="90" spans="2:12" x14ac:dyDescent="0.35">
      <c r="B90" s="5">
        <f>'Energia Elétrica e térmica'!B69</f>
        <v>0</v>
      </c>
      <c r="C90" s="39" t="str">
        <f>'Energia Elétrica e térmica'!F69</f>
        <v/>
      </c>
      <c r="D90" s="5">
        <f t="shared" si="6"/>
        <v>0</v>
      </c>
      <c r="E90" s="5">
        <f t="shared" si="7"/>
        <v>0</v>
      </c>
      <c r="F90" s="5">
        <f t="shared" si="8"/>
        <v>0</v>
      </c>
      <c r="H90" s="5">
        <f>'Energia Elétrica e térmica'!B187</f>
        <v>0</v>
      </c>
      <c r="I90" s="39">
        <f>'Energia Elétrica e térmica'!E187</f>
        <v>0</v>
      </c>
      <c r="J90" s="5">
        <f t="shared" si="9"/>
        <v>0</v>
      </c>
      <c r="K90" s="5">
        <f t="shared" si="10"/>
        <v>0</v>
      </c>
      <c r="L90" s="5">
        <f t="shared" si="11"/>
        <v>0</v>
      </c>
    </row>
    <row r="91" spans="2:12" x14ac:dyDescent="0.35">
      <c r="B91" s="5">
        <f>'Energia Elétrica e térmica'!B70</f>
        <v>0</v>
      </c>
      <c r="C91" s="39" t="str">
        <f>'Energia Elétrica e térmica'!F70</f>
        <v/>
      </c>
      <c r="D91" s="5">
        <f t="shared" si="6"/>
        <v>0</v>
      </c>
      <c r="E91" s="5">
        <f t="shared" si="7"/>
        <v>0</v>
      </c>
      <c r="F91" s="5">
        <f t="shared" si="8"/>
        <v>0</v>
      </c>
      <c r="H91" s="5">
        <f>'Energia Elétrica e térmica'!B188</f>
        <v>0</v>
      </c>
      <c r="I91" s="39">
        <f>'Energia Elétrica e térmica'!E188</f>
        <v>0</v>
      </c>
      <c r="J91" s="5">
        <f t="shared" si="9"/>
        <v>0</v>
      </c>
      <c r="K91" s="5">
        <f t="shared" si="10"/>
        <v>0</v>
      </c>
      <c r="L91" s="5">
        <f t="shared" si="11"/>
        <v>0</v>
      </c>
    </row>
    <row r="92" spans="2:12" x14ac:dyDescent="0.35">
      <c r="B92" s="5">
        <f>'Energia Elétrica e térmica'!B71</f>
        <v>0</v>
      </c>
      <c r="C92" s="39" t="str">
        <f>'Energia Elétrica e térmica'!F71</f>
        <v/>
      </c>
      <c r="D92" s="5">
        <f t="shared" si="6"/>
        <v>0</v>
      </c>
      <c r="E92" s="5">
        <f t="shared" si="7"/>
        <v>0</v>
      </c>
      <c r="F92" s="5">
        <f t="shared" si="8"/>
        <v>0</v>
      </c>
      <c r="H92" s="5">
        <f>'Energia Elétrica e térmica'!B189</f>
        <v>0</v>
      </c>
      <c r="I92" s="39">
        <f>'Energia Elétrica e térmica'!E189</f>
        <v>0</v>
      </c>
      <c r="J92" s="5">
        <f t="shared" si="9"/>
        <v>0</v>
      </c>
      <c r="K92" s="5">
        <f t="shared" si="10"/>
        <v>0</v>
      </c>
      <c r="L92" s="5">
        <f t="shared" si="11"/>
        <v>0</v>
      </c>
    </row>
    <row r="93" spans="2:12" x14ac:dyDescent="0.35">
      <c r="B93" s="5">
        <f>'Energia Elétrica e térmica'!B72</f>
        <v>0</v>
      </c>
      <c r="C93" s="39" t="str">
        <f>'Energia Elétrica e térmica'!F72</f>
        <v/>
      </c>
      <c r="D93" s="5">
        <f t="shared" si="6"/>
        <v>0</v>
      </c>
      <c r="E93" s="5">
        <f t="shared" si="7"/>
        <v>0</v>
      </c>
      <c r="F93" s="5">
        <f t="shared" si="8"/>
        <v>0</v>
      </c>
      <c r="H93" s="5">
        <f>'Energia Elétrica e térmica'!B190</f>
        <v>0</v>
      </c>
      <c r="I93" s="39">
        <f>'Energia Elétrica e térmica'!E190</f>
        <v>0</v>
      </c>
      <c r="J93" s="5">
        <f t="shared" si="9"/>
        <v>0</v>
      </c>
      <c r="K93" s="5">
        <f t="shared" si="10"/>
        <v>0</v>
      </c>
      <c r="L93" s="5">
        <f t="shared" si="11"/>
        <v>0</v>
      </c>
    </row>
    <row r="94" spans="2:12" x14ac:dyDescent="0.35">
      <c r="B94" s="5">
        <f>'Energia Elétrica e térmica'!B73</f>
        <v>0</v>
      </c>
      <c r="C94" s="39" t="str">
        <f>'Energia Elétrica e térmica'!F73</f>
        <v/>
      </c>
      <c r="D94" s="5">
        <f t="shared" si="6"/>
        <v>0</v>
      </c>
      <c r="E94" s="5">
        <f t="shared" si="7"/>
        <v>0</v>
      </c>
      <c r="F94" s="5">
        <f t="shared" si="8"/>
        <v>0</v>
      </c>
      <c r="H94" s="5">
        <f>'Energia Elétrica e térmica'!B191</f>
        <v>0</v>
      </c>
      <c r="I94" s="39">
        <f>'Energia Elétrica e térmica'!E191</f>
        <v>0</v>
      </c>
      <c r="J94" s="5">
        <f t="shared" si="9"/>
        <v>0</v>
      </c>
      <c r="K94" s="5">
        <f t="shared" si="10"/>
        <v>0</v>
      </c>
      <c r="L94" s="5">
        <f t="shared" si="11"/>
        <v>0</v>
      </c>
    </row>
    <row r="95" spans="2:12" x14ac:dyDescent="0.35">
      <c r="B95" s="5">
        <f>'Energia Elétrica e térmica'!B74</f>
        <v>0</v>
      </c>
      <c r="C95" s="39" t="str">
        <f>'Energia Elétrica e térmica'!F74</f>
        <v/>
      </c>
      <c r="D95" s="5">
        <f t="shared" si="6"/>
        <v>0</v>
      </c>
      <c r="E95" s="5">
        <f t="shared" si="7"/>
        <v>0</v>
      </c>
      <c r="F95" s="5">
        <f t="shared" si="8"/>
        <v>0</v>
      </c>
      <c r="H95" s="5">
        <f>'Energia Elétrica e térmica'!B192</f>
        <v>0</v>
      </c>
      <c r="I95" s="39">
        <f>'Energia Elétrica e térmica'!E192</f>
        <v>0</v>
      </c>
      <c r="J95" s="5">
        <f t="shared" si="9"/>
        <v>0</v>
      </c>
      <c r="K95" s="5">
        <f t="shared" si="10"/>
        <v>0</v>
      </c>
      <c r="L95" s="5">
        <f t="shared" si="11"/>
        <v>0</v>
      </c>
    </row>
    <row r="96" spans="2:12" x14ac:dyDescent="0.35">
      <c r="B96" s="5">
        <f>'Energia Elétrica e térmica'!B75</f>
        <v>0</v>
      </c>
      <c r="C96" s="39" t="str">
        <f>'Energia Elétrica e térmica'!F75</f>
        <v/>
      </c>
      <c r="D96" s="5">
        <f t="shared" si="6"/>
        <v>0</v>
      </c>
      <c r="E96" s="5">
        <f t="shared" si="7"/>
        <v>0</v>
      </c>
      <c r="F96" s="5">
        <f t="shared" si="8"/>
        <v>0</v>
      </c>
      <c r="H96" s="5">
        <f>'Energia Elétrica e térmica'!B193</f>
        <v>0</v>
      </c>
      <c r="I96" s="39">
        <f>'Energia Elétrica e térmica'!E193</f>
        <v>0</v>
      </c>
      <c r="J96" s="5">
        <f t="shared" si="9"/>
        <v>0</v>
      </c>
      <c r="K96" s="5">
        <f t="shared" si="10"/>
        <v>0</v>
      </c>
      <c r="L96" s="5">
        <f t="shared" si="11"/>
        <v>0</v>
      </c>
    </row>
    <row r="97" spans="2:12" x14ac:dyDescent="0.35">
      <c r="B97" s="5">
        <f>'Energia Elétrica e térmica'!B76</f>
        <v>0</v>
      </c>
      <c r="C97" s="39" t="str">
        <f>'Energia Elétrica e térmica'!F76</f>
        <v/>
      </c>
      <c r="D97" s="5">
        <f t="shared" si="6"/>
        <v>0</v>
      </c>
      <c r="E97" s="5">
        <f t="shared" si="7"/>
        <v>0</v>
      </c>
      <c r="F97" s="5">
        <f t="shared" si="8"/>
        <v>0</v>
      </c>
      <c r="H97" s="5">
        <f>'Energia Elétrica e térmica'!B194</f>
        <v>0</v>
      </c>
      <c r="I97" s="39">
        <f>'Energia Elétrica e térmica'!E194</f>
        <v>0</v>
      </c>
      <c r="J97" s="5">
        <f t="shared" si="9"/>
        <v>0</v>
      </c>
      <c r="K97" s="5">
        <f t="shared" si="10"/>
        <v>0</v>
      </c>
      <c r="L97" s="5">
        <f t="shared" si="11"/>
        <v>0</v>
      </c>
    </row>
    <row r="98" spans="2:12" x14ac:dyDescent="0.35">
      <c r="B98" s="5">
        <f>'Energia Elétrica e térmica'!B77</f>
        <v>0</v>
      </c>
      <c r="C98" s="39" t="str">
        <f>'Energia Elétrica e térmica'!F77</f>
        <v/>
      </c>
      <c r="D98" s="5">
        <f t="shared" si="6"/>
        <v>0</v>
      </c>
      <c r="E98" s="5">
        <f t="shared" si="7"/>
        <v>0</v>
      </c>
      <c r="F98" s="5">
        <f t="shared" si="8"/>
        <v>0</v>
      </c>
      <c r="H98" s="5">
        <f>'Energia Elétrica e térmica'!B195</f>
        <v>0</v>
      </c>
      <c r="I98" s="39">
        <f>'Energia Elétrica e térmica'!E195</f>
        <v>0</v>
      </c>
      <c r="J98" s="5">
        <f t="shared" si="9"/>
        <v>0</v>
      </c>
      <c r="K98" s="5">
        <f t="shared" si="10"/>
        <v>0</v>
      </c>
      <c r="L98" s="5">
        <f t="shared" si="11"/>
        <v>0</v>
      </c>
    </row>
    <row r="99" spans="2:12" x14ac:dyDescent="0.35">
      <c r="B99" s="5">
        <f>'Energia Elétrica e térmica'!B78</f>
        <v>0</v>
      </c>
      <c r="C99" s="39" t="str">
        <f>'Energia Elétrica e térmica'!F78</f>
        <v/>
      </c>
      <c r="D99" s="5">
        <f t="shared" si="6"/>
        <v>0</v>
      </c>
      <c r="E99" s="5">
        <f t="shared" si="7"/>
        <v>0</v>
      </c>
      <c r="F99" s="5">
        <f t="shared" si="8"/>
        <v>0</v>
      </c>
      <c r="H99" s="5">
        <f>'Energia Elétrica e térmica'!B196</f>
        <v>0</v>
      </c>
      <c r="I99" s="39">
        <f>'Energia Elétrica e térmica'!E196</f>
        <v>0</v>
      </c>
      <c r="J99" s="5">
        <f t="shared" si="9"/>
        <v>0</v>
      </c>
      <c r="K99" s="5">
        <f t="shared" si="10"/>
        <v>0</v>
      </c>
      <c r="L99" s="5">
        <f t="shared" si="11"/>
        <v>0</v>
      </c>
    </row>
    <row r="100" spans="2:12" x14ac:dyDescent="0.35">
      <c r="B100" s="5">
        <f>'Energia Elétrica e térmica'!B79</f>
        <v>0</v>
      </c>
      <c r="C100" s="39" t="str">
        <f>'Energia Elétrica e térmica'!F79</f>
        <v/>
      </c>
      <c r="D100" s="5">
        <f t="shared" si="6"/>
        <v>0</v>
      </c>
      <c r="E100" s="5">
        <f t="shared" si="7"/>
        <v>0</v>
      </c>
      <c r="F100" s="5">
        <f t="shared" si="8"/>
        <v>0</v>
      </c>
      <c r="H100" s="5">
        <f>'Energia Elétrica e térmica'!B197</f>
        <v>0</v>
      </c>
      <c r="I100" s="39">
        <f>'Energia Elétrica e térmica'!E197</f>
        <v>0</v>
      </c>
      <c r="J100" s="5">
        <f t="shared" si="9"/>
        <v>0</v>
      </c>
      <c r="K100" s="5">
        <f t="shared" si="10"/>
        <v>0</v>
      </c>
      <c r="L100" s="5">
        <f t="shared" si="11"/>
        <v>0</v>
      </c>
    </row>
    <row r="101" spans="2:12" x14ac:dyDescent="0.35">
      <c r="B101" s="5">
        <f>'Energia Elétrica e térmica'!B80</f>
        <v>0</v>
      </c>
      <c r="C101" s="39" t="str">
        <f>'Energia Elétrica e térmica'!F80</f>
        <v/>
      </c>
      <c r="D101" s="5">
        <f t="shared" si="6"/>
        <v>0</v>
      </c>
      <c r="E101" s="5">
        <f t="shared" si="7"/>
        <v>0</v>
      </c>
      <c r="F101" s="5">
        <f t="shared" si="8"/>
        <v>0</v>
      </c>
      <c r="H101" s="5">
        <f>'Energia Elétrica e térmica'!B198</f>
        <v>0</v>
      </c>
      <c r="I101" s="39">
        <f>'Energia Elétrica e térmica'!E198</f>
        <v>0</v>
      </c>
      <c r="J101" s="5">
        <f t="shared" si="9"/>
        <v>0</v>
      </c>
      <c r="K101" s="5">
        <f t="shared" si="10"/>
        <v>0</v>
      </c>
      <c r="L101" s="5">
        <f t="shared" si="11"/>
        <v>0</v>
      </c>
    </row>
    <row r="102" spans="2:12" x14ac:dyDescent="0.35">
      <c r="B102" s="5">
        <f>'Energia Elétrica e térmica'!B81</f>
        <v>0</v>
      </c>
      <c r="C102" s="39" t="str">
        <f>'Energia Elétrica e térmica'!F81</f>
        <v/>
      </c>
      <c r="D102" s="5">
        <f t="shared" si="6"/>
        <v>0</v>
      </c>
      <c r="E102" s="5">
        <f t="shared" si="7"/>
        <v>0</v>
      </c>
      <c r="F102" s="5">
        <f t="shared" si="8"/>
        <v>0</v>
      </c>
      <c r="H102" s="5">
        <f>'Energia Elétrica e térmica'!B199</f>
        <v>0</v>
      </c>
      <c r="I102" s="39">
        <f>'Energia Elétrica e térmica'!E199</f>
        <v>0</v>
      </c>
      <c r="J102" s="5">
        <f t="shared" si="9"/>
        <v>0</v>
      </c>
      <c r="K102" s="5">
        <f t="shared" si="10"/>
        <v>0</v>
      </c>
      <c r="L102" s="5">
        <f t="shared" si="11"/>
        <v>0</v>
      </c>
    </row>
    <row r="103" spans="2:12" x14ac:dyDescent="0.35">
      <c r="B103" s="5">
        <f>'Energia Elétrica e térmica'!B82</f>
        <v>0</v>
      </c>
      <c r="C103" s="39" t="str">
        <f>'Energia Elétrica e térmica'!F82</f>
        <v/>
      </c>
      <c r="D103" s="5">
        <f t="shared" si="6"/>
        <v>0</v>
      </c>
      <c r="E103" s="5">
        <f t="shared" si="7"/>
        <v>0</v>
      </c>
      <c r="F103" s="5">
        <f t="shared" si="8"/>
        <v>0</v>
      </c>
      <c r="H103" s="5">
        <f>'Energia Elétrica e térmica'!B200</f>
        <v>0</v>
      </c>
      <c r="I103" s="39">
        <f>'Energia Elétrica e térmica'!E200</f>
        <v>0</v>
      </c>
      <c r="J103" s="5">
        <f t="shared" si="9"/>
        <v>0</v>
      </c>
      <c r="K103" s="5">
        <f t="shared" si="10"/>
        <v>0</v>
      </c>
      <c r="L103" s="5">
        <f t="shared" si="11"/>
        <v>0</v>
      </c>
    </row>
    <row r="104" spans="2:12" x14ac:dyDescent="0.35">
      <c r="B104" s="5">
        <f>'Energia Elétrica e térmica'!B83</f>
        <v>0</v>
      </c>
      <c r="C104" s="39" t="str">
        <f>'Energia Elétrica e térmica'!F83</f>
        <v/>
      </c>
      <c r="D104" s="5">
        <f t="shared" si="6"/>
        <v>0</v>
      </c>
      <c r="E104" s="5">
        <f t="shared" si="7"/>
        <v>0</v>
      </c>
      <c r="F104" s="5">
        <f t="shared" si="8"/>
        <v>0</v>
      </c>
      <c r="H104" s="5">
        <f>'Energia Elétrica e térmica'!B201</f>
        <v>0</v>
      </c>
      <c r="I104" s="39">
        <f>'Energia Elétrica e térmica'!E201</f>
        <v>0</v>
      </c>
      <c r="J104" s="5">
        <f t="shared" si="9"/>
        <v>0</v>
      </c>
      <c r="K104" s="5">
        <f t="shared" si="10"/>
        <v>0</v>
      </c>
      <c r="L104" s="5">
        <f t="shared" si="11"/>
        <v>0</v>
      </c>
    </row>
    <row r="105" spans="2:12" x14ac:dyDescent="0.35">
      <c r="B105" s="5">
        <f>'Energia Elétrica e térmica'!B84</f>
        <v>0</v>
      </c>
      <c r="C105" s="39" t="str">
        <f>'Energia Elétrica e térmica'!F84</f>
        <v/>
      </c>
      <c r="D105" s="5">
        <f t="shared" si="6"/>
        <v>0</v>
      </c>
      <c r="E105" s="5">
        <f t="shared" si="7"/>
        <v>0</v>
      </c>
      <c r="F105" s="5">
        <f t="shared" si="8"/>
        <v>0</v>
      </c>
      <c r="H105" s="5">
        <f>'Energia Elétrica e térmica'!B202</f>
        <v>0</v>
      </c>
      <c r="I105" s="39">
        <f>'Energia Elétrica e térmica'!E202</f>
        <v>0</v>
      </c>
      <c r="J105" s="5">
        <f t="shared" si="9"/>
        <v>0</v>
      </c>
      <c r="K105" s="5">
        <f t="shared" si="10"/>
        <v>0</v>
      </c>
      <c r="L105" s="5">
        <f t="shared" si="11"/>
        <v>0</v>
      </c>
    </row>
    <row r="106" spans="2:12" x14ac:dyDescent="0.35">
      <c r="B106" s="5">
        <f>'Energia Elétrica e térmica'!B85</f>
        <v>0</v>
      </c>
      <c r="C106" s="39" t="str">
        <f>'Energia Elétrica e térmica'!F85</f>
        <v/>
      </c>
      <c r="D106" s="5">
        <f t="shared" si="6"/>
        <v>0</v>
      </c>
      <c r="E106" s="5">
        <f t="shared" si="7"/>
        <v>0</v>
      </c>
      <c r="F106" s="5">
        <f t="shared" si="8"/>
        <v>0</v>
      </c>
      <c r="H106" s="5">
        <f>'Energia Elétrica e térmica'!B203</f>
        <v>0</v>
      </c>
      <c r="I106" s="39">
        <f>'Energia Elétrica e térmica'!E203</f>
        <v>0</v>
      </c>
      <c r="J106" s="5">
        <f t="shared" si="9"/>
        <v>0</v>
      </c>
      <c r="K106" s="5">
        <f t="shared" si="10"/>
        <v>0</v>
      </c>
      <c r="L106" s="5">
        <f t="shared" si="11"/>
        <v>0</v>
      </c>
    </row>
    <row r="107" spans="2:12" x14ac:dyDescent="0.35">
      <c r="B107" s="5">
        <f>'Energia Elétrica e térmica'!B86</f>
        <v>0</v>
      </c>
      <c r="C107" s="39" t="str">
        <f>'Energia Elétrica e térmica'!F86</f>
        <v/>
      </c>
      <c r="D107" s="5">
        <f t="shared" si="6"/>
        <v>0</v>
      </c>
      <c r="E107" s="5">
        <f t="shared" si="7"/>
        <v>0</v>
      </c>
      <c r="F107" s="5">
        <f t="shared" si="8"/>
        <v>0</v>
      </c>
      <c r="H107" s="5">
        <f>'Energia Elétrica e térmica'!B204</f>
        <v>0</v>
      </c>
      <c r="I107" s="39">
        <f>'Energia Elétrica e térmica'!E204</f>
        <v>0</v>
      </c>
      <c r="J107" s="5">
        <f t="shared" si="9"/>
        <v>0</v>
      </c>
      <c r="K107" s="5">
        <f t="shared" si="10"/>
        <v>0</v>
      </c>
      <c r="L107" s="5">
        <f t="shared" si="11"/>
        <v>0</v>
      </c>
    </row>
    <row r="108" spans="2:12" x14ac:dyDescent="0.35">
      <c r="B108" s="5">
        <f>'Energia Elétrica e térmica'!B87</f>
        <v>0</v>
      </c>
      <c r="C108" s="39" t="str">
        <f>'Energia Elétrica e térmica'!F87</f>
        <v/>
      </c>
      <c r="D108" s="5">
        <f t="shared" si="6"/>
        <v>0</v>
      </c>
      <c r="E108" s="5">
        <f t="shared" si="7"/>
        <v>0</v>
      </c>
      <c r="F108" s="5">
        <f t="shared" si="8"/>
        <v>0</v>
      </c>
      <c r="H108" s="5">
        <f>'Energia Elétrica e térmica'!B205</f>
        <v>0</v>
      </c>
      <c r="I108" s="39">
        <f>'Energia Elétrica e térmica'!E205</f>
        <v>0</v>
      </c>
      <c r="J108" s="5">
        <f t="shared" si="9"/>
        <v>0</v>
      </c>
      <c r="K108" s="5">
        <f t="shared" si="10"/>
        <v>0</v>
      </c>
      <c r="L108" s="5">
        <f t="shared" si="11"/>
        <v>0</v>
      </c>
    </row>
    <row r="109" spans="2:12" x14ac:dyDescent="0.35">
      <c r="B109" s="5">
        <f>'Energia Elétrica e térmica'!B88</f>
        <v>0</v>
      </c>
      <c r="C109" s="39" t="str">
        <f>'Energia Elétrica e térmica'!F88</f>
        <v/>
      </c>
      <c r="D109" s="5">
        <f t="shared" si="6"/>
        <v>0</v>
      </c>
      <c r="E109" s="5">
        <f t="shared" si="7"/>
        <v>0</v>
      </c>
      <c r="F109" s="5">
        <f t="shared" si="8"/>
        <v>0</v>
      </c>
      <c r="H109" s="5">
        <f>'Energia Elétrica e térmica'!B206</f>
        <v>0</v>
      </c>
      <c r="I109" s="39">
        <f>'Energia Elétrica e térmica'!E206</f>
        <v>0</v>
      </c>
      <c r="J109" s="5">
        <f t="shared" si="9"/>
        <v>0</v>
      </c>
      <c r="K109" s="5">
        <f t="shared" si="10"/>
        <v>0</v>
      </c>
      <c r="L109" s="5">
        <f t="shared" si="11"/>
        <v>0</v>
      </c>
    </row>
    <row r="110" spans="2:12" x14ac:dyDescent="0.35">
      <c r="B110" s="5">
        <f>'Energia Elétrica e térmica'!B89</f>
        <v>0</v>
      </c>
      <c r="C110" s="39" t="str">
        <f>'Energia Elétrica e térmica'!F89</f>
        <v/>
      </c>
      <c r="D110" s="5">
        <f t="shared" si="6"/>
        <v>0</v>
      </c>
      <c r="E110" s="5">
        <f t="shared" si="7"/>
        <v>0</v>
      </c>
      <c r="F110" s="5">
        <f t="shared" si="8"/>
        <v>0</v>
      </c>
      <c r="H110" s="5">
        <f>'Energia Elétrica e térmica'!B207</f>
        <v>0</v>
      </c>
      <c r="I110" s="39">
        <f>'Energia Elétrica e térmica'!E207</f>
        <v>0</v>
      </c>
      <c r="J110" s="5">
        <f t="shared" si="9"/>
        <v>0</v>
      </c>
      <c r="K110" s="5">
        <f t="shared" si="10"/>
        <v>0</v>
      </c>
      <c r="L110" s="5">
        <f t="shared" si="11"/>
        <v>0</v>
      </c>
    </row>
    <row r="111" spans="2:12" x14ac:dyDescent="0.35">
      <c r="B111" s="5">
        <f>'Energia Elétrica e térmica'!B90</f>
        <v>0</v>
      </c>
      <c r="C111" s="39" t="str">
        <f>'Energia Elétrica e térmica'!F90</f>
        <v/>
      </c>
      <c r="D111" s="5">
        <f t="shared" si="6"/>
        <v>0</v>
      </c>
      <c r="E111" s="5">
        <f t="shared" si="7"/>
        <v>0</v>
      </c>
      <c r="F111" s="5">
        <f t="shared" si="8"/>
        <v>0</v>
      </c>
      <c r="H111" s="5">
        <f>'Energia Elétrica e térmica'!B208</f>
        <v>0</v>
      </c>
      <c r="I111" s="39">
        <f>'Energia Elétrica e térmica'!E208</f>
        <v>0</v>
      </c>
      <c r="J111" s="5">
        <f t="shared" si="9"/>
        <v>0</v>
      </c>
      <c r="K111" s="5">
        <f t="shared" si="10"/>
        <v>0</v>
      </c>
      <c r="L111" s="5">
        <f t="shared" si="11"/>
        <v>0</v>
      </c>
    </row>
    <row r="112" spans="2:12" x14ac:dyDescent="0.35">
      <c r="B112" s="5">
        <f>'Energia Elétrica e térmica'!B91</f>
        <v>0</v>
      </c>
      <c r="C112" s="39" t="str">
        <f>'Energia Elétrica e térmica'!F91</f>
        <v/>
      </c>
      <c r="D112" s="5">
        <f t="shared" si="6"/>
        <v>0</v>
      </c>
      <c r="E112" s="5">
        <f t="shared" si="7"/>
        <v>0</v>
      </c>
      <c r="F112" s="5">
        <f t="shared" si="8"/>
        <v>0</v>
      </c>
      <c r="H112" s="5">
        <f>'Energia Elétrica e térmica'!B209</f>
        <v>0</v>
      </c>
      <c r="I112" s="39">
        <f>'Energia Elétrica e térmica'!E209</f>
        <v>0</v>
      </c>
      <c r="J112" s="5">
        <f t="shared" si="9"/>
        <v>0</v>
      </c>
      <c r="K112" s="5">
        <f t="shared" si="10"/>
        <v>0</v>
      </c>
      <c r="L112" s="5">
        <f t="shared" si="11"/>
        <v>0</v>
      </c>
    </row>
    <row r="113" spans="2:12" x14ac:dyDescent="0.35">
      <c r="B113" s="5">
        <f>'Energia Elétrica e térmica'!B92</f>
        <v>0</v>
      </c>
      <c r="C113" s="39" t="str">
        <f>'Energia Elétrica e térmica'!F92</f>
        <v/>
      </c>
      <c r="D113" s="5">
        <f t="shared" si="6"/>
        <v>0</v>
      </c>
      <c r="E113" s="5">
        <f t="shared" si="7"/>
        <v>0</v>
      </c>
      <c r="F113" s="5">
        <f t="shared" si="8"/>
        <v>0</v>
      </c>
      <c r="H113" s="5">
        <f>'Energia Elétrica e térmica'!B210</f>
        <v>0</v>
      </c>
      <c r="I113" s="39">
        <f>'Energia Elétrica e térmica'!E210</f>
        <v>0</v>
      </c>
      <c r="J113" s="5">
        <f t="shared" si="9"/>
        <v>0</v>
      </c>
      <c r="K113" s="5">
        <f t="shared" si="10"/>
        <v>0</v>
      </c>
      <c r="L113" s="5">
        <f t="shared" si="11"/>
        <v>0</v>
      </c>
    </row>
    <row r="114" spans="2:12" x14ac:dyDescent="0.35">
      <c r="B114" s="5">
        <f>'Energia Elétrica e térmica'!B93</f>
        <v>0</v>
      </c>
      <c r="C114" s="39" t="str">
        <f>'Energia Elétrica e térmica'!F93</f>
        <v/>
      </c>
      <c r="D114" s="5">
        <f t="shared" si="6"/>
        <v>0</v>
      </c>
      <c r="E114" s="5">
        <f t="shared" si="7"/>
        <v>0</v>
      </c>
      <c r="F114" s="5">
        <f t="shared" si="8"/>
        <v>0</v>
      </c>
      <c r="H114" s="5">
        <f>'Energia Elétrica e térmica'!B211</f>
        <v>0</v>
      </c>
      <c r="I114" s="39">
        <f>'Energia Elétrica e térmica'!E211</f>
        <v>0</v>
      </c>
      <c r="J114" s="5">
        <f t="shared" si="9"/>
        <v>0</v>
      </c>
      <c r="K114" s="5">
        <f t="shared" si="10"/>
        <v>0</v>
      </c>
      <c r="L114" s="5">
        <f t="shared" si="11"/>
        <v>0</v>
      </c>
    </row>
    <row r="115" spans="2:12" x14ac:dyDescent="0.35">
      <c r="B115" s="5">
        <f>'Energia Elétrica e térmica'!B94</f>
        <v>0</v>
      </c>
      <c r="C115" s="39" t="str">
        <f>'Energia Elétrica e térmica'!F94</f>
        <v/>
      </c>
      <c r="D115" s="5">
        <f t="shared" si="6"/>
        <v>0</v>
      </c>
      <c r="E115" s="5">
        <f t="shared" si="7"/>
        <v>0</v>
      </c>
      <c r="F115" s="5">
        <f t="shared" si="8"/>
        <v>0</v>
      </c>
      <c r="H115" s="5">
        <f>'Energia Elétrica e térmica'!B212</f>
        <v>0</v>
      </c>
      <c r="I115" s="39">
        <f>'Energia Elétrica e térmica'!E212</f>
        <v>0</v>
      </c>
      <c r="J115" s="5">
        <f t="shared" si="9"/>
        <v>0</v>
      </c>
      <c r="K115" s="5">
        <f t="shared" si="10"/>
        <v>0</v>
      </c>
      <c r="L115" s="5">
        <f t="shared" si="11"/>
        <v>0</v>
      </c>
    </row>
    <row r="116" spans="2:12" x14ac:dyDescent="0.35">
      <c r="B116" s="5">
        <f>'Energia Elétrica e térmica'!B95</f>
        <v>0</v>
      </c>
      <c r="C116" s="39" t="str">
        <f>'Energia Elétrica e térmica'!F95</f>
        <v/>
      </c>
      <c r="D116" s="5">
        <f t="shared" si="6"/>
        <v>0</v>
      </c>
      <c r="E116" s="5">
        <f t="shared" si="7"/>
        <v>0</v>
      </c>
      <c r="F116" s="5">
        <f t="shared" si="8"/>
        <v>0</v>
      </c>
      <c r="H116" s="5">
        <f>'Energia Elétrica e térmica'!B213</f>
        <v>0</v>
      </c>
      <c r="I116" s="39">
        <f>'Energia Elétrica e térmica'!E213</f>
        <v>0</v>
      </c>
      <c r="J116" s="5">
        <f t="shared" si="9"/>
        <v>0</v>
      </c>
      <c r="K116" s="5">
        <f t="shared" si="10"/>
        <v>0</v>
      </c>
      <c r="L116" s="5">
        <f t="shared" si="11"/>
        <v>0</v>
      </c>
    </row>
    <row r="117" spans="2:12" x14ac:dyDescent="0.35">
      <c r="B117" s="5">
        <f>'Energia Elétrica e térmica'!B96</f>
        <v>0</v>
      </c>
      <c r="C117" s="39" t="str">
        <f>'Energia Elétrica e térmica'!F96</f>
        <v/>
      </c>
      <c r="D117" s="5">
        <f t="shared" si="6"/>
        <v>0</v>
      </c>
      <c r="E117" s="5">
        <f t="shared" si="7"/>
        <v>0</v>
      </c>
      <c r="F117" s="5">
        <f t="shared" si="8"/>
        <v>0</v>
      </c>
      <c r="H117" s="5">
        <f>'Energia Elétrica e térmica'!B214</f>
        <v>0</v>
      </c>
      <c r="I117" s="39">
        <f>'Energia Elétrica e térmica'!E214</f>
        <v>0</v>
      </c>
      <c r="J117" s="5">
        <f t="shared" si="9"/>
        <v>0</v>
      </c>
      <c r="K117" s="5">
        <f t="shared" si="10"/>
        <v>0</v>
      </c>
      <c r="L117" s="5">
        <f t="shared" si="11"/>
        <v>0</v>
      </c>
    </row>
    <row r="118" spans="2:12" x14ac:dyDescent="0.35">
      <c r="B118" s="5">
        <f>'Energia Elétrica e térmica'!B97</f>
        <v>0</v>
      </c>
      <c r="C118" s="39" t="str">
        <f>'Energia Elétrica e térmica'!F97</f>
        <v/>
      </c>
      <c r="D118" s="5">
        <f t="shared" si="6"/>
        <v>0</v>
      </c>
      <c r="E118" s="5">
        <f t="shared" si="7"/>
        <v>0</v>
      </c>
      <c r="F118" s="5">
        <f t="shared" si="8"/>
        <v>0</v>
      </c>
      <c r="H118" s="5">
        <f>'Energia Elétrica e térmica'!B215</f>
        <v>0</v>
      </c>
      <c r="I118" s="39">
        <f>'Energia Elétrica e térmica'!E215</f>
        <v>0</v>
      </c>
      <c r="J118" s="5">
        <f t="shared" si="9"/>
        <v>0</v>
      </c>
      <c r="K118" s="5">
        <f t="shared" si="10"/>
        <v>0</v>
      </c>
      <c r="L118" s="5">
        <f t="shared" si="11"/>
        <v>0</v>
      </c>
    </row>
    <row r="119" spans="2:12" x14ac:dyDescent="0.35">
      <c r="B119" s="5">
        <f>'Energia Elétrica e térmica'!B98</f>
        <v>0</v>
      </c>
      <c r="C119" s="39" t="str">
        <f>'Energia Elétrica e térmica'!F98</f>
        <v/>
      </c>
      <c r="D119" s="5">
        <f t="shared" ref="D119:D153" si="12">IF(B119=$D$53,C119,0)</f>
        <v>0</v>
      </c>
      <c r="E119" s="5">
        <f t="shared" ref="E119:E153" si="13">IF(B119=$E$53,C119,0)</f>
        <v>0</v>
      </c>
      <c r="F119" s="5">
        <f t="shared" ref="F119:F153" si="14">IF(B119=$F$53,C119,0)</f>
        <v>0</v>
      </c>
      <c r="H119" s="5">
        <f>'Energia Elétrica e térmica'!B216</f>
        <v>0</v>
      </c>
      <c r="I119" s="39">
        <f>'Energia Elétrica e térmica'!E216</f>
        <v>0</v>
      </c>
      <c r="J119" s="5">
        <f t="shared" ref="J119:J153" si="15">IF(H119=$J$53,I119,0)</f>
        <v>0</v>
      </c>
      <c r="K119" s="5">
        <f t="shared" ref="K119:K153" si="16">IF(H119=$K$53,I119,0)</f>
        <v>0</v>
      </c>
      <c r="L119" s="5">
        <f t="shared" ref="L119:L153" si="17">IF(H119=$L$53,I119,0)</f>
        <v>0</v>
      </c>
    </row>
    <row r="120" spans="2:12" x14ac:dyDescent="0.35">
      <c r="B120" s="5">
        <f>'Energia Elétrica e térmica'!B99</f>
        <v>0</v>
      </c>
      <c r="C120" s="39" t="str">
        <f>'Energia Elétrica e térmica'!F99</f>
        <v/>
      </c>
      <c r="D120" s="5">
        <f t="shared" si="12"/>
        <v>0</v>
      </c>
      <c r="E120" s="5">
        <f t="shared" si="13"/>
        <v>0</v>
      </c>
      <c r="F120" s="5">
        <f t="shared" si="14"/>
        <v>0</v>
      </c>
      <c r="H120" s="5">
        <f>'Energia Elétrica e térmica'!B217</f>
        <v>0</v>
      </c>
      <c r="I120" s="39">
        <f>'Energia Elétrica e térmica'!E217</f>
        <v>0</v>
      </c>
      <c r="J120" s="5">
        <f t="shared" si="15"/>
        <v>0</v>
      </c>
      <c r="K120" s="5">
        <f t="shared" si="16"/>
        <v>0</v>
      </c>
      <c r="L120" s="5">
        <f t="shared" si="17"/>
        <v>0</v>
      </c>
    </row>
    <row r="121" spans="2:12" x14ac:dyDescent="0.35">
      <c r="B121" s="5">
        <f>'Energia Elétrica e térmica'!B100</f>
        <v>0</v>
      </c>
      <c r="C121" s="39" t="str">
        <f>'Energia Elétrica e térmica'!F100</f>
        <v/>
      </c>
      <c r="D121" s="5">
        <f t="shared" si="12"/>
        <v>0</v>
      </c>
      <c r="E121" s="5">
        <f t="shared" si="13"/>
        <v>0</v>
      </c>
      <c r="F121" s="5">
        <f t="shared" si="14"/>
        <v>0</v>
      </c>
      <c r="H121" s="5">
        <f>'Energia Elétrica e térmica'!B218</f>
        <v>0</v>
      </c>
      <c r="I121" s="39">
        <f>'Energia Elétrica e térmica'!E218</f>
        <v>0</v>
      </c>
      <c r="J121" s="5">
        <f t="shared" si="15"/>
        <v>0</v>
      </c>
      <c r="K121" s="5">
        <f t="shared" si="16"/>
        <v>0</v>
      </c>
      <c r="L121" s="5">
        <f t="shared" si="17"/>
        <v>0</v>
      </c>
    </row>
    <row r="122" spans="2:12" x14ac:dyDescent="0.35">
      <c r="B122" s="5">
        <f>'Energia Elétrica e térmica'!B101</f>
        <v>0</v>
      </c>
      <c r="C122" s="39" t="str">
        <f>'Energia Elétrica e térmica'!F101</f>
        <v/>
      </c>
      <c r="D122" s="5">
        <f t="shared" si="12"/>
        <v>0</v>
      </c>
      <c r="E122" s="5">
        <f t="shared" si="13"/>
        <v>0</v>
      </c>
      <c r="F122" s="5">
        <f t="shared" si="14"/>
        <v>0</v>
      </c>
      <c r="H122" s="5">
        <f>'Energia Elétrica e térmica'!B219</f>
        <v>0</v>
      </c>
      <c r="I122" s="39">
        <f>'Energia Elétrica e térmica'!E219</f>
        <v>0</v>
      </c>
      <c r="J122" s="5">
        <f t="shared" si="15"/>
        <v>0</v>
      </c>
      <c r="K122" s="5">
        <f t="shared" si="16"/>
        <v>0</v>
      </c>
      <c r="L122" s="5">
        <f t="shared" si="17"/>
        <v>0</v>
      </c>
    </row>
    <row r="123" spans="2:12" x14ac:dyDescent="0.35">
      <c r="B123" s="5">
        <f>'Energia Elétrica e térmica'!B102</f>
        <v>0</v>
      </c>
      <c r="C123" s="39" t="str">
        <f>'Energia Elétrica e térmica'!F102</f>
        <v/>
      </c>
      <c r="D123" s="5">
        <f t="shared" si="12"/>
        <v>0</v>
      </c>
      <c r="E123" s="5">
        <f t="shared" si="13"/>
        <v>0</v>
      </c>
      <c r="F123" s="5">
        <f t="shared" si="14"/>
        <v>0</v>
      </c>
      <c r="H123" s="5">
        <f>'Energia Elétrica e térmica'!B220</f>
        <v>0</v>
      </c>
      <c r="I123" s="39">
        <f>'Energia Elétrica e térmica'!E220</f>
        <v>0</v>
      </c>
      <c r="J123" s="5">
        <f t="shared" si="15"/>
        <v>0</v>
      </c>
      <c r="K123" s="5">
        <f t="shared" si="16"/>
        <v>0</v>
      </c>
      <c r="L123" s="5">
        <f t="shared" si="17"/>
        <v>0</v>
      </c>
    </row>
    <row r="124" spans="2:12" x14ac:dyDescent="0.35">
      <c r="B124" s="5">
        <f>'Energia Elétrica e térmica'!B103</f>
        <v>0</v>
      </c>
      <c r="C124" s="39" t="str">
        <f>'Energia Elétrica e térmica'!F103</f>
        <v/>
      </c>
      <c r="D124" s="5">
        <f t="shared" si="12"/>
        <v>0</v>
      </c>
      <c r="E124" s="5">
        <f t="shared" si="13"/>
        <v>0</v>
      </c>
      <c r="F124" s="5">
        <f t="shared" si="14"/>
        <v>0</v>
      </c>
      <c r="H124" s="5">
        <f>'Energia Elétrica e térmica'!B221</f>
        <v>0</v>
      </c>
      <c r="I124" s="39">
        <f>'Energia Elétrica e térmica'!E221</f>
        <v>0</v>
      </c>
      <c r="J124" s="5">
        <f t="shared" si="15"/>
        <v>0</v>
      </c>
      <c r="K124" s="5">
        <f t="shared" si="16"/>
        <v>0</v>
      </c>
      <c r="L124" s="5">
        <f t="shared" si="17"/>
        <v>0</v>
      </c>
    </row>
    <row r="125" spans="2:12" x14ac:dyDescent="0.35">
      <c r="B125" s="5">
        <f>'Energia Elétrica e térmica'!B104</f>
        <v>0</v>
      </c>
      <c r="C125" s="39" t="str">
        <f>'Energia Elétrica e térmica'!F104</f>
        <v/>
      </c>
      <c r="D125" s="5">
        <f t="shared" si="12"/>
        <v>0</v>
      </c>
      <c r="E125" s="5">
        <f t="shared" si="13"/>
        <v>0</v>
      </c>
      <c r="F125" s="5">
        <f t="shared" si="14"/>
        <v>0</v>
      </c>
      <c r="H125" s="5">
        <f>'Energia Elétrica e térmica'!B222</f>
        <v>0</v>
      </c>
      <c r="I125" s="39">
        <f>'Energia Elétrica e térmica'!E222</f>
        <v>0</v>
      </c>
      <c r="J125" s="5">
        <f t="shared" si="15"/>
        <v>0</v>
      </c>
      <c r="K125" s="5">
        <f t="shared" si="16"/>
        <v>0</v>
      </c>
      <c r="L125" s="5">
        <f t="shared" si="17"/>
        <v>0</v>
      </c>
    </row>
    <row r="126" spans="2:12" x14ac:dyDescent="0.35">
      <c r="B126" s="5">
        <f>'Energia Elétrica e térmica'!B105</f>
        <v>0</v>
      </c>
      <c r="C126" s="39" t="str">
        <f>'Energia Elétrica e térmica'!F105</f>
        <v/>
      </c>
      <c r="D126" s="5">
        <f t="shared" si="12"/>
        <v>0</v>
      </c>
      <c r="E126" s="5">
        <f t="shared" si="13"/>
        <v>0</v>
      </c>
      <c r="F126" s="5">
        <f t="shared" si="14"/>
        <v>0</v>
      </c>
      <c r="H126" s="5">
        <f>'Energia Elétrica e térmica'!B223</f>
        <v>0</v>
      </c>
      <c r="I126" s="39">
        <f>'Energia Elétrica e térmica'!E223</f>
        <v>0</v>
      </c>
      <c r="J126" s="5">
        <f t="shared" si="15"/>
        <v>0</v>
      </c>
      <c r="K126" s="5">
        <f t="shared" si="16"/>
        <v>0</v>
      </c>
      <c r="L126" s="5">
        <f t="shared" si="17"/>
        <v>0</v>
      </c>
    </row>
    <row r="127" spans="2:12" x14ac:dyDescent="0.35">
      <c r="B127" s="5">
        <f>'Energia Elétrica e térmica'!B106</f>
        <v>0</v>
      </c>
      <c r="C127" s="39" t="str">
        <f>'Energia Elétrica e térmica'!F106</f>
        <v/>
      </c>
      <c r="D127" s="5">
        <f t="shared" si="12"/>
        <v>0</v>
      </c>
      <c r="E127" s="5">
        <f t="shared" si="13"/>
        <v>0</v>
      </c>
      <c r="F127" s="5">
        <f t="shared" si="14"/>
        <v>0</v>
      </c>
      <c r="H127" s="5">
        <f>'Energia Elétrica e térmica'!B224</f>
        <v>0</v>
      </c>
      <c r="I127" s="39">
        <f>'Energia Elétrica e térmica'!E224</f>
        <v>0</v>
      </c>
      <c r="J127" s="5">
        <f t="shared" si="15"/>
        <v>0</v>
      </c>
      <c r="K127" s="5">
        <f t="shared" si="16"/>
        <v>0</v>
      </c>
      <c r="L127" s="5">
        <f t="shared" si="17"/>
        <v>0</v>
      </c>
    </row>
    <row r="128" spans="2:12" x14ac:dyDescent="0.35">
      <c r="B128" s="5">
        <f>'Energia Elétrica e térmica'!B107</f>
        <v>0</v>
      </c>
      <c r="C128" s="39" t="str">
        <f>'Energia Elétrica e térmica'!F107</f>
        <v/>
      </c>
      <c r="D128" s="5">
        <f t="shared" si="12"/>
        <v>0</v>
      </c>
      <c r="E128" s="5">
        <f t="shared" si="13"/>
        <v>0</v>
      </c>
      <c r="F128" s="5">
        <f t="shared" si="14"/>
        <v>0</v>
      </c>
      <c r="H128" s="5">
        <f>'Energia Elétrica e térmica'!B225</f>
        <v>0</v>
      </c>
      <c r="I128" s="39">
        <f>'Energia Elétrica e térmica'!E225</f>
        <v>0</v>
      </c>
      <c r="J128" s="5">
        <f t="shared" si="15"/>
        <v>0</v>
      </c>
      <c r="K128" s="5">
        <f t="shared" si="16"/>
        <v>0</v>
      </c>
      <c r="L128" s="5">
        <f t="shared" si="17"/>
        <v>0</v>
      </c>
    </row>
    <row r="129" spans="2:12" x14ac:dyDescent="0.35">
      <c r="B129" s="5">
        <f>'Energia Elétrica e térmica'!B108</f>
        <v>0</v>
      </c>
      <c r="C129" s="39" t="str">
        <f>'Energia Elétrica e térmica'!F108</f>
        <v/>
      </c>
      <c r="D129" s="5">
        <f t="shared" si="12"/>
        <v>0</v>
      </c>
      <c r="E129" s="5">
        <f t="shared" si="13"/>
        <v>0</v>
      </c>
      <c r="F129" s="5">
        <f t="shared" si="14"/>
        <v>0</v>
      </c>
      <c r="H129" s="5">
        <f>'Energia Elétrica e térmica'!B226</f>
        <v>0</v>
      </c>
      <c r="I129" s="39">
        <f>'Energia Elétrica e térmica'!E226</f>
        <v>0</v>
      </c>
      <c r="J129" s="5">
        <f t="shared" si="15"/>
        <v>0</v>
      </c>
      <c r="K129" s="5">
        <f t="shared" si="16"/>
        <v>0</v>
      </c>
      <c r="L129" s="5">
        <f t="shared" si="17"/>
        <v>0</v>
      </c>
    </row>
    <row r="130" spans="2:12" x14ac:dyDescent="0.35">
      <c r="B130" s="5">
        <f>'Energia Elétrica e térmica'!B109</f>
        <v>0</v>
      </c>
      <c r="C130" s="39" t="str">
        <f>'Energia Elétrica e térmica'!F109</f>
        <v/>
      </c>
      <c r="D130" s="5">
        <f t="shared" si="12"/>
        <v>0</v>
      </c>
      <c r="E130" s="5">
        <f t="shared" si="13"/>
        <v>0</v>
      </c>
      <c r="F130" s="5">
        <f t="shared" si="14"/>
        <v>0</v>
      </c>
      <c r="H130" s="5">
        <f>'Energia Elétrica e térmica'!B227</f>
        <v>0</v>
      </c>
      <c r="I130" s="39">
        <f>'Energia Elétrica e térmica'!E227</f>
        <v>0</v>
      </c>
      <c r="J130" s="5">
        <f t="shared" si="15"/>
        <v>0</v>
      </c>
      <c r="K130" s="5">
        <f t="shared" si="16"/>
        <v>0</v>
      </c>
      <c r="L130" s="5">
        <f t="shared" si="17"/>
        <v>0</v>
      </c>
    </row>
    <row r="131" spans="2:12" x14ac:dyDescent="0.35">
      <c r="B131" s="5">
        <f>'Energia Elétrica e térmica'!B110</f>
        <v>0</v>
      </c>
      <c r="C131" s="39" t="str">
        <f>'Energia Elétrica e térmica'!F110</f>
        <v/>
      </c>
      <c r="D131" s="5">
        <f t="shared" si="12"/>
        <v>0</v>
      </c>
      <c r="E131" s="5">
        <f t="shared" si="13"/>
        <v>0</v>
      </c>
      <c r="F131" s="5">
        <f t="shared" si="14"/>
        <v>0</v>
      </c>
      <c r="H131" s="5">
        <f>'Energia Elétrica e térmica'!B228</f>
        <v>0</v>
      </c>
      <c r="I131" s="39">
        <f>'Energia Elétrica e térmica'!E228</f>
        <v>0</v>
      </c>
      <c r="J131" s="5">
        <f t="shared" si="15"/>
        <v>0</v>
      </c>
      <c r="K131" s="5">
        <f t="shared" si="16"/>
        <v>0</v>
      </c>
      <c r="L131" s="5">
        <f t="shared" si="17"/>
        <v>0</v>
      </c>
    </row>
    <row r="132" spans="2:12" x14ac:dyDescent="0.35">
      <c r="B132" s="5">
        <f>'Energia Elétrica e térmica'!B111</f>
        <v>0</v>
      </c>
      <c r="C132" s="39" t="str">
        <f>'Energia Elétrica e térmica'!F111</f>
        <v/>
      </c>
      <c r="D132" s="5">
        <f t="shared" si="12"/>
        <v>0</v>
      </c>
      <c r="E132" s="5">
        <f t="shared" si="13"/>
        <v>0</v>
      </c>
      <c r="F132" s="5">
        <f t="shared" si="14"/>
        <v>0</v>
      </c>
      <c r="H132" s="5">
        <f>'Energia Elétrica e térmica'!B229</f>
        <v>0</v>
      </c>
      <c r="I132" s="39">
        <f>'Energia Elétrica e térmica'!E229</f>
        <v>0</v>
      </c>
      <c r="J132" s="5">
        <f t="shared" si="15"/>
        <v>0</v>
      </c>
      <c r="K132" s="5">
        <f t="shared" si="16"/>
        <v>0</v>
      </c>
      <c r="L132" s="5">
        <f t="shared" si="17"/>
        <v>0</v>
      </c>
    </row>
    <row r="133" spans="2:12" x14ac:dyDescent="0.35">
      <c r="B133" s="5">
        <f>'Energia Elétrica e térmica'!B112</f>
        <v>0</v>
      </c>
      <c r="C133" s="39" t="str">
        <f>'Energia Elétrica e térmica'!F112</f>
        <v/>
      </c>
      <c r="D133" s="5">
        <f t="shared" si="12"/>
        <v>0</v>
      </c>
      <c r="E133" s="5">
        <f t="shared" si="13"/>
        <v>0</v>
      </c>
      <c r="F133" s="5">
        <f t="shared" si="14"/>
        <v>0</v>
      </c>
      <c r="H133" s="5">
        <f>'Energia Elétrica e térmica'!B230</f>
        <v>0</v>
      </c>
      <c r="I133" s="39">
        <f>'Energia Elétrica e térmica'!E230</f>
        <v>0</v>
      </c>
      <c r="J133" s="5">
        <f t="shared" si="15"/>
        <v>0</v>
      </c>
      <c r="K133" s="5">
        <f t="shared" si="16"/>
        <v>0</v>
      </c>
      <c r="L133" s="5">
        <f t="shared" si="17"/>
        <v>0</v>
      </c>
    </row>
    <row r="134" spans="2:12" x14ac:dyDescent="0.35">
      <c r="B134" s="5">
        <f>'Energia Elétrica e térmica'!B113</f>
        <v>0</v>
      </c>
      <c r="C134" s="39" t="str">
        <f>'Energia Elétrica e térmica'!F113</f>
        <v/>
      </c>
      <c r="D134" s="5">
        <f t="shared" si="12"/>
        <v>0</v>
      </c>
      <c r="E134" s="5">
        <f t="shared" si="13"/>
        <v>0</v>
      </c>
      <c r="F134" s="5">
        <f t="shared" si="14"/>
        <v>0</v>
      </c>
      <c r="H134" s="5">
        <f>'Energia Elétrica e térmica'!B231</f>
        <v>0</v>
      </c>
      <c r="I134" s="39">
        <f>'Energia Elétrica e térmica'!E231</f>
        <v>0</v>
      </c>
      <c r="J134" s="5">
        <f t="shared" si="15"/>
        <v>0</v>
      </c>
      <c r="K134" s="5">
        <f t="shared" si="16"/>
        <v>0</v>
      </c>
      <c r="L134" s="5">
        <f t="shared" si="17"/>
        <v>0</v>
      </c>
    </row>
    <row r="135" spans="2:12" x14ac:dyDescent="0.35">
      <c r="B135" s="5">
        <f>'Energia Elétrica e térmica'!B114</f>
        <v>0</v>
      </c>
      <c r="C135" s="39" t="str">
        <f>'Energia Elétrica e térmica'!F114</f>
        <v/>
      </c>
      <c r="D135" s="5">
        <f t="shared" si="12"/>
        <v>0</v>
      </c>
      <c r="E135" s="5">
        <f t="shared" si="13"/>
        <v>0</v>
      </c>
      <c r="F135" s="5">
        <f t="shared" si="14"/>
        <v>0</v>
      </c>
      <c r="H135" s="5">
        <f>'Energia Elétrica e térmica'!B232</f>
        <v>0</v>
      </c>
      <c r="I135" s="39">
        <f>'Energia Elétrica e térmica'!E232</f>
        <v>0</v>
      </c>
      <c r="J135" s="5">
        <f t="shared" si="15"/>
        <v>0</v>
      </c>
      <c r="K135" s="5">
        <f t="shared" si="16"/>
        <v>0</v>
      </c>
      <c r="L135" s="5">
        <f t="shared" si="17"/>
        <v>0</v>
      </c>
    </row>
    <row r="136" spans="2:12" x14ac:dyDescent="0.35">
      <c r="B136" s="5">
        <f>'Energia Elétrica e térmica'!B115</f>
        <v>0</v>
      </c>
      <c r="C136" s="39" t="str">
        <f>'Energia Elétrica e térmica'!F115</f>
        <v/>
      </c>
      <c r="D136" s="5">
        <f t="shared" si="12"/>
        <v>0</v>
      </c>
      <c r="E136" s="5">
        <f t="shared" si="13"/>
        <v>0</v>
      </c>
      <c r="F136" s="5">
        <f t="shared" si="14"/>
        <v>0</v>
      </c>
      <c r="H136" s="5">
        <f>'Energia Elétrica e térmica'!B233</f>
        <v>0</v>
      </c>
      <c r="I136" s="39">
        <f>'Energia Elétrica e térmica'!E233</f>
        <v>0</v>
      </c>
      <c r="J136" s="5">
        <f t="shared" si="15"/>
        <v>0</v>
      </c>
      <c r="K136" s="5">
        <f t="shared" si="16"/>
        <v>0</v>
      </c>
      <c r="L136" s="5">
        <f t="shared" si="17"/>
        <v>0</v>
      </c>
    </row>
    <row r="137" spans="2:12" x14ac:dyDescent="0.35">
      <c r="B137" s="5">
        <f>'Energia Elétrica e térmica'!B116</f>
        <v>0</v>
      </c>
      <c r="C137" s="39" t="str">
        <f>'Energia Elétrica e térmica'!F116</f>
        <v/>
      </c>
      <c r="D137" s="5">
        <f t="shared" si="12"/>
        <v>0</v>
      </c>
      <c r="E137" s="5">
        <f t="shared" si="13"/>
        <v>0</v>
      </c>
      <c r="F137" s="5">
        <f t="shared" si="14"/>
        <v>0</v>
      </c>
      <c r="H137" s="5">
        <f>'Energia Elétrica e térmica'!B234</f>
        <v>0</v>
      </c>
      <c r="I137" s="39">
        <f>'Energia Elétrica e térmica'!E234</f>
        <v>0</v>
      </c>
      <c r="J137" s="5">
        <f t="shared" si="15"/>
        <v>0</v>
      </c>
      <c r="K137" s="5">
        <f t="shared" si="16"/>
        <v>0</v>
      </c>
      <c r="L137" s="5">
        <f t="shared" si="17"/>
        <v>0</v>
      </c>
    </row>
    <row r="138" spans="2:12" x14ac:dyDescent="0.35">
      <c r="B138" s="5">
        <f>'Energia Elétrica e térmica'!B117</f>
        <v>0</v>
      </c>
      <c r="C138" s="39" t="str">
        <f>'Energia Elétrica e térmica'!F117</f>
        <v/>
      </c>
      <c r="D138" s="5">
        <f t="shared" si="12"/>
        <v>0</v>
      </c>
      <c r="E138" s="5">
        <f t="shared" si="13"/>
        <v>0</v>
      </c>
      <c r="F138" s="5">
        <f t="shared" si="14"/>
        <v>0</v>
      </c>
      <c r="H138" s="5">
        <f>'Energia Elétrica e térmica'!B235</f>
        <v>0</v>
      </c>
      <c r="I138" s="39">
        <f>'Energia Elétrica e térmica'!E235</f>
        <v>0</v>
      </c>
      <c r="J138" s="5">
        <f t="shared" si="15"/>
        <v>0</v>
      </c>
      <c r="K138" s="5">
        <f t="shared" si="16"/>
        <v>0</v>
      </c>
      <c r="L138" s="5">
        <f t="shared" si="17"/>
        <v>0</v>
      </c>
    </row>
    <row r="139" spans="2:12" x14ac:dyDescent="0.35">
      <c r="B139" s="5">
        <f>'Energia Elétrica e térmica'!B118</f>
        <v>0</v>
      </c>
      <c r="C139" s="39" t="str">
        <f>'Energia Elétrica e térmica'!F118</f>
        <v/>
      </c>
      <c r="D139" s="5">
        <f t="shared" si="12"/>
        <v>0</v>
      </c>
      <c r="E139" s="5">
        <f t="shared" si="13"/>
        <v>0</v>
      </c>
      <c r="F139" s="5">
        <f t="shared" si="14"/>
        <v>0</v>
      </c>
      <c r="H139" s="5">
        <f>'Energia Elétrica e térmica'!B236</f>
        <v>0</v>
      </c>
      <c r="I139" s="39">
        <f>'Energia Elétrica e térmica'!E236</f>
        <v>0</v>
      </c>
      <c r="J139" s="5">
        <f t="shared" si="15"/>
        <v>0</v>
      </c>
      <c r="K139" s="5">
        <f t="shared" si="16"/>
        <v>0</v>
      </c>
      <c r="L139" s="5">
        <f t="shared" si="17"/>
        <v>0</v>
      </c>
    </row>
    <row r="140" spans="2:12" x14ac:dyDescent="0.35">
      <c r="B140" s="5">
        <f>'Energia Elétrica e térmica'!B119</f>
        <v>0</v>
      </c>
      <c r="C140" s="39" t="str">
        <f>'Energia Elétrica e térmica'!F119</f>
        <v/>
      </c>
      <c r="D140" s="5">
        <f t="shared" si="12"/>
        <v>0</v>
      </c>
      <c r="E140" s="5">
        <f t="shared" si="13"/>
        <v>0</v>
      </c>
      <c r="F140" s="5">
        <f t="shared" si="14"/>
        <v>0</v>
      </c>
      <c r="H140" s="5">
        <f>'Energia Elétrica e térmica'!B237</f>
        <v>0</v>
      </c>
      <c r="I140" s="39">
        <f>'Energia Elétrica e térmica'!E237</f>
        <v>0</v>
      </c>
      <c r="J140" s="5">
        <f t="shared" si="15"/>
        <v>0</v>
      </c>
      <c r="K140" s="5">
        <f t="shared" si="16"/>
        <v>0</v>
      </c>
      <c r="L140" s="5">
        <f t="shared" si="17"/>
        <v>0</v>
      </c>
    </row>
    <row r="141" spans="2:12" x14ac:dyDescent="0.35">
      <c r="B141" s="5">
        <f>'Energia Elétrica e térmica'!B120</f>
        <v>0</v>
      </c>
      <c r="C141" s="39" t="str">
        <f>'Energia Elétrica e térmica'!F120</f>
        <v/>
      </c>
      <c r="D141" s="5">
        <f t="shared" si="12"/>
        <v>0</v>
      </c>
      <c r="E141" s="5">
        <f t="shared" si="13"/>
        <v>0</v>
      </c>
      <c r="F141" s="5">
        <f t="shared" si="14"/>
        <v>0</v>
      </c>
      <c r="H141" s="5">
        <f>'Energia Elétrica e térmica'!B238</f>
        <v>0</v>
      </c>
      <c r="I141" s="39">
        <f>'Energia Elétrica e térmica'!E238</f>
        <v>0</v>
      </c>
      <c r="J141" s="5">
        <f t="shared" si="15"/>
        <v>0</v>
      </c>
      <c r="K141" s="5">
        <f t="shared" si="16"/>
        <v>0</v>
      </c>
      <c r="L141" s="5">
        <f t="shared" si="17"/>
        <v>0</v>
      </c>
    </row>
    <row r="142" spans="2:12" x14ac:dyDescent="0.35">
      <c r="B142" s="5">
        <f>'Energia Elétrica e térmica'!B121</f>
        <v>0</v>
      </c>
      <c r="C142" s="39" t="str">
        <f>'Energia Elétrica e térmica'!F121</f>
        <v/>
      </c>
      <c r="D142" s="5">
        <f t="shared" si="12"/>
        <v>0</v>
      </c>
      <c r="E142" s="5">
        <f t="shared" si="13"/>
        <v>0</v>
      </c>
      <c r="F142" s="5">
        <f t="shared" si="14"/>
        <v>0</v>
      </c>
      <c r="H142" s="5">
        <f>'Energia Elétrica e térmica'!B239</f>
        <v>0</v>
      </c>
      <c r="I142" s="39">
        <f>'Energia Elétrica e térmica'!E239</f>
        <v>0</v>
      </c>
      <c r="J142" s="5">
        <f t="shared" si="15"/>
        <v>0</v>
      </c>
      <c r="K142" s="5">
        <f t="shared" si="16"/>
        <v>0</v>
      </c>
      <c r="L142" s="5">
        <f t="shared" si="17"/>
        <v>0</v>
      </c>
    </row>
    <row r="143" spans="2:12" x14ac:dyDescent="0.35">
      <c r="B143" s="5">
        <f>'Energia Elétrica e térmica'!B122</f>
        <v>0</v>
      </c>
      <c r="C143" s="39" t="str">
        <f>'Energia Elétrica e térmica'!F122</f>
        <v/>
      </c>
      <c r="D143" s="5">
        <f t="shared" si="12"/>
        <v>0</v>
      </c>
      <c r="E143" s="5">
        <f t="shared" si="13"/>
        <v>0</v>
      </c>
      <c r="F143" s="5">
        <f t="shared" si="14"/>
        <v>0</v>
      </c>
      <c r="H143" s="5">
        <f>'Energia Elétrica e térmica'!B240</f>
        <v>0</v>
      </c>
      <c r="I143" s="39">
        <f>'Energia Elétrica e térmica'!E240</f>
        <v>0</v>
      </c>
      <c r="J143" s="5">
        <f t="shared" si="15"/>
        <v>0</v>
      </c>
      <c r="K143" s="5">
        <f t="shared" si="16"/>
        <v>0</v>
      </c>
      <c r="L143" s="5">
        <f t="shared" si="17"/>
        <v>0</v>
      </c>
    </row>
    <row r="144" spans="2:12" x14ac:dyDescent="0.35">
      <c r="B144" s="5">
        <f>'Energia Elétrica e térmica'!B123</f>
        <v>0</v>
      </c>
      <c r="C144" s="39" t="str">
        <f>'Energia Elétrica e térmica'!F123</f>
        <v/>
      </c>
      <c r="D144" s="5">
        <f t="shared" si="12"/>
        <v>0</v>
      </c>
      <c r="E144" s="5">
        <f t="shared" si="13"/>
        <v>0</v>
      </c>
      <c r="F144" s="5">
        <f t="shared" si="14"/>
        <v>0</v>
      </c>
      <c r="H144" s="5">
        <f>'Energia Elétrica e térmica'!B241</f>
        <v>0</v>
      </c>
      <c r="I144" s="39">
        <f>'Energia Elétrica e térmica'!E241</f>
        <v>0</v>
      </c>
      <c r="J144" s="5">
        <f t="shared" si="15"/>
        <v>0</v>
      </c>
      <c r="K144" s="5">
        <f t="shared" si="16"/>
        <v>0</v>
      </c>
      <c r="L144" s="5">
        <f t="shared" si="17"/>
        <v>0</v>
      </c>
    </row>
    <row r="145" spans="2:12" x14ac:dyDescent="0.35">
      <c r="B145" s="5">
        <f>'Energia Elétrica e térmica'!B124</f>
        <v>0</v>
      </c>
      <c r="C145" s="39" t="str">
        <f>'Energia Elétrica e térmica'!F124</f>
        <v/>
      </c>
      <c r="D145" s="5">
        <f t="shared" si="12"/>
        <v>0</v>
      </c>
      <c r="E145" s="5">
        <f t="shared" si="13"/>
        <v>0</v>
      </c>
      <c r="F145" s="5">
        <f t="shared" si="14"/>
        <v>0</v>
      </c>
      <c r="H145" s="5">
        <f>'Energia Elétrica e térmica'!B242</f>
        <v>0</v>
      </c>
      <c r="I145" s="39">
        <f>'Energia Elétrica e térmica'!E242</f>
        <v>0</v>
      </c>
      <c r="J145" s="5">
        <f t="shared" si="15"/>
        <v>0</v>
      </c>
      <c r="K145" s="5">
        <f t="shared" si="16"/>
        <v>0</v>
      </c>
      <c r="L145" s="5">
        <f t="shared" si="17"/>
        <v>0</v>
      </c>
    </row>
    <row r="146" spans="2:12" x14ac:dyDescent="0.35">
      <c r="B146" s="5">
        <f>'Energia Elétrica e térmica'!B125</f>
        <v>0</v>
      </c>
      <c r="C146" s="39" t="str">
        <f>'Energia Elétrica e térmica'!F125</f>
        <v/>
      </c>
      <c r="D146" s="5">
        <f t="shared" si="12"/>
        <v>0</v>
      </c>
      <c r="E146" s="5">
        <f t="shared" si="13"/>
        <v>0</v>
      </c>
      <c r="F146" s="5">
        <f t="shared" si="14"/>
        <v>0</v>
      </c>
      <c r="H146" s="5">
        <f>'Energia Elétrica e térmica'!B243</f>
        <v>0</v>
      </c>
      <c r="I146" s="39">
        <f>'Energia Elétrica e térmica'!E243</f>
        <v>0</v>
      </c>
      <c r="J146" s="5">
        <f t="shared" si="15"/>
        <v>0</v>
      </c>
      <c r="K146" s="5">
        <f t="shared" si="16"/>
        <v>0</v>
      </c>
      <c r="L146" s="5">
        <f t="shared" si="17"/>
        <v>0</v>
      </c>
    </row>
    <row r="147" spans="2:12" x14ac:dyDescent="0.35">
      <c r="B147" s="5">
        <f>'Energia Elétrica e térmica'!B126</f>
        <v>0</v>
      </c>
      <c r="C147" s="39" t="str">
        <f>'Energia Elétrica e térmica'!F126</f>
        <v/>
      </c>
      <c r="D147" s="5">
        <f t="shared" si="12"/>
        <v>0</v>
      </c>
      <c r="E147" s="5">
        <f t="shared" si="13"/>
        <v>0</v>
      </c>
      <c r="F147" s="5">
        <f t="shared" si="14"/>
        <v>0</v>
      </c>
      <c r="H147" s="5">
        <f>'Energia Elétrica e térmica'!B244</f>
        <v>0</v>
      </c>
      <c r="I147" s="39">
        <f>'Energia Elétrica e térmica'!E244</f>
        <v>0</v>
      </c>
      <c r="J147" s="5">
        <f t="shared" si="15"/>
        <v>0</v>
      </c>
      <c r="K147" s="5">
        <f t="shared" si="16"/>
        <v>0</v>
      </c>
      <c r="L147" s="5">
        <f t="shared" si="17"/>
        <v>0</v>
      </c>
    </row>
    <row r="148" spans="2:12" x14ac:dyDescent="0.35">
      <c r="B148" s="5">
        <f>'Energia Elétrica e térmica'!B127</f>
        <v>0</v>
      </c>
      <c r="C148" s="39" t="str">
        <f>'Energia Elétrica e térmica'!F127</f>
        <v/>
      </c>
      <c r="D148" s="5">
        <f t="shared" si="12"/>
        <v>0</v>
      </c>
      <c r="E148" s="5">
        <f t="shared" si="13"/>
        <v>0</v>
      </c>
      <c r="F148" s="5">
        <f t="shared" si="14"/>
        <v>0</v>
      </c>
      <c r="H148" s="5">
        <f>'Energia Elétrica e térmica'!B245</f>
        <v>0</v>
      </c>
      <c r="I148" s="39">
        <f>'Energia Elétrica e térmica'!E245</f>
        <v>0</v>
      </c>
      <c r="J148" s="5">
        <f t="shared" si="15"/>
        <v>0</v>
      </c>
      <c r="K148" s="5">
        <f t="shared" si="16"/>
        <v>0</v>
      </c>
      <c r="L148" s="5">
        <f t="shared" si="17"/>
        <v>0</v>
      </c>
    </row>
    <row r="149" spans="2:12" x14ac:dyDescent="0.35">
      <c r="B149" s="5">
        <f>'Energia Elétrica e térmica'!B128</f>
        <v>0</v>
      </c>
      <c r="C149" s="39" t="str">
        <f>'Energia Elétrica e térmica'!F128</f>
        <v/>
      </c>
      <c r="D149" s="5">
        <f t="shared" si="12"/>
        <v>0</v>
      </c>
      <c r="E149" s="5">
        <f t="shared" si="13"/>
        <v>0</v>
      </c>
      <c r="F149" s="5">
        <f t="shared" si="14"/>
        <v>0</v>
      </c>
      <c r="H149" s="5">
        <f>'Energia Elétrica e térmica'!B246</f>
        <v>0</v>
      </c>
      <c r="I149" s="39">
        <f>'Energia Elétrica e térmica'!E246</f>
        <v>0</v>
      </c>
      <c r="J149" s="5">
        <f t="shared" si="15"/>
        <v>0</v>
      </c>
      <c r="K149" s="5">
        <f t="shared" si="16"/>
        <v>0</v>
      </c>
      <c r="L149" s="5">
        <f t="shared" si="17"/>
        <v>0</v>
      </c>
    </row>
    <row r="150" spans="2:12" x14ac:dyDescent="0.35">
      <c r="B150" s="5">
        <f>'Energia Elétrica e térmica'!B129</f>
        <v>0</v>
      </c>
      <c r="C150" s="39" t="str">
        <f>'Energia Elétrica e térmica'!F129</f>
        <v/>
      </c>
      <c r="D150" s="5">
        <f t="shared" si="12"/>
        <v>0</v>
      </c>
      <c r="E150" s="5">
        <f t="shared" si="13"/>
        <v>0</v>
      </c>
      <c r="F150" s="5">
        <f t="shared" si="14"/>
        <v>0</v>
      </c>
      <c r="H150" s="5">
        <f>'Energia Elétrica e térmica'!B247</f>
        <v>0</v>
      </c>
      <c r="I150" s="39">
        <f>'Energia Elétrica e térmica'!E247</f>
        <v>0</v>
      </c>
      <c r="J150" s="5">
        <f t="shared" si="15"/>
        <v>0</v>
      </c>
      <c r="K150" s="5">
        <f t="shared" si="16"/>
        <v>0</v>
      </c>
      <c r="L150" s="5">
        <f t="shared" si="17"/>
        <v>0</v>
      </c>
    </row>
    <row r="151" spans="2:12" x14ac:dyDescent="0.35">
      <c r="B151" s="5">
        <f>'Energia Elétrica e térmica'!B130</f>
        <v>0</v>
      </c>
      <c r="C151" s="39" t="str">
        <f>'Energia Elétrica e térmica'!F130</f>
        <v/>
      </c>
      <c r="D151" s="5">
        <f t="shared" si="12"/>
        <v>0</v>
      </c>
      <c r="E151" s="5">
        <f t="shared" si="13"/>
        <v>0</v>
      </c>
      <c r="F151" s="5">
        <f t="shared" si="14"/>
        <v>0</v>
      </c>
      <c r="H151" s="5">
        <f>'Energia Elétrica e térmica'!B248</f>
        <v>0</v>
      </c>
      <c r="I151" s="39">
        <f>'Energia Elétrica e térmica'!E248</f>
        <v>0</v>
      </c>
      <c r="J151" s="5">
        <f t="shared" si="15"/>
        <v>0</v>
      </c>
      <c r="K151" s="5">
        <f t="shared" si="16"/>
        <v>0</v>
      </c>
      <c r="L151" s="5">
        <f t="shared" si="17"/>
        <v>0</v>
      </c>
    </row>
    <row r="152" spans="2:12" x14ac:dyDescent="0.35">
      <c r="B152" s="5">
        <f>'Energia Elétrica e térmica'!B131</f>
        <v>0</v>
      </c>
      <c r="C152" s="39" t="str">
        <f>'Energia Elétrica e térmica'!F131</f>
        <v/>
      </c>
      <c r="D152" s="5">
        <f t="shared" si="12"/>
        <v>0</v>
      </c>
      <c r="E152" s="5">
        <f t="shared" si="13"/>
        <v>0</v>
      </c>
      <c r="F152" s="5">
        <f t="shared" si="14"/>
        <v>0</v>
      </c>
      <c r="H152" s="5">
        <f>'Energia Elétrica e térmica'!B249</f>
        <v>0</v>
      </c>
      <c r="I152" s="39">
        <f>'Energia Elétrica e térmica'!E249</f>
        <v>0</v>
      </c>
      <c r="J152" s="5">
        <f t="shared" si="15"/>
        <v>0</v>
      </c>
      <c r="K152" s="5">
        <f t="shared" si="16"/>
        <v>0</v>
      </c>
      <c r="L152" s="5">
        <f t="shared" si="17"/>
        <v>0</v>
      </c>
    </row>
    <row r="153" spans="2:12" x14ac:dyDescent="0.35">
      <c r="B153" s="5">
        <f>'Energia Elétrica e térmica'!B132</f>
        <v>0</v>
      </c>
      <c r="C153" s="39" t="str">
        <f>'Energia Elétrica e térmica'!F132</f>
        <v/>
      </c>
      <c r="D153" s="5">
        <f t="shared" si="12"/>
        <v>0</v>
      </c>
      <c r="E153" s="5">
        <f t="shared" si="13"/>
        <v>0</v>
      </c>
      <c r="F153" s="5">
        <f t="shared" si="14"/>
        <v>0</v>
      </c>
      <c r="H153" s="5">
        <f>'Energia Elétrica e térmica'!B250</f>
        <v>0</v>
      </c>
      <c r="I153" s="39">
        <f>'Energia Elétrica e térmica'!E250</f>
        <v>0</v>
      </c>
      <c r="J153" s="5">
        <f t="shared" si="15"/>
        <v>0</v>
      </c>
      <c r="K153" s="5">
        <f t="shared" si="16"/>
        <v>0</v>
      </c>
      <c r="L153" s="5">
        <f t="shared" si="17"/>
        <v>0</v>
      </c>
    </row>
    <row r="154" spans="2:12" x14ac:dyDescent="0.35">
      <c r="D154" s="5">
        <f>SUM(D54:D153)</f>
        <v>0</v>
      </c>
      <c r="E154" s="5">
        <f t="shared" ref="E154:F154" si="18">SUM(E54:E153)</f>
        <v>0</v>
      </c>
      <c r="F154" s="5">
        <f t="shared" si="18"/>
        <v>0</v>
      </c>
      <c r="J154" s="5">
        <f>SUM(J54:J153)</f>
        <v>0</v>
      </c>
      <c r="K154" s="5">
        <f t="shared" ref="K154" si="19">SUM(K54:K153)</f>
        <v>0</v>
      </c>
      <c r="L154" s="5">
        <f t="shared" ref="L154" si="20">SUM(L54:L153)</f>
        <v>0</v>
      </c>
    </row>
    <row r="155" spans="2:12" ht="20" x14ac:dyDescent="0.35">
      <c r="D155" s="13" t="str">
        <f>D53</f>
        <v>Construção ou fase preparatória</v>
      </c>
      <c r="E155" s="14" t="str">
        <f t="shared" ref="E155:F155" si="21">E53</f>
        <v>Exploração</v>
      </c>
      <c r="F155" s="15" t="str">
        <f t="shared" si="21"/>
        <v>Desativação</v>
      </c>
      <c r="J155" s="13" t="str">
        <f t="shared" ref="J155:L155" si="22">J53</f>
        <v>Construção ou fase preparatória</v>
      </c>
      <c r="K155" s="14" t="str">
        <f t="shared" si="22"/>
        <v>Exploração</v>
      </c>
      <c r="L155" s="15" t="str">
        <f t="shared" si="22"/>
        <v>Desativação</v>
      </c>
    </row>
    <row r="163" spans="2:10" ht="20" x14ac:dyDescent="0.35">
      <c r="B163" s="1269"/>
      <c r="C163" s="1269"/>
      <c r="D163" s="1269"/>
      <c r="E163" s="1270" t="s">
        <v>609</v>
      </c>
      <c r="F163" s="1270"/>
      <c r="G163" s="1270"/>
      <c r="H163" s="1270" t="s">
        <v>610</v>
      </c>
      <c r="I163" s="1270"/>
      <c r="J163" s="1270"/>
    </row>
    <row r="164" spans="2:10" ht="20" x14ac:dyDescent="0.35">
      <c r="B164" s="1269"/>
      <c r="C164" s="1269"/>
      <c r="D164" s="1269"/>
      <c r="E164" s="13" t="str">
        <f>D155</f>
        <v>Construção ou fase preparatória</v>
      </c>
      <c r="F164" s="14" t="str">
        <f>E155</f>
        <v>Exploração</v>
      </c>
      <c r="G164" s="15" t="str">
        <f>F155</f>
        <v>Desativação</v>
      </c>
      <c r="H164" s="13" t="str">
        <f>J155</f>
        <v>Construção ou fase preparatória</v>
      </c>
      <c r="I164" s="14" t="str">
        <f>K155</f>
        <v>Exploração</v>
      </c>
      <c r="J164" s="15" t="str">
        <f>L155</f>
        <v>Desativação</v>
      </c>
    </row>
    <row r="165" spans="2:10" ht="20" x14ac:dyDescent="0.35">
      <c r="B165" s="1270" t="s">
        <v>532</v>
      </c>
      <c r="C165" s="1270"/>
      <c r="D165" s="1270"/>
      <c r="E165" s="80">
        <f>D154</f>
        <v>0</v>
      </c>
      <c r="F165" s="80">
        <f>E154</f>
        <v>0</v>
      </c>
      <c r="G165" s="80">
        <f>F154</f>
        <v>0</v>
      </c>
      <c r="H165" s="80">
        <f>M154</f>
        <v>0</v>
      </c>
      <c r="I165" s="80">
        <f>N154</f>
        <v>0</v>
      </c>
      <c r="J165" s="80">
        <f>O154</f>
        <v>0</v>
      </c>
    </row>
    <row r="166" spans="2:10" ht="20" x14ac:dyDescent="0.35">
      <c r="B166" s="1200" t="s">
        <v>533</v>
      </c>
      <c r="C166" s="1201"/>
      <c r="D166" s="1201"/>
      <c r="E166" s="81"/>
      <c r="F166" s="78">
        <f>SUM(E165:G165)</f>
        <v>0</v>
      </c>
      <c r="G166" s="79"/>
      <c r="H166" s="81"/>
      <c r="I166" s="78">
        <f>SUM(H165:J165)</f>
        <v>0</v>
      </c>
      <c r="J166" s="79"/>
    </row>
  </sheetData>
  <mergeCells count="5">
    <mergeCell ref="B163:D164"/>
    <mergeCell ref="E163:G163"/>
    <mergeCell ref="B165:D165"/>
    <mergeCell ref="B166:D166"/>
    <mergeCell ref="H163:J16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70ADB-3CF7-4FEC-B13C-38608C9A1B7A}">
  <sheetPr codeName="Folha2">
    <tabColor rgb="FF58D4CC"/>
  </sheetPr>
  <dimension ref="A1:Z50"/>
  <sheetViews>
    <sheetView showGridLines="0" topLeftCell="A31" zoomScaleNormal="100" workbookViewId="0">
      <selection activeCell="B36" sqref="B36:V36"/>
    </sheetView>
  </sheetViews>
  <sheetFormatPr defaultColWidth="0" defaultRowHeight="18.5" zeroHeight="1" x14ac:dyDescent="0.45"/>
  <cols>
    <col min="1" max="21" width="8.7265625" style="379" customWidth="1"/>
    <col min="22" max="22" width="14.7265625" style="379" customWidth="1"/>
    <col min="23" max="26" width="8.7265625" style="379" customWidth="1"/>
    <col min="27" max="16384" width="8.7265625" style="379" hidden="1"/>
  </cols>
  <sheetData>
    <row r="1" spans="2:22" x14ac:dyDescent="0.45"/>
    <row r="2" spans="2:22" x14ac:dyDescent="0.45"/>
    <row r="3" spans="2:22" x14ac:dyDescent="0.45"/>
    <row r="4" spans="2:22" x14ac:dyDescent="0.45"/>
    <row r="5" spans="2:22" x14ac:dyDescent="0.45"/>
    <row r="6" spans="2:22" x14ac:dyDescent="0.45"/>
    <row r="7" spans="2:22" x14ac:dyDescent="0.45"/>
    <row r="8" spans="2:22" x14ac:dyDescent="0.45"/>
    <row r="9" spans="2:22" x14ac:dyDescent="0.45"/>
    <row r="10" spans="2:22" ht="23.5" x14ac:dyDescent="0.55000000000000004">
      <c r="B10" s="383" t="s">
        <v>590</v>
      </c>
    </row>
    <row r="11" spans="2:22" x14ac:dyDescent="0.45">
      <c r="B11" s="1056" t="s">
        <v>1527</v>
      </c>
      <c r="C11" s="1056"/>
      <c r="D11" s="1056"/>
      <c r="E11" s="1056"/>
      <c r="F11" s="1056"/>
      <c r="G11" s="1056"/>
      <c r="H11" s="1056"/>
      <c r="I11" s="1056"/>
      <c r="J11" s="1056"/>
      <c r="K11" s="1056"/>
      <c r="L11" s="1056"/>
      <c r="M11" s="1056"/>
      <c r="N11" s="1056"/>
      <c r="O11" s="1056"/>
      <c r="P11" s="1056"/>
      <c r="Q11" s="1056"/>
      <c r="R11" s="1056"/>
      <c r="S11" s="1056"/>
      <c r="T11" s="1056"/>
      <c r="U11" s="1056"/>
      <c r="V11" s="1056"/>
    </row>
    <row r="12" spans="2:22" ht="12" customHeight="1" x14ac:dyDescent="0.45">
      <c r="B12" s="1056"/>
      <c r="C12" s="1056"/>
      <c r="D12" s="1056"/>
      <c r="E12" s="1056"/>
      <c r="F12" s="1056"/>
      <c r="G12" s="1056"/>
      <c r="H12" s="1056"/>
      <c r="I12" s="1056"/>
      <c r="J12" s="1056"/>
      <c r="K12" s="1056"/>
      <c r="L12" s="1056"/>
      <c r="M12" s="1056"/>
      <c r="N12" s="1056"/>
      <c r="O12" s="1056"/>
      <c r="P12" s="1056"/>
      <c r="Q12" s="1056"/>
      <c r="R12" s="1056"/>
      <c r="S12" s="1056"/>
      <c r="T12" s="1056"/>
      <c r="U12" s="1056"/>
      <c r="V12" s="1056"/>
    </row>
    <row r="13" spans="2:22" x14ac:dyDescent="0.45">
      <c r="B13" s="1056"/>
      <c r="C13" s="1056"/>
      <c r="D13" s="1056"/>
      <c r="E13" s="1056"/>
      <c r="F13" s="1056"/>
      <c r="G13" s="1056"/>
      <c r="H13" s="1056"/>
      <c r="I13" s="1056"/>
      <c r="J13" s="1056"/>
      <c r="K13" s="1056"/>
      <c r="L13" s="1056"/>
      <c r="M13" s="1056"/>
      <c r="N13" s="1056"/>
      <c r="O13" s="1056"/>
      <c r="P13" s="1056"/>
      <c r="Q13" s="1056"/>
      <c r="R13" s="1056"/>
      <c r="S13" s="1056"/>
      <c r="T13" s="1056"/>
      <c r="U13" s="1056"/>
      <c r="V13" s="1056"/>
    </row>
    <row r="14" spans="2:22" x14ac:dyDescent="0.45">
      <c r="B14" s="1056"/>
      <c r="C14" s="1056"/>
      <c r="D14" s="1056"/>
      <c r="E14" s="1056"/>
      <c r="F14" s="1056"/>
      <c r="G14" s="1056"/>
      <c r="H14" s="1056"/>
      <c r="I14" s="1056"/>
      <c r="J14" s="1056"/>
      <c r="K14" s="1056"/>
      <c r="L14" s="1056"/>
      <c r="M14" s="1056"/>
      <c r="N14" s="1056"/>
      <c r="O14" s="1056"/>
      <c r="P14" s="1056"/>
      <c r="Q14" s="1056"/>
      <c r="R14" s="1056"/>
      <c r="S14" s="1056"/>
      <c r="T14" s="1056"/>
      <c r="U14" s="1056"/>
      <c r="V14" s="1056"/>
    </row>
    <row r="15" spans="2:22" ht="5.5" customHeight="1" x14ac:dyDescent="0.45">
      <c r="B15" s="1056"/>
      <c r="C15" s="1056"/>
      <c r="D15" s="1056"/>
      <c r="E15" s="1056"/>
      <c r="F15" s="1056"/>
      <c r="G15" s="1056"/>
      <c r="H15" s="1056"/>
      <c r="I15" s="1056"/>
      <c r="J15" s="1056"/>
      <c r="K15" s="1056"/>
      <c r="L15" s="1056"/>
      <c r="M15" s="1056"/>
      <c r="N15" s="1056"/>
      <c r="O15" s="1056"/>
      <c r="P15" s="1056"/>
      <c r="Q15" s="1056"/>
      <c r="R15" s="1056"/>
      <c r="S15" s="1056"/>
      <c r="T15" s="1056"/>
      <c r="U15" s="1056"/>
      <c r="V15" s="1056"/>
    </row>
    <row r="16" spans="2:22" ht="4.1500000000000004" customHeight="1" x14ac:dyDescent="0.45">
      <c r="B16" s="1056"/>
      <c r="C16" s="1056"/>
      <c r="D16" s="1056"/>
      <c r="E16" s="1056"/>
      <c r="F16" s="1056"/>
      <c r="G16" s="1056"/>
      <c r="H16" s="1056"/>
      <c r="I16" s="1056"/>
      <c r="J16" s="1056"/>
      <c r="K16" s="1056"/>
      <c r="L16" s="1056"/>
      <c r="M16" s="1056"/>
      <c r="N16" s="1056"/>
      <c r="O16" s="1056"/>
      <c r="P16" s="1056"/>
      <c r="Q16" s="1056"/>
      <c r="R16" s="1056"/>
      <c r="S16" s="1056"/>
      <c r="T16" s="1056"/>
      <c r="U16" s="1056"/>
      <c r="V16" s="1056"/>
    </row>
    <row r="17" spans="2:22" hidden="1" x14ac:dyDescent="0.45">
      <c r="B17" s="1056"/>
      <c r="C17" s="1056"/>
      <c r="D17" s="1056"/>
      <c r="E17" s="1056"/>
      <c r="F17" s="1056"/>
      <c r="G17" s="1056"/>
      <c r="H17" s="1056"/>
      <c r="I17" s="1056"/>
      <c r="J17" s="1056"/>
      <c r="K17" s="1056"/>
      <c r="L17" s="1056"/>
      <c r="M17" s="1056"/>
      <c r="N17" s="1056"/>
      <c r="O17" s="1056"/>
      <c r="P17" s="1056"/>
      <c r="Q17" s="1056"/>
      <c r="R17" s="1056"/>
      <c r="S17" s="1056"/>
      <c r="T17" s="1056"/>
      <c r="U17" s="1056"/>
      <c r="V17" s="1056"/>
    </row>
    <row r="18" spans="2:22" ht="6.65" customHeight="1" x14ac:dyDescent="0.45">
      <c r="B18" s="1056"/>
      <c r="C18" s="1056"/>
      <c r="D18" s="1056"/>
      <c r="E18" s="1056"/>
      <c r="F18" s="1056"/>
      <c r="G18" s="1056"/>
      <c r="H18" s="1056"/>
      <c r="I18" s="1056"/>
      <c r="J18" s="1056"/>
      <c r="K18" s="1056"/>
      <c r="L18" s="1056"/>
      <c r="M18" s="1056"/>
      <c r="N18" s="1056"/>
      <c r="O18" s="1056"/>
      <c r="P18" s="1056"/>
      <c r="Q18" s="1056"/>
      <c r="R18" s="1056"/>
      <c r="S18" s="1056"/>
      <c r="T18" s="1056"/>
      <c r="U18" s="1056"/>
      <c r="V18" s="1056"/>
    </row>
    <row r="19" spans="2:22" ht="2.5" customHeight="1" x14ac:dyDescent="0.45">
      <c r="B19" s="1056"/>
      <c r="C19" s="1056"/>
      <c r="D19" s="1056"/>
      <c r="E19" s="1056"/>
      <c r="F19" s="1056"/>
      <c r="G19" s="1056"/>
      <c r="H19" s="1056"/>
      <c r="I19" s="1056"/>
      <c r="J19" s="1056"/>
      <c r="K19" s="1056"/>
      <c r="L19" s="1056"/>
      <c r="M19" s="1056"/>
      <c r="N19" s="1056"/>
      <c r="O19" s="1056"/>
      <c r="P19" s="1056"/>
      <c r="Q19" s="1056"/>
      <c r="R19" s="1056"/>
      <c r="S19" s="1056"/>
      <c r="T19" s="1056"/>
      <c r="U19" s="1056"/>
      <c r="V19" s="1056"/>
    </row>
    <row r="20" spans="2:22" x14ac:dyDescent="0.45"/>
    <row r="21" spans="2:22" ht="21" x14ac:dyDescent="0.5">
      <c r="B21" s="384" t="s">
        <v>1</v>
      </c>
      <c r="C21" s="380"/>
      <c r="D21" s="380"/>
      <c r="E21" s="380"/>
      <c r="F21" s="380"/>
      <c r="G21" s="380"/>
      <c r="H21" s="380"/>
      <c r="I21" s="380"/>
      <c r="J21" s="380"/>
      <c r="K21" s="380"/>
      <c r="L21" s="380"/>
      <c r="M21" s="380"/>
      <c r="N21" s="380"/>
      <c r="O21" s="380"/>
      <c r="P21" s="380"/>
      <c r="Q21" s="380"/>
      <c r="R21" s="380"/>
      <c r="S21" s="380"/>
      <c r="T21" s="380"/>
      <c r="U21" s="380"/>
      <c r="V21" s="380"/>
    </row>
    <row r="22" spans="2:22" x14ac:dyDescent="0.45">
      <c r="B22" s="380" t="s">
        <v>591</v>
      </c>
      <c r="C22" s="380"/>
      <c r="D22" s="380"/>
      <c r="E22" s="380"/>
      <c r="F22" s="380"/>
      <c r="G22" s="380"/>
      <c r="H22" s="380"/>
      <c r="I22" s="380"/>
      <c r="J22" s="380"/>
      <c r="K22" s="380"/>
      <c r="L22" s="380"/>
      <c r="M22" s="380"/>
      <c r="N22" s="380"/>
      <c r="O22" s="380"/>
      <c r="P22" s="380"/>
      <c r="Q22" s="380"/>
      <c r="R22" s="380"/>
      <c r="S22" s="380"/>
      <c r="T22" s="380"/>
      <c r="U22" s="380"/>
      <c r="V22" s="380"/>
    </row>
    <row r="23" spans="2:22" ht="19.899999999999999" customHeight="1" x14ac:dyDescent="0.45">
      <c r="B23" s="380" t="s">
        <v>1291</v>
      </c>
      <c r="C23" s="381"/>
      <c r="D23" s="381"/>
      <c r="E23" s="381"/>
      <c r="F23" s="381"/>
      <c r="G23" s="381"/>
      <c r="H23" s="381"/>
      <c r="I23" s="381"/>
      <c r="J23" s="381"/>
      <c r="K23" s="381"/>
      <c r="L23" s="381"/>
      <c r="M23" s="381"/>
      <c r="N23" s="381"/>
      <c r="O23" s="381"/>
      <c r="P23" s="381"/>
      <c r="Q23" s="381"/>
      <c r="R23" s="381"/>
      <c r="S23" s="381"/>
      <c r="T23" s="381"/>
      <c r="U23" s="381"/>
      <c r="V23" s="381"/>
    </row>
    <row r="24" spans="2:22" ht="19.899999999999999" customHeight="1" x14ac:dyDescent="0.45">
      <c r="B24" s="382" t="s">
        <v>616</v>
      </c>
      <c r="C24" s="381"/>
      <c r="D24" s="381"/>
      <c r="E24" s="381"/>
      <c r="F24" s="381"/>
      <c r="G24" s="381"/>
      <c r="H24" s="381"/>
      <c r="I24" s="381"/>
      <c r="J24" s="381"/>
      <c r="K24" s="381"/>
      <c r="L24" s="381"/>
      <c r="M24" s="381"/>
      <c r="N24" s="381"/>
      <c r="O24" s="381"/>
      <c r="P24" s="381"/>
      <c r="Q24" s="381"/>
      <c r="R24" s="381"/>
      <c r="S24" s="381"/>
      <c r="T24" s="381"/>
      <c r="U24" s="381"/>
      <c r="V24" s="381"/>
    </row>
    <row r="25" spans="2:22" ht="19.899999999999999" customHeight="1" x14ac:dyDescent="0.45">
      <c r="B25" s="1058" t="s">
        <v>1292</v>
      </c>
      <c r="C25" s="1058"/>
      <c r="D25" s="1058"/>
      <c r="E25" s="1058"/>
      <c r="F25" s="1058"/>
      <c r="G25" s="1058"/>
      <c r="H25" s="1058"/>
      <c r="I25" s="1058"/>
      <c r="J25" s="1058"/>
      <c r="K25" s="1058"/>
      <c r="L25" s="1058"/>
      <c r="M25" s="1058"/>
      <c r="N25" s="1058"/>
      <c r="O25" s="1058"/>
      <c r="P25" s="1058"/>
      <c r="Q25" s="1058"/>
      <c r="R25" s="1058"/>
      <c r="S25" s="1058"/>
      <c r="T25" s="1058"/>
      <c r="U25" s="1058"/>
      <c r="V25" s="1058"/>
    </row>
    <row r="26" spans="2:22" ht="20.5" customHeight="1" x14ac:dyDescent="0.45">
      <c r="B26" s="1057" t="s">
        <v>1417</v>
      </c>
      <c r="C26" s="1057"/>
      <c r="D26" s="1057"/>
      <c r="E26" s="1057"/>
      <c r="F26" s="1057"/>
      <c r="G26" s="1057"/>
      <c r="H26" s="1057"/>
      <c r="I26" s="1057"/>
      <c r="J26" s="1057"/>
      <c r="K26" s="1057"/>
      <c r="L26" s="1057"/>
      <c r="M26" s="1057"/>
      <c r="N26" s="1057"/>
      <c r="O26" s="1057"/>
      <c r="P26" s="1057"/>
      <c r="Q26" s="1057"/>
      <c r="R26" s="1057"/>
      <c r="S26" s="1057"/>
      <c r="T26" s="1057"/>
      <c r="U26" s="1057"/>
      <c r="V26" s="1057"/>
    </row>
    <row r="27" spans="2:22" ht="21" customHeight="1" x14ac:dyDescent="0.45">
      <c r="B27" s="1060" t="s">
        <v>1418</v>
      </c>
      <c r="C27" s="1060"/>
      <c r="D27" s="1060"/>
      <c r="E27" s="1060"/>
      <c r="F27" s="1060"/>
      <c r="G27" s="1060"/>
      <c r="H27" s="1060"/>
      <c r="I27" s="1060"/>
      <c r="J27" s="1060"/>
      <c r="K27" s="1060"/>
      <c r="L27" s="1060"/>
      <c r="M27" s="1060"/>
      <c r="N27" s="1060"/>
      <c r="O27" s="1060"/>
      <c r="P27" s="1060"/>
      <c r="Q27" s="1060"/>
      <c r="R27" s="1060"/>
      <c r="S27" s="1060"/>
      <c r="T27" s="1060"/>
      <c r="U27" s="1060"/>
      <c r="V27" s="1060"/>
    </row>
    <row r="28" spans="2:22" x14ac:dyDescent="0.45">
      <c r="B28" s="380" t="s">
        <v>1293</v>
      </c>
      <c r="C28" s="381"/>
      <c r="D28" s="381"/>
      <c r="E28" s="381"/>
      <c r="F28" s="381"/>
      <c r="G28" s="381"/>
      <c r="H28" s="381"/>
      <c r="I28" s="381"/>
      <c r="J28" s="381"/>
      <c r="K28" s="381"/>
      <c r="L28" s="381"/>
      <c r="M28" s="381"/>
      <c r="N28" s="381"/>
      <c r="O28" s="381"/>
      <c r="P28" s="381"/>
      <c r="Q28" s="381"/>
      <c r="R28" s="381"/>
      <c r="S28" s="381"/>
      <c r="T28" s="381"/>
      <c r="U28" s="381"/>
      <c r="V28" s="381"/>
    </row>
    <row r="29" spans="2:22" x14ac:dyDescent="0.45">
      <c r="B29" s="382" t="s">
        <v>1009</v>
      </c>
      <c r="C29" s="381"/>
      <c r="D29" s="381"/>
      <c r="E29" s="381"/>
      <c r="F29" s="381"/>
      <c r="G29" s="381"/>
      <c r="H29" s="381"/>
      <c r="I29" s="381"/>
      <c r="J29" s="381"/>
      <c r="K29" s="381"/>
      <c r="L29" s="381"/>
      <c r="M29" s="381"/>
      <c r="N29" s="381"/>
      <c r="O29" s="381"/>
      <c r="P29" s="381"/>
      <c r="Q29" s="381"/>
      <c r="R29" s="381"/>
      <c r="S29" s="381"/>
      <c r="T29" s="381"/>
      <c r="U29" s="381"/>
      <c r="V29" s="381"/>
    </row>
    <row r="30" spans="2:22" x14ac:dyDescent="0.45">
      <c r="B30" s="380" t="s">
        <v>1441</v>
      </c>
      <c r="C30" s="381"/>
      <c r="D30" s="381"/>
      <c r="E30" s="381"/>
      <c r="F30" s="381"/>
      <c r="G30" s="381"/>
      <c r="H30" s="381"/>
      <c r="I30" s="381"/>
      <c r="J30" s="381"/>
      <c r="K30" s="381"/>
      <c r="L30" s="381"/>
      <c r="M30" s="381"/>
      <c r="N30" s="381"/>
      <c r="O30" s="381"/>
      <c r="P30" s="381"/>
      <c r="Q30" s="381"/>
      <c r="R30" s="381"/>
      <c r="S30" s="381"/>
      <c r="T30" s="381"/>
      <c r="U30" s="381"/>
      <c r="V30" s="381"/>
    </row>
    <row r="31" spans="2:22" ht="38.5" customHeight="1" x14ac:dyDescent="0.45">
      <c r="B31" s="1059" t="str">
        <f>"(G) No preenchimento das folhas, irá ser-lhe pedido que vá indicando em que fase do projeto se refere cada dado a ser introduzido (se fase de "&amp;'Fatores de Emissão'!B12&amp;", de "&amp;'Fatores de Emissão'!B13&amp;" ou de "&amp;'Fatores de Emissão'!B14&amp;")."</f>
        <v>(G) No preenchimento das folhas, irá ser-lhe pedido que vá indicando em que fase do projeto se refere cada dado a ser introduzido (se fase de Construção ou fase preparatória, de Exploração ou de Desativação).</v>
      </c>
      <c r="C31" s="1059"/>
      <c r="D31" s="1059"/>
      <c r="E31" s="1059"/>
      <c r="F31" s="1059"/>
      <c r="G31" s="1059"/>
      <c r="H31" s="1059"/>
      <c r="I31" s="1059"/>
      <c r="J31" s="1059"/>
      <c r="K31" s="1059"/>
      <c r="L31" s="1059"/>
      <c r="M31" s="1059"/>
      <c r="N31" s="1059"/>
      <c r="O31" s="1059"/>
      <c r="P31" s="1059"/>
      <c r="Q31" s="1059"/>
      <c r="R31" s="1059"/>
      <c r="S31" s="1059"/>
      <c r="T31" s="1059"/>
      <c r="U31" s="1059"/>
      <c r="V31" s="1059"/>
    </row>
    <row r="32" spans="2:22" ht="21" customHeight="1" x14ac:dyDescent="0.45">
      <c r="B32" s="1060" t="str">
        <f>"     Para a fase de "&amp;'Fatores de Emissão'!B14&amp;", este preenchimento é facultativo, devendo ser preenchido sempre que existirem dados para o efeito."</f>
        <v xml:space="preserve">     Para a fase de Desativação, este preenchimento é facultativo, devendo ser preenchido sempre que existirem dados para o efeito.</v>
      </c>
      <c r="C32" s="1060"/>
      <c r="D32" s="1060"/>
      <c r="E32" s="1060"/>
      <c r="F32" s="1060"/>
      <c r="G32" s="1060"/>
      <c r="H32" s="1060"/>
      <c r="I32" s="1060"/>
      <c r="J32" s="1060"/>
      <c r="K32" s="1060"/>
      <c r="L32" s="1060"/>
      <c r="M32" s="1060"/>
      <c r="N32" s="1060"/>
      <c r="O32" s="1060"/>
      <c r="P32" s="1060"/>
      <c r="Q32" s="1060"/>
      <c r="R32" s="1060"/>
      <c r="S32" s="1060"/>
      <c r="T32" s="1060"/>
      <c r="U32" s="1060"/>
      <c r="V32" s="1060"/>
    </row>
    <row r="33" spans="2:22" ht="20.5" customHeight="1" x14ac:dyDescent="0.45">
      <c r="B33" s="1058" t="s">
        <v>1419</v>
      </c>
      <c r="C33" s="1058"/>
      <c r="D33" s="1058"/>
      <c r="E33" s="1058"/>
      <c r="F33" s="1058"/>
      <c r="G33" s="1058"/>
      <c r="H33" s="1058"/>
      <c r="I33" s="1058"/>
      <c r="J33" s="1058"/>
      <c r="K33" s="1058"/>
      <c r="L33" s="1058"/>
      <c r="M33" s="1058"/>
      <c r="N33" s="1058"/>
      <c r="O33" s="1058"/>
      <c r="P33" s="1058"/>
      <c r="Q33" s="1058"/>
      <c r="R33" s="1058"/>
      <c r="S33" s="1058"/>
      <c r="T33" s="1058"/>
      <c r="U33" s="1058"/>
      <c r="V33" s="1058"/>
    </row>
    <row r="34" spans="2:22" ht="24.65" customHeight="1" x14ac:dyDescent="0.45">
      <c r="B34" s="1061" t="s">
        <v>1420</v>
      </c>
      <c r="C34" s="1061"/>
      <c r="D34" s="1061"/>
      <c r="E34" s="1061"/>
      <c r="F34" s="1061"/>
      <c r="G34" s="1061"/>
      <c r="H34" s="1061"/>
      <c r="I34" s="1061"/>
      <c r="J34" s="1061"/>
      <c r="K34" s="1061"/>
      <c r="L34" s="1061"/>
      <c r="M34" s="1061"/>
      <c r="N34" s="1061"/>
      <c r="O34" s="1061"/>
      <c r="P34" s="1061"/>
      <c r="Q34" s="1061"/>
      <c r="R34" s="1061"/>
      <c r="S34" s="1061"/>
      <c r="T34" s="1061"/>
      <c r="U34" s="1061"/>
      <c r="V34" s="1061"/>
    </row>
    <row r="35" spans="2:22" ht="24.65" customHeight="1" x14ac:dyDescent="0.45">
      <c r="B35" s="485" t="s">
        <v>1416</v>
      </c>
      <c r="C35" s="605"/>
      <c r="D35" s="605"/>
      <c r="E35" s="605"/>
      <c r="F35" s="605"/>
      <c r="G35" s="605"/>
      <c r="H35" s="605"/>
      <c r="I35" s="605"/>
      <c r="J35" s="605"/>
      <c r="K35" s="605"/>
      <c r="L35" s="605"/>
      <c r="M35" s="605"/>
      <c r="N35" s="605"/>
      <c r="O35" s="605"/>
      <c r="P35" s="605"/>
      <c r="Q35" s="605"/>
      <c r="R35" s="605"/>
      <c r="S35" s="605"/>
      <c r="T35" s="605"/>
      <c r="U35" s="605"/>
      <c r="V35" s="605"/>
    </row>
    <row r="36" spans="2:22" ht="76.900000000000006" customHeight="1" x14ac:dyDescent="0.45">
      <c r="B36" s="1058" t="s">
        <v>1556</v>
      </c>
      <c r="C36" s="1058"/>
      <c r="D36" s="1058"/>
      <c r="E36" s="1058"/>
      <c r="F36" s="1058"/>
      <c r="G36" s="1058"/>
      <c r="H36" s="1058"/>
      <c r="I36" s="1058"/>
      <c r="J36" s="1058"/>
      <c r="K36" s="1058"/>
      <c r="L36" s="1058"/>
      <c r="M36" s="1058"/>
      <c r="N36" s="1058"/>
      <c r="O36" s="1058"/>
      <c r="P36" s="1058"/>
      <c r="Q36" s="1058"/>
      <c r="R36" s="1058"/>
      <c r="S36" s="1058"/>
      <c r="T36" s="1058"/>
      <c r="U36" s="1058"/>
      <c r="V36" s="1058"/>
    </row>
    <row r="37" spans="2:22" x14ac:dyDescent="0.45"/>
    <row r="38" spans="2:22" x14ac:dyDescent="0.45"/>
    <row r="39" spans="2:22" x14ac:dyDescent="0.45"/>
    <row r="40" spans="2:22" x14ac:dyDescent="0.45"/>
    <row r="41" spans="2:22" x14ac:dyDescent="0.45"/>
    <row r="42" spans="2:22" x14ac:dyDescent="0.45"/>
    <row r="43" spans="2:22" x14ac:dyDescent="0.45"/>
    <row r="44" spans="2:22" x14ac:dyDescent="0.45"/>
    <row r="45" spans="2:22" x14ac:dyDescent="0.45"/>
    <row r="46" spans="2:22" x14ac:dyDescent="0.45"/>
    <row r="47" spans="2:22" x14ac:dyDescent="0.45"/>
    <row r="48" spans="2:22" x14ac:dyDescent="0.45"/>
    <row r="49" x14ac:dyDescent="0.45"/>
    <row r="50" x14ac:dyDescent="0.45"/>
  </sheetData>
  <sheetProtection algorithmName="SHA-512" hashValue="Glg56WioLylVHJm7gP9DDR7hTpn6df3RUIVVlEu0cSRrXlyA1KhOGZOPxQ7r6AbpEhGNnxFcAOOunopgKq6P9Q==" saltValue="wsZPy7DbYiX1x/qMu07U3g==" spinCount="100000" sheet="1" objects="1" scenarios="1" selectLockedCells="1" selectUnlockedCells="1"/>
  <mergeCells count="9">
    <mergeCell ref="B11:V19"/>
    <mergeCell ref="B26:V26"/>
    <mergeCell ref="B25:V25"/>
    <mergeCell ref="B31:V31"/>
    <mergeCell ref="B36:V36"/>
    <mergeCell ref="B33:V33"/>
    <mergeCell ref="B27:V27"/>
    <mergeCell ref="B32:V32"/>
    <mergeCell ref="B34:V34"/>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4EDA-3D69-47F3-98D1-2AF924F164F1}">
  <sheetPr codeName="Folha20">
    <tabColor rgb="FF02A39C"/>
  </sheetPr>
  <dimension ref="A1:AB319"/>
  <sheetViews>
    <sheetView showGridLines="0" topLeftCell="A31" zoomScale="55" zoomScaleNormal="55" workbookViewId="0">
      <selection activeCell="B31" sqref="B31"/>
    </sheetView>
  </sheetViews>
  <sheetFormatPr defaultColWidth="0" defaultRowHeight="15.5" zeroHeight="1" outlineLevelRow="1" x14ac:dyDescent="0.35"/>
  <cols>
    <col min="1" max="1" width="9.7265625" style="169" bestFit="1" customWidth="1"/>
    <col min="2" max="2" width="13.54296875" style="169" customWidth="1"/>
    <col min="3" max="3" width="23.7265625" style="169" customWidth="1"/>
    <col min="4" max="4" width="53.7265625" style="169" customWidth="1"/>
    <col min="5" max="5" width="58.453125" style="169" customWidth="1"/>
    <col min="6" max="6" width="26.26953125" style="169" customWidth="1"/>
    <col min="7" max="7" width="64.26953125" style="169" customWidth="1"/>
    <col min="8" max="8" width="26.26953125" style="169" customWidth="1"/>
    <col min="9" max="9" width="56.54296875" style="169" customWidth="1"/>
    <col min="10" max="10" width="36.26953125" style="169" bestFit="1" customWidth="1"/>
    <col min="11" max="11" width="41.81640625" style="169" bestFit="1" customWidth="1"/>
    <col min="12" max="21" width="8.7265625" style="169" customWidth="1"/>
    <col min="22" max="22" width="8" style="169" customWidth="1"/>
    <col min="23" max="27" width="0" style="169" hidden="1" customWidth="1"/>
    <col min="28" max="16384" width="8.7265625" style="169" hidden="1"/>
  </cols>
  <sheetData>
    <row r="1" spans="2:28" x14ac:dyDescent="0.35"/>
    <row r="2" spans="2:28" x14ac:dyDescent="0.35"/>
    <row r="3" spans="2:28" x14ac:dyDescent="0.35"/>
    <row r="4" spans="2:28" x14ac:dyDescent="0.35"/>
    <row r="5" spans="2:28" x14ac:dyDescent="0.35"/>
    <row r="6" spans="2:28" x14ac:dyDescent="0.35"/>
    <row r="7" spans="2:28" x14ac:dyDescent="0.35"/>
    <row r="8" spans="2:28" x14ac:dyDescent="0.35"/>
    <row r="9" spans="2:28" ht="18.5" x14ac:dyDescent="0.45">
      <c r="D9" s="1049" t="str">
        <f>IF(Triagem!C35="","Não indicou na TRIAGEM se esta folha se adequa ao projeto",IF(Triagem!G35="Não","Não necessita de preencher esta folha","Folha a ser preenchida"))</f>
        <v>Não indicou na TRIAGEM se esta folha se adequa ao projeto</v>
      </c>
      <c r="E9" s="1049"/>
      <c r="F9" s="1049"/>
      <c r="G9" s="1049"/>
      <c r="H9" s="1049"/>
      <c r="I9" s="1049"/>
      <c r="J9" s="1049"/>
      <c r="K9" s="168"/>
    </row>
    <row r="10" spans="2:28" x14ac:dyDescent="0.35"/>
    <row r="11" spans="2:28" ht="23.5" customHeight="1" x14ac:dyDescent="0.35">
      <c r="B11" s="176" t="s">
        <v>1421</v>
      </c>
    </row>
    <row r="12" spans="2:28" ht="23.5" customHeight="1" x14ac:dyDescent="0.35">
      <c r="B12" s="169" t="s">
        <v>1568</v>
      </c>
    </row>
    <row r="13" spans="2:28" ht="23.5" customHeight="1" x14ac:dyDescent="0.35">
      <c r="B13" s="303" t="s">
        <v>984</v>
      </c>
      <c r="C13" s="306"/>
      <c r="D13" s="306"/>
      <c r="E13" s="306"/>
      <c r="F13" s="306"/>
      <c r="G13" s="306"/>
      <c r="H13" s="306"/>
      <c r="I13" s="306"/>
      <c r="J13" s="306"/>
      <c r="K13" s="306"/>
      <c r="L13" s="306"/>
      <c r="M13" s="306"/>
      <c r="N13" s="306"/>
      <c r="O13" s="306"/>
      <c r="P13" s="306"/>
      <c r="Q13" s="306"/>
      <c r="R13" s="306"/>
      <c r="S13" s="307"/>
      <c r="T13" s="307"/>
      <c r="U13" s="307"/>
      <c r="V13" s="307"/>
      <c r="W13" s="307"/>
      <c r="X13" s="307"/>
      <c r="Y13" s="307"/>
      <c r="Z13" s="307"/>
      <c r="AA13" s="307"/>
      <c r="AB13" s="307"/>
    </row>
    <row r="14" spans="2:28" ht="23.5" customHeight="1" x14ac:dyDescent="0.35">
      <c r="B14" s="308" t="s">
        <v>1182</v>
      </c>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5" customHeight="1" x14ac:dyDescent="0.35">
      <c r="B15" s="619" t="s">
        <v>1184</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5" customHeight="1" x14ac:dyDescent="0.35">
      <c r="B16" s="308" t="s">
        <v>1183</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28" ht="23.5" customHeight="1" x14ac:dyDescent="0.35">
      <c r="B17" s="619" t="s">
        <v>1545</v>
      </c>
      <c r="C17" s="306"/>
      <c r="D17" s="306"/>
      <c r="E17" s="306"/>
      <c r="F17" s="306"/>
      <c r="G17" s="306"/>
      <c r="H17" s="306"/>
      <c r="I17" s="306"/>
      <c r="J17" s="306"/>
      <c r="K17" s="306"/>
      <c r="L17" s="306"/>
      <c r="M17" s="306"/>
      <c r="N17" s="306"/>
      <c r="O17" s="306"/>
      <c r="P17" s="306"/>
      <c r="Q17" s="306"/>
      <c r="R17" s="306"/>
      <c r="S17" s="307"/>
      <c r="T17" s="307"/>
      <c r="U17" s="307"/>
      <c r="V17" s="307"/>
      <c r="W17" s="307"/>
      <c r="X17" s="307"/>
      <c r="Y17" s="307"/>
      <c r="Z17" s="307"/>
      <c r="AA17" s="307"/>
      <c r="AB17" s="307"/>
    </row>
    <row r="18" spans="1:28" ht="15.65" customHeight="1" x14ac:dyDescent="0.35">
      <c r="C18" s="343"/>
      <c r="D18" s="343"/>
      <c r="E18" s="343"/>
      <c r="F18" s="343"/>
      <c r="G18" s="343"/>
      <c r="H18" s="343"/>
      <c r="I18" s="343"/>
      <c r="J18" s="343"/>
      <c r="K18" s="343"/>
      <c r="L18" s="343"/>
      <c r="M18" s="343"/>
      <c r="N18" s="343"/>
      <c r="O18" s="343"/>
      <c r="P18" s="343"/>
      <c r="Q18" s="343"/>
      <c r="R18" s="343"/>
      <c r="S18" s="343"/>
      <c r="T18" s="343"/>
    </row>
    <row r="19" spans="1:28" s="538" customFormat="1" ht="30" customHeight="1" x14ac:dyDescent="0.35">
      <c r="B19" s="296" t="s">
        <v>1182</v>
      </c>
    </row>
    <row r="20" spans="1:28" x14ac:dyDescent="0.35"/>
    <row r="21" spans="1:28" ht="24.65" customHeight="1" x14ac:dyDescent="0.35">
      <c r="B21" s="309" t="s">
        <v>0</v>
      </c>
      <c r="C21" s="310"/>
      <c r="D21" s="310"/>
      <c r="E21" s="310"/>
      <c r="F21" s="310"/>
      <c r="G21" s="310"/>
      <c r="H21" s="310"/>
      <c r="I21" s="310"/>
      <c r="J21" s="310"/>
      <c r="K21" s="311"/>
      <c r="L21" s="311"/>
      <c r="M21" s="311"/>
      <c r="N21" s="311"/>
      <c r="O21" s="311"/>
      <c r="P21" s="311"/>
      <c r="Q21" s="311"/>
      <c r="R21" s="311"/>
      <c r="S21" s="311"/>
      <c r="T21" s="311"/>
      <c r="U21" s="311"/>
      <c r="V21" s="311"/>
      <c r="W21" s="311"/>
      <c r="X21" s="311"/>
      <c r="Y21" s="311"/>
      <c r="Z21" s="311"/>
      <c r="AA21" s="311"/>
      <c r="AB21" s="311"/>
    </row>
    <row r="22" spans="1:28" x14ac:dyDescent="0.35">
      <c r="B22" s="344" t="s">
        <v>1188</v>
      </c>
      <c r="C22" s="172"/>
      <c r="D22" s="172"/>
      <c r="E22" s="172"/>
      <c r="F22" s="172"/>
      <c r="G22" s="172"/>
      <c r="H22" s="172"/>
      <c r="I22" s="172"/>
      <c r="J22" s="172"/>
    </row>
    <row r="23" spans="1:28" ht="16.899999999999999" customHeight="1" x14ac:dyDescent="0.35">
      <c r="B23" s="345" t="s">
        <v>1226</v>
      </c>
      <c r="C23" s="310"/>
      <c r="D23" s="310"/>
      <c r="E23" s="310"/>
      <c r="F23" s="310"/>
      <c r="G23" s="310"/>
      <c r="H23" s="310"/>
      <c r="I23" s="310"/>
      <c r="J23" s="310"/>
      <c r="K23" s="311"/>
      <c r="L23" s="311"/>
      <c r="M23" s="311"/>
      <c r="N23" s="311"/>
      <c r="O23" s="311"/>
      <c r="P23" s="311"/>
      <c r="Q23" s="311"/>
      <c r="R23" s="311"/>
      <c r="S23" s="311"/>
      <c r="T23" s="311"/>
      <c r="U23" s="311"/>
      <c r="V23" s="311"/>
      <c r="W23" s="311"/>
      <c r="X23" s="311"/>
      <c r="Y23" s="311"/>
      <c r="Z23" s="311"/>
      <c r="AA23" s="311"/>
      <c r="AB23" s="311"/>
    </row>
    <row r="24" spans="1:28" ht="19.149999999999999" customHeight="1" x14ac:dyDescent="0.35">
      <c r="B24" s="345" t="s">
        <v>1190</v>
      </c>
      <c r="C24" s="310"/>
      <c r="D24" s="310"/>
      <c r="E24" s="310"/>
      <c r="F24" s="310"/>
      <c r="G24" s="310"/>
      <c r="H24" s="310"/>
      <c r="I24" s="310"/>
      <c r="J24" s="310"/>
      <c r="K24" s="311"/>
      <c r="L24" s="311"/>
      <c r="M24" s="311"/>
      <c r="N24" s="311"/>
      <c r="O24" s="311"/>
      <c r="P24" s="311"/>
      <c r="Q24" s="311"/>
      <c r="R24" s="311"/>
      <c r="S24" s="311"/>
      <c r="T24" s="311"/>
      <c r="U24" s="311"/>
      <c r="V24" s="311"/>
      <c r="W24" s="311"/>
      <c r="X24" s="311"/>
      <c r="Y24" s="311"/>
      <c r="Z24" s="311"/>
      <c r="AA24" s="311"/>
      <c r="AB24" s="311"/>
    </row>
    <row r="25" spans="1:28" x14ac:dyDescent="0.35">
      <c r="B25" s="344" t="s">
        <v>1191</v>
      </c>
      <c r="C25" s="310"/>
      <c r="D25" s="310"/>
      <c r="E25" s="310"/>
      <c r="F25" s="310"/>
      <c r="G25" s="310"/>
      <c r="H25" s="310"/>
      <c r="I25" s="310"/>
      <c r="J25" s="310"/>
      <c r="K25" s="311"/>
      <c r="L25" s="311"/>
      <c r="M25" s="311"/>
      <c r="N25" s="311"/>
      <c r="O25" s="311"/>
      <c r="P25" s="311"/>
      <c r="Q25" s="311"/>
      <c r="R25" s="311"/>
      <c r="S25" s="311"/>
      <c r="T25" s="311"/>
      <c r="U25" s="311"/>
      <c r="V25" s="311"/>
      <c r="W25" s="311"/>
      <c r="X25" s="311"/>
      <c r="Y25" s="311"/>
      <c r="Z25" s="311"/>
      <c r="AA25" s="311"/>
      <c r="AB25" s="311"/>
    </row>
    <row r="26" spans="1:28" x14ac:dyDescent="0.35"/>
    <row r="27" spans="1:28" x14ac:dyDescent="0.35">
      <c r="B27" s="169" t="s">
        <v>1192</v>
      </c>
    </row>
    <row r="28" spans="1:28" ht="84" customHeight="1" x14ac:dyDescent="0.35">
      <c r="A28" s="314"/>
      <c r="B28" s="184" t="s">
        <v>691</v>
      </c>
      <c r="C28" s="184" t="s">
        <v>1187</v>
      </c>
      <c r="D28" s="184" t="s">
        <v>1186</v>
      </c>
      <c r="E28" s="184" t="s">
        <v>1185</v>
      </c>
      <c r="F28" s="184" t="s">
        <v>1500</v>
      </c>
      <c r="G28" s="184" t="s">
        <v>1544</v>
      </c>
      <c r="H28" s="184" t="s">
        <v>534</v>
      </c>
      <c r="I28" s="184" t="s">
        <v>1498</v>
      </c>
      <c r="J28" s="184" t="s">
        <v>1499</v>
      </c>
    </row>
    <row r="29" spans="1:28" s="578" customFormat="1" x14ac:dyDescent="0.35">
      <c r="A29" s="317" t="s">
        <v>39</v>
      </c>
      <c r="B29" s="576" t="s">
        <v>36</v>
      </c>
      <c r="C29" s="576">
        <v>2027</v>
      </c>
      <c r="D29" s="836">
        <v>5000</v>
      </c>
      <c r="E29" s="1001">
        <v>3.1123533883112224E-2</v>
      </c>
      <c r="F29" s="1001">
        <v>155.61766941556112</v>
      </c>
      <c r="G29" s="577">
        <v>30</v>
      </c>
      <c r="H29" s="577">
        <v>2057</v>
      </c>
      <c r="I29" s="1001">
        <v>2.5287871280028677E-2</v>
      </c>
      <c r="J29" s="1001">
        <v>102.12409555396196</v>
      </c>
    </row>
    <row r="30" spans="1:28" x14ac:dyDescent="0.35">
      <c r="B30" s="454"/>
      <c r="C30" s="627"/>
      <c r="D30" s="837"/>
      <c r="E30" s="998" t="str">
        <f>IF(C30="","",IF(C30&gt;'Fatores de Emissão'!$B$403,'Fatores de Emissão'!$F$403,VLOOKUP(C30,'Fatores de Emissão'!$B$374:$F$403,5,FALSE)))</f>
        <v/>
      </c>
      <c r="F30" s="998" t="str">
        <f>IF(D30&lt;&gt;"",(D30*E30),"")</f>
        <v/>
      </c>
      <c r="G30" s="1011" t="str">
        <f>IFERROR(H30-C30,"")</f>
        <v/>
      </c>
      <c r="H30" s="1011" t="str">
        <f>IFERROR(MAX(VLOOKUP(B30,'Fatores de Emissão'!$B$12:$E$14,3,FALSE),'Fatores de Emissão'!$D$13),"")</f>
        <v/>
      </c>
      <c r="I30" s="998" t="str">
        <f>IFERROR(IF(H30&gt;'Fatores de Emissão'!$B$403, (E30+'Fatores de Emissão'!$F$403)/2, (E30+VLOOKUP(H30,'Fatores de Emissão'!$B$374:$F$403,5,FALSE))/2),"")</f>
        <v/>
      </c>
      <c r="J30" s="998" t="str" cm="1">
        <f t="array" ref="J30">IFERROR(AVERAGE(_xlfn._xlws.FILTER('Fatores de Emissão'!$C$374:$C$403,('Fatores de Emissão'!$B$374:$B$403&gt;='Emissões Evitadas'!C30)*('Fatores de Emissão'!$B$374:$B$403&lt;=('Emissões Evitadas'!H30-1))))*'Emissões Evitadas'!D30,"")</f>
        <v/>
      </c>
    </row>
    <row r="31" spans="1:28" x14ac:dyDescent="0.35">
      <c r="B31" s="454"/>
      <c r="C31" s="627"/>
      <c r="D31" s="837"/>
      <c r="E31" s="998" t="str">
        <f>IF(C31="","",IF(C31&gt;'Fatores de Emissão'!$B$403,'Fatores de Emissão'!$F$403,VLOOKUP(C31,'Fatores de Emissão'!$B$374:$F$403,5,FALSE)))</f>
        <v/>
      </c>
      <c r="F31" s="998" t="str">
        <f t="shared" ref="F31:F94" si="0">IF(D31&lt;&gt;"",(D31*E31),"")</f>
        <v/>
      </c>
      <c r="G31" s="1011" t="str">
        <f t="shared" ref="G31:G94" si="1">IFERROR(H31-C31,"")</f>
        <v/>
      </c>
      <c r="H31" s="1011" t="str">
        <f>IFERROR(MAX(VLOOKUP(B31,'Fatores de Emissão'!$B$12:$E$14,3,FALSE),'Fatores de Emissão'!$D$13),"")</f>
        <v/>
      </c>
      <c r="I31" s="998" t="str">
        <f>IFERROR(IF(H31&gt;'Fatores de Emissão'!$B$403, (E31+'Fatores de Emissão'!$F$403)/2, (E31+VLOOKUP(H31,'Fatores de Emissão'!$B$374:$F$403,5,FALSE))/2),"")</f>
        <v/>
      </c>
      <c r="J31" s="998" t="str" cm="1">
        <f t="array" ref="J31">IFERROR(AVERAGE(_xlfn._xlws.FILTER('Fatores de Emissão'!$C$374:$C$403,('Fatores de Emissão'!$B$374:$B$403&gt;='Emissões Evitadas'!C31)*('Fatores de Emissão'!$B$374:$B$403&lt;=('Emissões Evitadas'!H31-1))))*'Emissões Evitadas'!D31,"")</f>
        <v/>
      </c>
    </row>
    <row r="32" spans="1:28" x14ac:dyDescent="0.35">
      <c r="B32" s="454"/>
      <c r="C32" s="627"/>
      <c r="D32" s="837"/>
      <c r="E32" s="998" t="str">
        <f>IF(C32="","",IF(C32&gt;'Fatores de Emissão'!$B$403,'Fatores de Emissão'!$F$403,VLOOKUP(C32,'Fatores de Emissão'!$B$374:$F$403,5,FALSE)))</f>
        <v/>
      </c>
      <c r="F32" s="998" t="str">
        <f t="shared" si="0"/>
        <v/>
      </c>
      <c r="G32" s="1011" t="str">
        <f t="shared" si="1"/>
        <v/>
      </c>
      <c r="H32" s="1011" t="str">
        <f>IFERROR(MAX(VLOOKUP(B32,'Fatores de Emissão'!$B$12:$E$14,3,FALSE),'Fatores de Emissão'!$D$13),"")</f>
        <v/>
      </c>
      <c r="I32" s="998" t="str">
        <f>IFERROR(IF(H32&gt;'Fatores de Emissão'!$B$403, (E32+'Fatores de Emissão'!$F$403)/2, (E32+VLOOKUP(H32,'Fatores de Emissão'!$B$374:$F$403,5,FALSE))/2),"")</f>
        <v/>
      </c>
      <c r="J32" s="998" t="str" cm="1">
        <f t="array" ref="J32">IFERROR(AVERAGE(_xlfn._xlws.FILTER('Fatores de Emissão'!$C$374:$C$403,('Fatores de Emissão'!$B$374:$B$403&gt;='Emissões Evitadas'!C32)*('Fatores de Emissão'!$B$374:$B$403&lt;=('Emissões Evitadas'!H32-1))))*'Emissões Evitadas'!D32,"")</f>
        <v/>
      </c>
    </row>
    <row r="33" spans="2:10" x14ac:dyDescent="0.35">
      <c r="B33" s="454"/>
      <c r="C33" s="627"/>
      <c r="D33" s="837"/>
      <c r="E33" s="998" t="str">
        <f>IF(C33="","",IF(C33&gt;'Fatores de Emissão'!$B$403,'Fatores de Emissão'!$F$403,VLOOKUP(C33,'Fatores de Emissão'!$B$374:$F$403,5,FALSE)))</f>
        <v/>
      </c>
      <c r="F33" s="998" t="str">
        <f t="shared" si="0"/>
        <v/>
      </c>
      <c r="G33" s="1011" t="str">
        <f t="shared" si="1"/>
        <v/>
      </c>
      <c r="H33" s="1011" t="str">
        <f>IFERROR(MAX(VLOOKUP(B33,'Fatores de Emissão'!$B$12:$E$14,3,FALSE),'Fatores de Emissão'!$D$13),"")</f>
        <v/>
      </c>
      <c r="I33" s="998" t="str">
        <f>IFERROR(IF(H33&gt;'Fatores de Emissão'!$B$403, (E33+'Fatores de Emissão'!$F$403)/2, (E33+VLOOKUP(H33,'Fatores de Emissão'!$B$374:$F$403,5,FALSE))/2),"")</f>
        <v/>
      </c>
      <c r="J33" s="998" t="str" cm="1">
        <f t="array" ref="J33">IFERROR(AVERAGE(_xlfn._xlws.FILTER('Fatores de Emissão'!$C$374:$C$403,('Fatores de Emissão'!$B$374:$B$403&gt;='Emissões Evitadas'!C33)*('Fatores de Emissão'!$B$374:$B$403&lt;=('Emissões Evitadas'!H33-1))))*'Emissões Evitadas'!D33,"")</f>
        <v/>
      </c>
    </row>
    <row r="34" spans="2:10" x14ac:dyDescent="0.35">
      <c r="B34" s="454"/>
      <c r="C34" s="627"/>
      <c r="D34" s="837"/>
      <c r="E34" s="998" t="str">
        <f>IF(C34="","",IF(C34&gt;'Fatores de Emissão'!$B$403,'Fatores de Emissão'!$F$403,VLOOKUP(C34,'Fatores de Emissão'!$B$374:$F$403,5,FALSE)))</f>
        <v/>
      </c>
      <c r="F34" s="998" t="str">
        <f t="shared" si="0"/>
        <v/>
      </c>
      <c r="G34" s="1011" t="str">
        <f t="shared" si="1"/>
        <v/>
      </c>
      <c r="H34" s="1011" t="str">
        <f>IFERROR(MAX(VLOOKUP(B34,'Fatores de Emissão'!$B$12:$E$14,3,FALSE),'Fatores de Emissão'!$D$13),"")</f>
        <v/>
      </c>
      <c r="I34" s="998" t="str">
        <f>IFERROR(IF(H34&gt;'Fatores de Emissão'!$B$403, (E34+'Fatores de Emissão'!$F$403)/2, (E34+VLOOKUP(H34,'Fatores de Emissão'!$B$374:$F$403,5,FALSE))/2),"")</f>
        <v/>
      </c>
      <c r="J34" s="998" t="str" cm="1">
        <f t="array" ref="J34">IFERROR(AVERAGE(_xlfn._xlws.FILTER('Fatores de Emissão'!$C$374:$C$403,('Fatores de Emissão'!$B$374:$B$403&gt;='Emissões Evitadas'!C34)*('Fatores de Emissão'!$B$374:$B$403&lt;=('Emissões Evitadas'!H34-1))))*'Emissões Evitadas'!D34,"")</f>
        <v/>
      </c>
    </row>
    <row r="35" spans="2:10" x14ac:dyDescent="0.35">
      <c r="B35" s="454"/>
      <c r="C35" s="627"/>
      <c r="D35" s="837"/>
      <c r="E35" s="998" t="str">
        <f>IF(C35="","",IF(C35&gt;'Fatores de Emissão'!$B$403,'Fatores de Emissão'!$F$403,VLOOKUP(C35,'Fatores de Emissão'!$B$374:$F$403,5,FALSE)))</f>
        <v/>
      </c>
      <c r="F35" s="998" t="str">
        <f t="shared" si="0"/>
        <v/>
      </c>
      <c r="G35" s="1011" t="str">
        <f t="shared" si="1"/>
        <v/>
      </c>
      <c r="H35" s="1011" t="str">
        <f>IFERROR(MAX(VLOOKUP(B35,'Fatores de Emissão'!$B$12:$E$14,3,FALSE),'Fatores de Emissão'!$D$13),"")</f>
        <v/>
      </c>
      <c r="I35" s="998" t="str">
        <f>IFERROR(IF(H35&gt;'Fatores de Emissão'!$B$403, (E35+'Fatores de Emissão'!$F$403)/2, (E35+VLOOKUP(H35,'Fatores de Emissão'!$B$374:$F$403,5,FALSE))/2),"")</f>
        <v/>
      </c>
      <c r="J35" s="998" t="str" cm="1">
        <f t="array" ref="J35">IFERROR(AVERAGE(_xlfn._xlws.FILTER('Fatores de Emissão'!$C$374:$C$403,('Fatores de Emissão'!$B$374:$B$403&gt;='Emissões Evitadas'!C35)*('Fatores de Emissão'!$B$374:$B$403&lt;=('Emissões Evitadas'!H35-1))))*'Emissões Evitadas'!D35,"")</f>
        <v/>
      </c>
    </row>
    <row r="36" spans="2:10" x14ac:dyDescent="0.35">
      <c r="B36" s="454"/>
      <c r="C36" s="627"/>
      <c r="D36" s="837"/>
      <c r="E36" s="998" t="str">
        <f>IF(C36="","",IF(C36&gt;'Fatores de Emissão'!$B$403,'Fatores de Emissão'!$F$403,VLOOKUP(C36,'Fatores de Emissão'!$B$374:$F$403,5,FALSE)))</f>
        <v/>
      </c>
      <c r="F36" s="998" t="str">
        <f t="shared" si="0"/>
        <v/>
      </c>
      <c r="G36" s="1011" t="str">
        <f t="shared" si="1"/>
        <v/>
      </c>
      <c r="H36" s="1011" t="str">
        <f>IFERROR(MAX(VLOOKUP(B36,'Fatores de Emissão'!$B$12:$E$14,3,FALSE),'Fatores de Emissão'!$D$13),"")</f>
        <v/>
      </c>
      <c r="I36" s="998" t="str">
        <f>IFERROR(IF(H36&gt;'Fatores de Emissão'!$B$403, (E36+'Fatores de Emissão'!$F$403)/2, (E36+VLOOKUP(H36,'Fatores de Emissão'!$B$374:$F$403,5,FALSE))/2),"")</f>
        <v/>
      </c>
      <c r="J36" s="998" t="str" cm="1">
        <f t="array" ref="J36">IFERROR(AVERAGE(_xlfn._xlws.FILTER('Fatores de Emissão'!$C$374:$C$403,('Fatores de Emissão'!$B$374:$B$403&gt;='Emissões Evitadas'!C36)*('Fatores de Emissão'!$B$374:$B$403&lt;=('Emissões Evitadas'!H36-1))))*'Emissões Evitadas'!D36,"")</f>
        <v/>
      </c>
    </row>
    <row r="37" spans="2:10" x14ac:dyDescent="0.35">
      <c r="B37" s="454"/>
      <c r="C37" s="627"/>
      <c r="D37" s="837"/>
      <c r="E37" s="998" t="str">
        <f>IF(C37="","",IF(C37&gt;'Fatores de Emissão'!$B$403,'Fatores de Emissão'!$F$403,VLOOKUP(C37,'Fatores de Emissão'!$B$374:$F$403,5,FALSE)))</f>
        <v/>
      </c>
      <c r="F37" s="998" t="str">
        <f t="shared" si="0"/>
        <v/>
      </c>
      <c r="G37" s="1011" t="str">
        <f t="shared" si="1"/>
        <v/>
      </c>
      <c r="H37" s="1011" t="str">
        <f>IFERROR(MAX(VLOOKUP(B37,'Fatores de Emissão'!$B$12:$E$14,3,FALSE),'Fatores de Emissão'!$D$13),"")</f>
        <v/>
      </c>
      <c r="I37" s="998" t="str">
        <f>IFERROR(IF(H37&gt;'Fatores de Emissão'!$B$403, (E37+'Fatores de Emissão'!$F$403)/2, (E37+VLOOKUP(H37,'Fatores de Emissão'!$B$374:$F$403,5,FALSE))/2),"")</f>
        <v/>
      </c>
      <c r="J37" s="998" t="str" cm="1">
        <f t="array" ref="J37">IFERROR(AVERAGE(_xlfn._xlws.FILTER('Fatores de Emissão'!$C$374:$C$403,('Fatores de Emissão'!$B$374:$B$403&gt;='Emissões Evitadas'!C37)*('Fatores de Emissão'!$B$374:$B$403&lt;=('Emissões Evitadas'!H37-1))))*'Emissões Evitadas'!D37,"")</f>
        <v/>
      </c>
    </row>
    <row r="38" spans="2:10" x14ac:dyDescent="0.35">
      <c r="B38" s="454"/>
      <c r="C38" s="627"/>
      <c r="D38" s="837"/>
      <c r="E38" s="998" t="str">
        <f>IF(C38="","",IF(C38&gt;'Fatores de Emissão'!$B$403,'Fatores de Emissão'!$F$403,VLOOKUP(C38,'Fatores de Emissão'!$B$374:$F$403,5,FALSE)))</f>
        <v/>
      </c>
      <c r="F38" s="998" t="str">
        <f t="shared" si="0"/>
        <v/>
      </c>
      <c r="G38" s="1011" t="str">
        <f t="shared" si="1"/>
        <v/>
      </c>
      <c r="H38" s="1011" t="str">
        <f>IFERROR(MAX(VLOOKUP(B38,'Fatores de Emissão'!$B$12:$E$14,3,FALSE),'Fatores de Emissão'!$D$13),"")</f>
        <v/>
      </c>
      <c r="I38" s="998" t="str">
        <f>IFERROR(IF(H38&gt;'Fatores de Emissão'!$B$403, (E38+'Fatores de Emissão'!$F$403)/2, (E38+VLOOKUP(H38,'Fatores de Emissão'!$B$374:$F$403,5,FALSE))/2),"")</f>
        <v/>
      </c>
      <c r="J38" s="998" t="str" cm="1">
        <f t="array" ref="J38">IFERROR(AVERAGE(_xlfn._xlws.FILTER('Fatores de Emissão'!$C$374:$C$403,('Fatores de Emissão'!$B$374:$B$403&gt;='Emissões Evitadas'!C38)*('Fatores de Emissão'!$B$374:$B$403&lt;=('Emissões Evitadas'!H38-1))))*'Emissões Evitadas'!D38,"")</f>
        <v/>
      </c>
    </row>
    <row r="39" spans="2:10" x14ac:dyDescent="0.35">
      <c r="B39" s="454"/>
      <c r="C39" s="627"/>
      <c r="D39" s="837"/>
      <c r="E39" s="998" t="str">
        <f>IF(C39="","",IF(C39&gt;'Fatores de Emissão'!$B$403,'Fatores de Emissão'!$F$403,VLOOKUP(C39,'Fatores de Emissão'!$B$374:$F$403,5,FALSE)))</f>
        <v/>
      </c>
      <c r="F39" s="998" t="str">
        <f t="shared" si="0"/>
        <v/>
      </c>
      <c r="G39" s="1011" t="str">
        <f t="shared" si="1"/>
        <v/>
      </c>
      <c r="H39" s="1011" t="str">
        <f>IFERROR(MAX(VLOOKUP(B39,'Fatores de Emissão'!$B$12:$E$14,3,FALSE),'Fatores de Emissão'!$D$13),"")</f>
        <v/>
      </c>
      <c r="I39" s="998" t="str">
        <f>IFERROR(IF(H39&gt;'Fatores de Emissão'!$B$403, (E39+'Fatores de Emissão'!$F$403)/2, (E39+VLOOKUP(H39,'Fatores de Emissão'!$B$374:$F$403,5,FALSE))/2),"")</f>
        <v/>
      </c>
      <c r="J39" s="998" t="str" cm="1">
        <f t="array" ref="J39">IFERROR(AVERAGE(_xlfn._xlws.FILTER('Fatores de Emissão'!$C$374:$C$403,('Fatores de Emissão'!$B$374:$B$403&gt;='Emissões Evitadas'!C39)*('Fatores de Emissão'!$B$374:$B$403&lt;=('Emissões Evitadas'!H39-1))))*'Emissões Evitadas'!D39,"")</f>
        <v/>
      </c>
    </row>
    <row r="40" spans="2:10" x14ac:dyDescent="0.35">
      <c r="B40" s="454"/>
      <c r="C40" s="627"/>
      <c r="D40" s="837"/>
      <c r="E40" s="998" t="str">
        <f>IF(C40="","",IF(C40&gt;'Fatores de Emissão'!$B$403,'Fatores de Emissão'!$F$403,VLOOKUP(C40,'Fatores de Emissão'!$B$374:$F$403,5,FALSE)))</f>
        <v/>
      </c>
      <c r="F40" s="998" t="str">
        <f t="shared" si="0"/>
        <v/>
      </c>
      <c r="G40" s="1011" t="str">
        <f t="shared" si="1"/>
        <v/>
      </c>
      <c r="H40" s="1011" t="str">
        <f>IFERROR(MAX(VLOOKUP(B40,'Fatores de Emissão'!$B$12:$E$14,3,FALSE),'Fatores de Emissão'!$D$13),"")</f>
        <v/>
      </c>
      <c r="I40" s="998" t="str">
        <f>IFERROR(IF(H40&gt;'Fatores de Emissão'!$B$403, (E40+'Fatores de Emissão'!$F$403)/2, (E40+VLOOKUP(H40,'Fatores de Emissão'!$B$374:$F$403,5,FALSE))/2),"")</f>
        <v/>
      </c>
      <c r="J40" s="998" t="str" cm="1">
        <f t="array" ref="J40">IFERROR(AVERAGE(_xlfn._xlws.FILTER('Fatores de Emissão'!$C$374:$C$403,('Fatores de Emissão'!$B$374:$B$403&gt;='Emissões Evitadas'!C40)*('Fatores de Emissão'!$B$374:$B$403&lt;=('Emissões Evitadas'!H40-1))))*'Emissões Evitadas'!D40,"")</f>
        <v/>
      </c>
    </row>
    <row r="41" spans="2:10" hidden="1" outlineLevel="1" x14ac:dyDescent="0.35">
      <c r="B41" s="454"/>
      <c r="C41" s="627"/>
      <c r="D41" s="837"/>
      <c r="E41" s="998" t="str">
        <f>IF(C41="","",IF(C41&gt;'Fatores de Emissão'!$B$403,'Fatores de Emissão'!$F$403,VLOOKUP(C41,'Fatores de Emissão'!$B$374:$F$403,5,FALSE)))</f>
        <v/>
      </c>
      <c r="F41" s="998" t="str">
        <f t="shared" si="0"/>
        <v/>
      </c>
      <c r="G41" s="1011" t="str">
        <f t="shared" si="1"/>
        <v/>
      </c>
      <c r="H41" s="1011" t="str">
        <f>IFERROR(MAX(VLOOKUP(B41,'Fatores de Emissão'!$B$12:$E$14,3,FALSE),'Fatores de Emissão'!$D$13),"")</f>
        <v/>
      </c>
      <c r="I41" s="998" t="str">
        <f>IFERROR(IF(H41&gt;'Fatores de Emissão'!$B$403, (E41+'Fatores de Emissão'!$F$403)/2, (E41+VLOOKUP(H41,'Fatores de Emissão'!$B$374:$F$403,5,FALSE))/2),"")</f>
        <v/>
      </c>
      <c r="J41" s="998" t="str" cm="1">
        <f t="array" ref="J41">IFERROR(AVERAGE(_xlfn._xlws.FILTER('Fatores de Emissão'!$C$374:$C$403,('Fatores de Emissão'!$B$374:$B$403&gt;='Emissões Evitadas'!C41)*('Fatores de Emissão'!$B$374:$B$403&lt;=('Emissões Evitadas'!H41-1))))*'Emissões Evitadas'!D41,"")</f>
        <v/>
      </c>
    </row>
    <row r="42" spans="2:10" hidden="1" outlineLevel="1" x14ac:dyDescent="0.35">
      <c r="B42" s="454"/>
      <c r="C42" s="627"/>
      <c r="D42" s="837"/>
      <c r="E42" s="998" t="str">
        <f>IF(C42="","",IF(C42&gt;'Fatores de Emissão'!$B$403,'Fatores de Emissão'!$F$403,VLOOKUP(C42,'Fatores de Emissão'!$B$374:$F$403,5,FALSE)))</f>
        <v/>
      </c>
      <c r="F42" s="998" t="str">
        <f t="shared" si="0"/>
        <v/>
      </c>
      <c r="G42" s="1011" t="str">
        <f t="shared" si="1"/>
        <v/>
      </c>
      <c r="H42" s="1011" t="str">
        <f>IFERROR(MAX(VLOOKUP(B42,'Fatores de Emissão'!$B$12:$E$14,3,FALSE),'Fatores de Emissão'!$D$13),"")</f>
        <v/>
      </c>
      <c r="I42" s="998" t="str">
        <f>IFERROR(IF(H42&gt;'Fatores de Emissão'!$B$403, (E42+'Fatores de Emissão'!$F$403)/2, (E42+VLOOKUP(H42,'Fatores de Emissão'!$B$374:$F$403,5,FALSE))/2),"")</f>
        <v/>
      </c>
      <c r="J42" s="998" t="str" cm="1">
        <f t="array" ref="J42">IFERROR(AVERAGE(_xlfn._xlws.FILTER('Fatores de Emissão'!$C$374:$C$403,('Fatores de Emissão'!$B$374:$B$403&gt;='Emissões Evitadas'!C42)*('Fatores de Emissão'!$B$374:$B$403&lt;=('Emissões Evitadas'!H42-1))))*'Emissões Evitadas'!D42,"")</f>
        <v/>
      </c>
    </row>
    <row r="43" spans="2:10" hidden="1" outlineLevel="1" x14ac:dyDescent="0.35">
      <c r="B43" s="454"/>
      <c r="C43" s="627"/>
      <c r="D43" s="837"/>
      <c r="E43" s="998" t="str">
        <f>IF(C43="","",IF(C43&gt;'Fatores de Emissão'!$B$403,'Fatores de Emissão'!$F$403,VLOOKUP(C43,'Fatores de Emissão'!$B$374:$F$403,5,FALSE)))</f>
        <v/>
      </c>
      <c r="F43" s="998" t="str">
        <f t="shared" si="0"/>
        <v/>
      </c>
      <c r="G43" s="1011" t="str">
        <f t="shared" si="1"/>
        <v/>
      </c>
      <c r="H43" s="1011" t="str">
        <f>IFERROR(MAX(VLOOKUP(B43,'Fatores de Emissão'!$B$12:$E$14,3,FALSE),'Fatores de Emissão'!$D$13),"")</f>
        <v/>
      </c>
      <c r="I43" s="998" t="str">
        <f>IFERROR(IF(H43&gt;'Fatores de Emissão'!$B$403, (E43+'Fatores de Emissão'!$F$403)/2, (E43+VLOOKUP(H43,'Fatores de Emissão'!$B$374:$F$403,5,FALSE))/2),"")</f>
        <v/>
      </c>
      <c r="J43" s="998" t="str" cm="1">
        <f t="array" ref="J43">IFERROR(AVERAGE(_xlfn._xlws.FILTER('Fatores de Emissão'!$C$374:$C$403,('Fatores de Emissão'!$B$374:$B$403&gt;='Emissões Evitadas'!C43)*('Fatores de Emissão'!$B$374:$B$403&lt;=('Emissões Evitadas'!H43-1))))*'Emissões Evitadas'!D43,"")</f>
        <v/>
      </c>
    </row>
    <row r="44" spans="2:10" hidden="1" outlineLevel="1" x14ac:dyDescent="0.35">
      <c r="B44" s="454"/>
      <c r="C44" s="627"/>
      <c r="D44" s="837"/>
      <c r="E44" s="998" t="str">
        <f>IF(C44="","",IF(C44&gt;'Fatores de Emissão'!$B$403,'Fatores de Emissão'!$F$403,VLOOKUP(C44,'Fatores de Emissão'!$B$374:$F$403,5,FALSE)))</f>
        <v/>
      </c>
      <c r="F44" s="998" t="str">
        <f t="shared" si="0"/>
        <v/>
      </c>
      <c r="G44" s="1011" t="str">
        <f t="shared" si="1"/>
        <v/>
      </c>
      <c r="H44" s="1011" t="str">
        <f>IFERROR(MAX(VLOOKUP(B44,'Fatores de Emissão'!$B$12:$E$14,3,FALSE),'Fatores de Emissão'!$D$13),"")</f>
        <v/>
      </c>
      <c r="I44" s="998" t="str">
        <f>IFERROR(IF(H44&gt;'Fatores de Emissão'!$B$403, (E44+'Fatores de Emissão'!$F$403)/2, (E44+VLOOKUP(H44,'Fatores de Emissão'!$B$374:$F$403,5,FALSE))/2),"")</f>
        <v/>
      </c>
      <c r="J44" s="998" t="str" cm="1">
        <f t="array" ref="J44">IFERROR(AVERAGE(_xlfn._xlws.FILTER('Fatores de Emissão'!$C$374:$C$403,('Fatores de Emissão'!$B$374:$B$403&gt;='Emissões Evitadas'!C44)*('Fatores de Emissão'!$B$374:$B$403&lt;=('Emissões Evitadas'!H44-1))))*'Emissões Evitadas'!D44,"")</f>
        <v/>
      </c>
    </row>
    <row r="45" spans="2:10" hidden="1" outlineLevel="1" x14ac:dyDescent="0.35">
      <c r="B45" s="454"/>
      <c r="C45" s="627"/>
      <c r="D45" s="837"/>
      <c r="E45" s="998" t="str">
        <f>IF(C45="","",IF(C45&gt;'Fatores de Emissão'!$B$403,'Fatores de Emissão'!$F$403,VLOOKUP(C45,'Fatores de Emissão'!$B$374:$F$403,5,FALSE)))</f>
        <v/>
      </c>
      <c r="F45" s="998" t="str">
        <f t="shared" si="0"/>
        <v/>
      </c>
      <c r="G45" s="1011" t="str">
        <f t="shared" si="1"/>
        <v/>
      </c>
      <c r="H45" s="1011" t="str">
        <f>IFERROR(MAX(VLOOKUP(B45,'Fatores de Emissão'!$B$12:$E$14,3,FALSE),'Fatores de Emissão'!$D$13),"")</f>
        <v/>
      </c>
      <c r="I45" s="998" t="str">
        <f>IFERROR(IF(H45&gt;'Fatores de Emissão'!$B$403, (E45+'Fatores de Emissão'!$F$403)/2, (E45+VLOOKUP(H45,'Fatores de Emissão'!$B$374:$F$403,5,FALSE))/2),"")</f>
        <v/>
      </c>
      <c r="J45" s="998" t="str" cm="1">
        <f t="array" ref="J45">IFERROR(AVERAGE(_xlfn._xlws.FILTER('Fatores de Emissão'!$C$374:$C$403,('Fatores de Emissão'!$B$374:$B$403&gt;='Emissões Evitadas'!C45)*('Fatores de Emissão'!$B$374:$B$403&lt;=('Emissões Evitadas'!H45-1))))*'Emissões Evitadas'!D45,"")</f>
        <v/>
      </c>
    </row>
    <row r="46" spans="2:10" hidden="1" outlineLevel="1" x14ac:dyDescent="0.35">
      <c r="B46" s="454"/>
      <c r="C46" s="627"/>
      <c r="D46" s="837"/>
      <c r="E46" s="998" t="str">
        <f>IF(C46="","",IF(C46&gt;'Fatores de Emissão'!$B$403,'Fatores de Emissão'!$F$403,VLOOKUP(C46,'Fatores de Emissão'!$B$374:$F$403,5,FALSE)))</f>
        <v/>
      </c>
      <c r="F46" s="998" t="str">
        <f t="shared" si="0"/>
        <v/>
      </c>
      <c r="G46" s="1011" t="str">
        <f t="shared" si="1"/>
        <v/>
      </c>
      <c r="H46" s="1011" t="str">
        <f>IFERROR(MAX(VLOOKUP(B46,'Fatores de Emissão'!$B$12:$E$14,3,FALSE),'Fatores de Emissão'!$D$13),"")</f>
        <v/>
      </c>
      <c r="I46" s="998" t="str">
        <f>IFERROR(IF(H46&gt;'Fatores de Emissão'!$B$403, (E46+'Fatores de Emissão'!$F$403)/2, (E46+VLOOKUP(H46,'Fatores de Emissão'!$B$374:$F$403,5,FALSE))/2),"")</f>
        <v/>
      </c>
      <c r="J46" s="998" t="str" cm="1">
        <f t="array" ref="J46">IFERROR(AVERAGE(_xlfn._xlws.FILTER('Fatores de Emissão'!$C$374:$C$403,('Fatores de Emissão'!$B$374:$B$403&gt;='Emissões Evitadas'!C46)*('Fatores de Emissão'!$B$374:$B$403&lt;=('Emissões Evitadas'!H46-1))))*'Emissões Evitadas'!D46,"")</f>
        <v/>
      </c>
    </row>
    <row r="47" spans="2:10" hidden="1" outlineLevel="1" x14ac:dyDescent="0.35">
      <c r="B47" s="454"/>
      <c r="C47" s="627"/>
      <c r="D47" s="837"/>
      <c r="E47" s="998" t="str">
        <f>IF(C47="","",IF(C47&gt;'Fatores de Emissão'!$B$403,'Fatores de Emissão'!$F$403,VLOOKUP(C47,'Fatores de Emissão'!$B$374:$F$403,5,FALSE)))</f>
        <v/>
      </c>
      <c r="F47" s="998" t="str">
        <f t="shared" si="0"/>
        <v/>
      </c>
      <c r="G47" s="1011" t="str">
        <f t="shared" si="1"/>
        <v/>
      </c>
      <c r="H47" s="1011" t="str">
        <f>IFERROR(MAX(VLOOKUP(B47,'Fatores de Emissão'!$B$12:$E$14,3,FALSE),'Fatores de Emissão'!$D$13),"")</f>
        <v/>
      </c>
      <c r="I47" s="998" t="str">
        <f>IFERROR(IF(H47&gt;'Fatores de Emissão'!$B$403, (E47+'Fatores de Emissão'!$F$403)/2, (E47+VLOOKUP(H47,'Fatores de Emissão'!$B$374:$F$403,5,FALSE))/2),"")</f>
        <v/>
      </c>
      <c r="J47" s="998" t="str" cm="1">
        <f t="array" ref="J47">IFERROR(AVERAGE(_xlfn._xlws.FILTER('Fatores de Emissão'!$C$374:$C$403,('Fatores de Emissão'!$B$374:$B$403&gt;='Emissões Evitadas'!C47)*('Fatores de Emissão'!$B$374:$B$403&lt;=('Emissões Evitadas'!H47-1))))*'Emissões Evitadas'!D47,"")</f>
        <v/>
      </c>
    </row>
    <row r="48" spans="2:10" hidden="1" outlineLevel="1" x14ac:dyDescent="0.35">
      <c r="B48" s="454"/>
      <c r="C48" s="627"/>
      <c r="D48" s="837"/>
      <c r="E48" s="998" t="str">
        <f>IF(C48="","",IF(C48&gt;'Fatores de Emissão'!$B$403,'Fatores de Emissão'!$F$403,VLOOKUP(C48,'Fatores de Emissão'!$B$374:$F$403,5,FALSE)))</f>
        <v/>
      </c>
      <c r="F48" s="998" t="str">
        <f t="shared" si="0"/>
        <v/>
      </c>
      <c r="G48" s="1011" t="str">
        <f t="shared" si="1"/>
        <v/>
      </c>
      <c r="H48" s="1011" t="str">
        <f>IFERROR(MAX(VLOOKUP(B48,'Fatores de Emissão'!$B$12:$E$14,3,FALSE),'Fatores de Emissão'!$D$13),"")</f>
        <v/>
      </c>
      <c r="I48" s="998" t="str">
        <f>IFERROR(IF(H48&gt;'Fatores de Emissão'!$B$403, (E48+'Fatores de Emissão'!$F$403)/2, (E48+VLOOKUP(H48,'Fatores de Emissão'!$B$374:$F$403,5,FALSE))/2),"")</f>
        <v/>
      </c>
      <c r="J48" s="998" t="str" cm="1">
        <f t="array" ref="J48">IFERROR(AVERAGE(_xlfn._xlws.FILTER('Fatores de Emissão'!$C$374:$C$403,('Fatores de Emissão'!$B$374:$B$403&gt;='Emissões Evitadas'!C48)*('Fatores de Emissão'!$B$374:$B$403&lt;=('Emissões Evitadas'!H48-1))))*'Emissões Evitadas'!D48,"")</f>
        <v/>
      </c>
    </row>
    <row r="49" spans="2:10" hidden="1" outlineLevel="1" x14ac:dyDescent="0.35">
      <c r="B49" s="454"/>
      <c r="C49" s="627"/>
      <c r="D49" s="837"/>
      <c r="E49" s="998" t="str">
        <f>IF(C49="","",IF(C49&gt;'Fatores de Emissão'!$B$403,'Fatores de Emissão'!$F$403,VLOOKUP(C49,'Fatores de Emissão'!$B$374:$F$403,5,FALSE)))</f>
        <v/>
      </c>
      <c r="F49" s="998" t="str">
        <f t="shared" si="0"/>
        <v/>
      </c>
      <c r="G49" s="1011" t="str">
        <f t="shared" si="1"/>
        <v/>
      </c>
      <c r="H49" s="1011" t="str">
        <f>IFERROR(MAX(VLOOKUP(B49,'Fatores de Emissão'!$B$12:$E$14,3,FALSE),'Fatores de Emissão'!$D$13),"")</f>
        <v/>
      </c>
      <c r="I49" s="998" t="str">
        <f>IFERROR(IF(H49&gt;'Fatores de Emissão'!$B$403, (E49+'Fatores de Emissão'!$F$403)/2, (E49+VLOOKUP(H49,'Fatores de Emissão'!$B$374:$F$403,5,FALSE))/2),"")</f>
        <v/>
      </c>
      <c r="J49" s="998" t="str" cm="1">
        <f t="array" ref="J49">IFERROR(AVERAGE(_xlfn._xlws.FILTER('Fatores de Emissão'!$C$374:$C$403,('Fatores de Emissão'!$B$374:$B$403&gt;='Emissões Evitadas'!C49)*('Fatores de Emissão'!$B$374:$B$403&lt;=('Emissões Evitadas'!H49-1))))*'Emissões Evitadas'!D49,"")</f>
        <v/>
      </c>
    </row>
    <row r="50" spans="2:10" hidden="1" outlineLevel="1" x14ac:dyDescent="0.35">
      <c r="B50" s="454"/>
      <c r="C50" s="627"/>
      <c r="D50" s="837"/>
      <c r="E50" s="998" t="str">
        <f>IF(C50="","",IF(C50&gt;'Fatores de Emissão'!$B$403,'Fatores de Emissão'!$F$403,VLOOKUP(C50,'Fatores de Emissão'!$B$374:$F$403,5,FALSE)))</f>
        <v/>
      </c>
      <c r="F50" s="998" t="str">
        <f t="shared" si="0"/>
        <v/>
      </c>
      <c r="G50" s="1011" t="str">
        <f t="shared" si="1"/>
        <v/>
      </c>
      <c r="H50" s="1011" t="str">
        <f>IFERROR(MAX(VLOOKUP(B50,'Fatores de Emissão'!$B$12:$E$14,3,FALSE),'Fatores de Emissão'!$D$13),"")</f>
        <v/>
      </c>
      <c r="I50" s="998" t="str">
        <f>IFERROR(IF(H50&gt;'Fatores de Emissão'!$B$403, (E50+'Fatores de Emissão'!$F$403)/2, (E50+VLOOKUP(H50,'Fatores de Emissão'!$B$374:$F$403,5,FALSE))/2),"")</f>
        <v/>
      </c>
      <c r="J50" s="998" t="str" cm="1">
        <f t="array" ref="J50">IFERROR(AVERAGE(_xlfn._xlws.FILTER('Fatores de Emissão'!$C$374:$C$403,('Fatores de Emissão'!$B$374:$B$403&gt;='Emissões Evitadas'!C50)*('Fatores de Emissão'!$B$374:$B$403&lt;=('Emissões Evitadas'!H50-1))))*'Emissões Evitadas'!D50,"")</f>
        <v/>
      </c>
    </row>
    <row r="51" spans="2:10" hidden="1" outlineLevel="1" x14ac:dyDescent="0.35">
      <c r="B51" s="454"/>
      <c r="C51" s="627"/>
      <c r="D51" s="837"/>
      <c r="E51" s="998" t="str">
        <f>IF(C51="","",IF(C51&gt;'Fatores de Emissão'!$B$403,'Fatores de Emissão'!$F$403,VLOOKUP(C51,'Fatores de Emissão'!$B$374:$F$403,5,FALSE)))</f>
        <v/>
      </c>
      <c r="F51" s="998" t="str">
        <f t="shared" si="0"/>
        <v/>
      </c>
      <c r="G51" s="1011" t="str">
        <f t="shared" si="1"/>
        <v/>
      </c>
      <c r="H51" s="1011" t="str">
        <f>IFERROR(MAX(VLOOKUP(B51,'Fatores de Emissão'!$B$12:$E$14,3,FALSE),'Fatores de Emissão'!$D$13),"")</f>
        <v/>
      </c>
      <c r="I51" s="998" t="str">
        <f>IFERROR(IF(H51&gt;'Fatores de Emissão'!$B$403, (E51+'Fatores de Emissão'!$F$403)/2, (E51+VLOOKUP(H51,'Fatores de Emissão'!$B$374:$F$403,5,FALSE))/2),"")</f>
        <v/>
      </c>
      <c r="J51" s="998" t="str" cm="1">
        <f t="array" ref="J51">IFERROR(AVERAGE(_xlfn._xlws.FILTER('Fatores de Emissão'!$C$374:$C$403,('Fatores de Emissão'!$B$374:$B$403&gt;='Emissões Evitadas'!C51)*('Fatores de Emissão'!$B$374:$B$403&lt;=('Emissões Evitadas'!H51-1))))*'Emissões Evitadas'!D51,"")</f>
        <v/>
      </c>
    </row>
    <row r="52" spans="2:10" hidden="1" outlineLevel="1" x14ac:dyDescent="0.35">
      <c r="B52" s="454"/>
      <c r="C52" s="627"/>
      <c r="D52" s="837"/>
      <c r="E52" s="998" t="str">
        <f>IF(C52="","",IF(C52&gt;'Fatores de Emissão'!$B$403,'Fatores de Emissão'!$F$403,VLOOKUP(C52,'Fatores de Emissão'!$B$374:$F$403,5,FALSE)))</f>
        <v/>
      </c>
      <c r="F52" s="998" t="str">
        <f t="shared" si="0"/>
        <v/>
      </c>
      <c r="G52" s="1011" t="str">
        <f t="shared" si="1"/>
        <v/>
      </c>
      <c r="H52" s="1011" t="str">
        <f>IFERROR(MAX(VLOOKUP(B52,'Fatores de Emissão'!$B$12:$E$14,3,FALSE),'Fatores de Emissão'!$D$13),"")</f>
        <v/>
      </c>
      <c r="I52" s="998" t="str">
        <f>IFERROR(IF(H52&gt;'Fatores de Emissão'!$B$403, (E52+'Fatores de Emissão'!$F$403)/2, (E52+VLOOKUP(H52,'Fatores de Emissão'!$B$374:$F$403,5,FALSE))/2),"")</f>
        <v/>
      </c>
      <c r="J52" s="998" t="str" cm="1">
        <f t="array" ref="J52">IFERROR(AVERAGE(_xlfn._xlws.FILTER('Fatores de Emissão'!$C$374:$C$403,('Fatores de Emissão'!$B$374:$B$403&gt;='Emissões Evitadas'!C52)*('Fatores de Emissão'!$B$374:$B$403&lt;=('Emissões Evitadas'!H52-1))))*'Emissões Evitadas'!D52,"")</f>
        <v/>
      </c>
    </row>
    <row r="53" spans="2:10" hidden="1" outlineLevel="1" x14ac:dyDescent="0.35">
      <c r="B53" s="454"/>
      <c r="C53" s="627"/>
      <c r="D53" s="837"/>
      <c r="E53" s="998" t="str">
        <f>IF(C53="","",IF(C53&gt;'Fatores de Emissão'!$B$403,'Fatores de Emissão'!$F$403,VLOOKUP(C53,'Fatores de Emissão'!$B$374:$F$403,5,FALSE)))</f>
        <v/>
      </c>
      <c r="F53" s="998" t="str">
        <f t="shared" si="0"/>
        <v/>
      </c>
      <c r="G53" s="1011" t="str">
        <f t="shared" si="1"/>
        <v/>
      </c>
      <c r="H53" s="1011" t="str">
        <f>IFERROR(MAX(VLOOKUP(B53,'Fatores de Emissão'!$B$12:$E$14,3,FALSE),'Fatores de Emissão'!$D$13),"")</f>
        <v/>
      </c>
      <c r="I53" s="998" t="str">
        <f>IFERROR(IF(H53&gt;'Fatores de Emissão'!$B$403, (E53+'Fatores de Emissão'!$F$403)/2, (E53+VLOOKUP(H53,'Fatores de Emissão'!$B$374:$F$403,5,FALSE))/2),"")</f>
        <v/>
      </c>
      <c r="J53" s="998" t="str" cm="1">
        <f t="array" ref="J53">IFERROR(AVERAGE(_xlfn._xlws.FILTER('Fatores de Emissão'!$C$374:$C$403,('Fatores de Emissão'!$B$374:$B$403&gt;='Emissões Evitadas'!C53)*('Fatores de Emissão'!$B$374:$B$403&lt;=('Emissões Evitadas'!H53-1))))*'Emissões Evitadas'!D53,"")</f>
        <v/>
      </c>
    </row>
    <row r="54" spans="2:10" hidden="1" outlineLevel="1" x14ac:dyDescent="0.35">
      <c r="B54" s="454"/>
      <c r="C54" s="627"/>
      <c r="D54" s="837"/>
      <c r="E54" s="998" t="str">
        <f>IF(C54="","",IF(C54&gt;'Fatores de Emissão'!$B$403,'Fatores de Emissão'!$F$403,VLOOKUP(C54,'Fatores de Emissão'!$B$374:$F$403,5,FALSE)))</f>
        <v/>
      </c>
      <c r="F54" s="998" t="str">
        <f t="shared" si="0"/>
        <v/>
      </c>
      <c r="G54" s="1011" t="str">
        <f t="shared" si="1"/>
        <v/>
      </c>
      <c r="H54" s="1011" t="str">
        <f>IFERROR(MAX(VLOOKUP(B54,'Fatores de Emissão'!$B$12:$E$14,3,FALSE),'Fatores de Emissão'!$D$13),"")</f>
        <v/>
      </c>
      <c r="I54" s="998" t="str">
        <f>IFERROR(IF(H54&gt;'Fatores de Emissão'!$B$403, (E54+'Fatores de Emissão'!$F$403)/2, (E54+VLOOKUP(H54,'Fatores de Emissão'!$B$374:$F$403,5,FALSE))/2),"")</f>
        <v/>
      </c>
      <c r="J54" s="998" t="str" cm="1">
        <f t="array" ref="J54">IFERROR(AVERAGE(_xlfn._xlws.FILTER('Fatores de Emissão'!$C$374:$C$403,('Fatores de Emissão'!$B$374:$B$403&gt;='Emissões Evitadas'!C54)*('Fatores de Emissão'!$B$374:$B$403&lt;=('Emissões Evitadas'!H54-1))))*'Emissões Evitadas'!D54,"")</f>
        <v/>
      </c>
    </row>
    <row r="55" spans="2:10" hidden="1" outlineLevel="1" x14ac:dyDescent="0.35">
      <c r="B55" s="454"/>
      <c r="C55" s="627"/>
      <c r="D55" s="837"/>
      <c r="E55" s="998" t="str">
        <f>IF(C55="","",IF(C55&gt;'Fatores de Emissão'!$B$403,'Fatores de Emissão'!$F$403,VLOOKUP(C55,'Fatores de Emissão'!$B$374:$F$403,5,FALSE)))</f>
        <v/>
      </c>
      <c r="F55" s="998" t="str">
        <f t="shared" si="0"/>
        <v/>
      </c>
      <c r="G55" s="1011" t="str">
        <f t="shared" si="1"/>
        <v/>
      </c>
      <c r="H55" s="1011" t="str">
        <f>IFERROR(MAX(VLOOKUP(B55,'Fatores de Emissão'!$B$12:$E$14,3,FALSE),'Fatores de Emissão'!$D$13),"")</f>
        <v/>
      </c>
      <c r="I55" s="998" t="str">
        <f>IFERROR(IF(H55&gt;'Fatores de Emissão'!$B$403, (E55+'Fatores de Emissão'!$F$403)/2, (E55+VLOOKUP(H55,'Fatores de Emissão'!$B$374:$F$403,5,FALSE))/2),"")</f>
        <v/>
      </c>
      <c r="J55" s="998" t="str" cm="1">
        <f t="array" ref="J55">IFERROR(AVERAGE(_xlfn._xlws.FILTER('Fatores de Emissão'!$C$374:$C$403,('Fatores de Emissão'!$B$374:$B$403&gt;='Emissões Evitadas'!C55)*('Fatores de Emissão'!$B$374:$B$403&lt;=('Emissões Evitadas'!H55-1))))*'Emissões Evitadas'!D55,"")</f>
        <v/>
      </c>
    </row>
    <row r="56" spans="2:10" hidden="1" outlineLevel="1" x14ac:dyDescent="0.35">
      <c r="B56" s="454"/>
      <c r="C56" s="627"/>
      <c r="D56" s="837"/>
      <c r="E56" s="998" t="str">
        <f>IF(C56="","",IF(C56&gt;'Fatores de Emissão'!$B$403,'Fatores de Emissão'!$F$403,VLOOKUP(C56,'Fatores de Emissão'!$B$374:$F$403,5,FALSE)))</f>
        <v/>
      </c>
      <c r="F56" s="998" t="str">
        <f t="shared" si="0"/>
        <v/>
      </c>
      <c r="G56" s="1011" t="str">
        <f t="shared" si="1"/>
        <v/>
      </c>
      <c r="H56" s="1011" t="str">
        <f>IFERROR(MAX(VLOOKUP(B56,'Fatores de Emissão'!$B$12:$E$14,3,FALSE),'Fatores de Emissão'!$D$13),"")</f>
        <v/>
      </c>
      <c r="I56" s="998" t="str">
        <f>IFERROR(IF(H56&gt;'Fatores de Emissão'!$B$403, (E56+'Fatores de Emissão'!$F$403)/2, (E56+VLOOKUP(H56,'Fatores de Emissão'!$B$374:$F$403,5,FALSE))/2),"")</f>
        <v/>
      </c>
      <c r="J56" s="998" t="str" cm="1">
        <f t="array" ref="J56">IFERROR(AVERAGE(_xlfn._xlws.FILTER('Fatores de Emissão'!$C$374:$C$403,('Fatores de Emissão'!$B$374:$B$403&gt;='Emissões Evitadas'!C56)*('Fatores de Emissão'!$B$374:$B$403&lt;=('Emissões Evitadas'!H56-1))))*'Emissões Evitadas'!D56,"")</f>
        <v/>
      </c>
    </row>
    <row r="57" spans="2:10" hidden="1" outlineLevel="1" x14ac:dyDescent="0.35">
      <c r="B57" s="454"/>
      <c r="C57" s="627"/>
      <c r="D57" s="837"/>
      <c r="E57" s="998" t="str">
        <f>IF(C57="","",IF(C57&gt;'Fatores de Emissão'!$B$403,'Fatores de Emissão'!$F$403,VLOOKUP(C57,'Fatores de Emissão'!$B$374:$F$403,5,FALSE)))</f>
        <v/>
      </c>
      <c r="F57" s="998" t="str">
        <f t="shared" si="0"/>
        <v/>
      </c>
      <c r="G57" s="1011" t="str">
        <f t="shared" si="1"/>
        <v/>
      </c>
      <c r="H57" s="1011" t="str">
        <f>IFERROR(MAX(VLOOKUP(B57,'Fatores de Emissão'!$B$12:$E$14,3,FALSE),'Fatores de Emissão'!$D$13),"")</f>
        <v/>
      </c>
      <c r="I57" s="998" t="str">
        <f>IFERROR(IF(H57&gt;'Fatores de Emissão'!$B$403, (E57+'Fatores de Emissão'!$F$403)/2, (E57+VLOOKUP(H57,'Fatores de Emissão'!$B$374:$F$403,5,FALSE))/2),"")</f>
        <v/>
      </c>
      <c r="J57" s="998" t="str" cm="1">
        <f t="array" ref="J57">IFERROR(AVERAGE(_xlfn._xlws.FILTER('Fatores de Emissão'!$C$374:$C$403,('Fatores de Emissão'!$B$374:$B$403&gt;='Emissões Evitadas'!C57)*('Fatores de Emissão'!$B$374:$B$403&lt;=('Emissões Evitadas'!H57-1))))*'Emissões Evitadas'!D57,"")</f>
        <v/>
      </c>
    </row>
    <row r="58" spans="2:10" hidden="1" outlineLevel="1" x14ac:dyDescent="0.35">
      <c r="B58" s="454"/>
      <c r="C58" s="627"/>
      <c r="D58" s="837"/>
      <c r="E58" s="998" t="str">
        <f>IF(C58="","",IF(C58&gt;'Fatores de Emissão'!$B$403,'Fatores de Emissão'!$F$403,VLOOKUP(C58,'Fatores de Emissão'!$B$374:$F$403,5,FALSE)))</f>
        <v/>
      </c>
      <c r="F58" s="998" t="str">
        <f t="shared" si="0"/>
        <v/>
      </c>
      <c r="G58" s="1011" t="str">
        <f t="shared" si="1"/>
        <v/>
      </c>
      <c r="H58" s="1011" t="str">
        <f>IFERROR(MAX(VLOOKUP(B58,'Fatores de Emissão'!$B$12:$E$14,3,FALSE),'Fatores de Emissão'!$D$13),"")</f>
        <v/>
      </c>
      <c r="I58" s="998" t="str">
        <f>IFERROR(IF(H58&gt;'Fatores de Emissão'!$B$403, (E58+'Fatores de Emissão'!$F$403)/2, (E58+VLOOKUP(H58,'Fatores de Emissão'!$B$374:$F$403,5,FALSE))/2),"")</f>
        <v/>
      </c>
      <c r="J58" s="998" t="str" cm="1">
        <f t="array" ref="J58">IFERROR(AVERAGE(_xlfn._xlws.FILTER('Fatores de Emissão'!$C$374:$C$403,('Fatores de Emissão'!$B$374:$B$403&gt;='Emissões Evitadas'!C58)*('Fatores de Emissão'!$B$374:$B$403&lt;=('Emissões Evitadas'!H58-1))))*'Emissões Evitadas'!D58,"")</f>
        <v/>
      </c>
    </row>
    <row r="59" spans="2:10" hidden="1" outlineLevel="1" x14ac:dyDescent="0.35">
      <c r="B59" s="454"/>
      <c r="C59" s="627"/>
      <c r="D59" s="837"/>
      <c r="E59" s="998" t="str">
        <f>IF(C59="","",IF(C59&gt;'Fatores de Emissão'!$B$403,'Fatores de Emissão'!$F$403,VLOOKUP(C59,'Fatores de Emissão'!$B$374:$F$403,5,FALSE)))</f>
        <v/>
      </c>
      <c r="F59" s="998" t="str">
        <f t="shared" si="0"/>
        <v/>
      </c>
      <c r="G59" s="1011" t="str">
        <f t="shared" si="1"/>
        <v/>
      </c>
      <c r="H59" s="1011" t="str">
        <f>IFERROR(MAX(VLOOKUP(B59,'Fatores de Emissão'!$B$12:$E$14,3,FALSE),'Fatores de Emissão'!$D$13),"")</f>
        <v/>
      </c>
      <c r="I59" s="998" t="str">
        <f>IFERROR(IF(H59&gt;'Fatores de Emissão'!$B$403, (E59+'Fatores de Emissão'!$F$403)/2, (E59+VLOOKUP(H59,'Fatores de Emissão'!$B$374:$F$403,5,FALSE))/2),"")</f>
        <v/>
      </c>
      <c r="J59" s="998" t="str" cm="1">
        <f t="array" ref="J59">IFERROR(AVERAGE(_xlfn._xlws.FILTER('Fatores de Emissão'!$C$374:$C$403,('Fatores de Emissão'!$B$374:$B$403&gt;='Emissões Evitadas'!C59)*('Fatores de Emissão'!$B$374:$B$403&lt;=('Emissões Evitadas'!H59-1))))*'Emissões Evitadas'!D59,"")</f>
        <v/>
      </c>
    </row>
    <row r="60" spans="2:10" hidden="1" outlineLevel="1" x14ac:dyDescent="0.35">
      <c r="B60" s="454"/>
      <c r="C60" s="627"/>
      <c r="D60" s="837"/>
      <c r="E60" s="998" t="str">
        <f>IF(C60="","",IF(C60&gt;'Fatores de Emissão'!$B$403,'Fatores de Emissão'!$F$403,VLOOKUP(C60,'Fatores de Emissão'!$B$374:$F$403,5,FALSE)))</f>
        <v/>
      </c>
      <c r="F60" s="998" t="str">
        <f t="shared" si="0"/>
        <v/>
      </c>
      <c r="G60" s="1011" t="str">
        <f t="shared" si="1"/>
        <v/>
      </c>
      <c r="H60" s="1011" t="str">
        <f>IFERROR(MAX(VLOOKUP(B60,'Fatores de Emissão'!$B$12:$E$14,3,FALSE),'Fatores de Emissão'!$D$13),"")</f>
        <v/>
      </c>
      <c r="I60" s="998" t="str">
        <f>IFERROR(IF(H60&gt;'Fatores de Emissão'!$B$403, (E60+'Fatores de Emissão'!$F$403)/2, (E60+VLOOKUP(H60,'Fatores de Emissão'!$B$374:$F$403,5,FALSE))/2),"")</f>
        <v/>
      </c>
      <c r="J60" s="998" t="str" cm="1">
        <f t="array" ref="J60">IFERROR(AVERAGE(_xlfn._xlws.FILTER('Fatores de Emissão'!$C$374:$C$403,('Fatores de Emissão'!$B$374:$B$403&gt;='Emissões Evitadas'!C60)*('Fatores de Emissão'!$B$374:$B$403&lt;=('Emissões Evitadas'!H60-1))))*'Emissões Evitadas'!D60,"")</f>
        <v/>
      </c>
    </row>
    <row r="61" spans="2:10" hidden="1" outlineLevel="1" x14ac:dyDescent="0.35">
      <c r="B61" s="454"/>
      <c r="C61" s="627"/>
      <c r="D61" s="837"/>
      <c r="E61" s="998" t="str">
        <f>IF(C61="","",IF(C61&gt;'Fatores de Emissão'!$B$403,'Fatores de Emissão'!$F$403,VLOOKUP(C61,'Fatores de Emissão'!$B$374:$F$403,5,FALSE)))</f>
        <v/>
      </c>
      <c r="F61" s="998" t="str">
        <f t="shared" si="0"/>
        <v/>
      </c>
      <c r="G61" s="1011" t="str">
        <f t="shared" si="1"/>
        <v/>
      </c>
      <c r="H61" s="1011" t="str">
        <f>IFERROR(MAX(VLOOKUP(B61,'Fatores de Emissão'!$B$12:$E$14,3,FALSE),'Fatores de Emissão'!$D$13),"")</f>
        <v/>
      </c>
      <c r="I61" s="998" t="str">
        <f>IFERROR(IF(H61&gt;'Fatores de Emissão'!$B$403, (E61+'Fatores de Emissão'!$F$403)/2, (E61+VLOOKUP(H61,'Fatores de Emissão'!$B$374:$F$403,5,FALSE))/2),"")</f>
        <v/>
      </c>
      <c r="J61" s="998" t="str" cm="1">
        <f t="array" ref="J61">IFERROR(AVERAGE(_xlfn._xlws.FILTER('Fatores de Emissão'!$C$374:$C$403,('Fatores de Emissão'!$B$374:$B$403&gt;='Emissões Evitadas'!C61)*('Fatores de Emissão'!$B$374:$B$403&lt;=('Emissões Evitadas'!H61-1))))*'Emissões Evitadas'!D61,"")</f>
        <v/>
      </c>
    </row>
    <row r="62" spans="2:10" hidden="1" outlineLevel="1" x14ac:dyDescent="0.35">
      <c r="B62" s="454"/>
      <c r="C62" s="627"/>
      <c r="D62" s="837"/>
      <c r="E62" s="998" t="str">
        <f>IF(C62="","",IF(C62&gt;'Fatores de Emissão'!$B$403,'Fatores de Emissão'!$F$403,VLOOKUP(C62,'Fatores de Emissão'!$B$374:$F$403,5,FALSE)))</f>
        <v/>
      </c>
      <c r="F62" s="998" t="str">
        <f t="shared" si="0"/>
        <v/>
      </c>
      <c r="G62" s="1011" t="str">
        <f t="shared" si="1"/>
        <v/>
      </c>
      <c r="H62" s="1011" t="str">
        <f>IFERROR(MAX(VLOOKUP(B62,'Fatores de Emissão'!$B$12:$E$14,3,FALSE),'Fatores de Emissão'!$D$13),"")</f>
        <v/>
      </c>
      <c r="I62" s="998" t="str">
        <f>IFERROR(IF(H62&gt;'Fatores de Emissão'!$B$403, (E62+'Fatores de Emissão'!$F$403)/2, (E62+VLOOKUP(H62,'Fatores de Emissão'!$B$374:$F$403,5,FALSE))/2),"")</f>
        <v/>
      </c>
      <c r="J62" s="998" t="str" cm="1">
        <f t="array" ref="J62">IFERROR(AVERAGE(_xlfn._xlws.FILTER('Fatores de Emissão'!$C$374:$C$403,('Fatores de Emissão'!$B$374:$B$403&gt;='Emissões Evitadas'!C62)*('Fatores de Emissão'!$B$374:$B$403&lt;=('Emissões Evitadas'!H62-1))))*'Emissões Evitadas'!D62,"")</f>
        <v/>
      </c>
    </row>
    <row r="63" spans="2:10" hidden="1" outlineLevel="1" x14ac:dyDescent="0.35">
      <c r="B63" s="454"/>
      <c r="C63" s="627"/>
      <c r="D63" s="837"/>
      <c r="E63" s="998" t="str">
        <f>IF(C63="","",IF(C63&gt;'Fatores de Emissão'!$B$403,'Fatores de Emissão'!$F$403,VLOOKUP(C63,'Fatores de Emissão'!$B$374:$F$403,5,FALSE)))</f>
        <v/>
      </c>
      <c r="F63" s="998" t="str">
        <f t="shared" si="0"/>
        <v/>
      </c>
      <c r="G63" s="1011" t="str">
        <f t="shared" si="1"/>
        <v/>
      </c>
      <c r="H63" s="1011" t="str">
        <f>IFERROR(MAX(VLOOKUP(B63,'Fatores de Emissão'!$B$12:$E$14,3,FALSE),'Fatores de Emissão'!$D$13),"")</f>
        <v/>
      </c>
      <c r="I63" s="998" t="str">
        <f>IFERROR(IF(H63&gt;'Fatores de Emissão'!$B$403, (E63+'Fatores de Emissão'!$F$403)/2, (E63+VLOOKUP(H63,'Fatores de Emissão'!$B$374:$F$403,5,FALSE))/2),"")</f>
        <v/>
      </c>
      <c r="J63" s="998" t="str" cm="1">
        <f t="array" ref="J63">IFERROR(AVERAGE(_xlfn._xlws.FILTER('Fatores de Emissão'!$C$374:$C$403,('Fatores de Emissão'!$B$374:$B$403&gt;='Emissões Evitadas'!C63)*('Fatores de Emissão'!$B$374:$B$403&lt;=('Emissões Evitadas'!H63-1))))*'Emissões Evitadas'!D63,"")</f>
        <v/>
      </c>
    </row>
    <row r="64" spans="2:10" hidden="1" outlineLevel="1" x14ac:dyDescent="0.35">
      <c r="B64" s="454"/>
      <c r="C64" s="627"/>
      <c r="D64" s="837"/>
      <c r="E64" s="998" t="str">
        <f>IF(C64="","",IF(C64&gt;'Fatores de Emissão'!$B$403,'Fatores de Emissão'!$F$403,VLOOKUP(C64,'Fatores de Emissão'!$B$374:$F$403,5,FALSE)))</f>
        <v/>
      </c>
      <c r="F64" s="998" t="str">
        <f t="shared" si="0"/>
        <v/>
      </c>
      <c r="G64" s="1011" t="str">
        <f t="shared" si="1"/>
        <v/>
      </c>
      <c r="H64" s="1011" t="str">
        <f>IFERROR(MAX(VLOOKUP(B64,'Fatores de Emissão'!$B$12:$E$14,3,FALSE),'Fatores de Emissão'!$D$13),"")</f>
        <v/>
      </c>
      <c r="I64" s="998" t="str">
        <f>IFERROR(IF(H64&gt;'Fatores de Emissão'!$B$403, (E64+'Fatores de Emissão'!$F$403)/2, (E64+VLOOKUP(H64,'Fatores de Emissão'!$B$374:$F$403,5,FALSE))/2),"")</f>
        <v/>
      </c>
      <c r="J64" s="998" t="str" cm="1">
        <f t="array" ref="J64">IFERROR(AVERAGE(_xlfn._xlws.FILTER('Fatores de Emissão'!$C$374:$C$403,('Fatores de Emissão'!$B$374:$B$403&gt;='Emissões Evitadas'!C64)*('Fatores de Emissão'!$B$374:$B$403&lt;=('Emissões Evitadas'!H64-1))))*'Emissões Evitadas'!D64,"")</f>
        <v/>
      </c>
    </row>
    <row r="65" spans="2:10" hidden="1" outlineLevel="1" x14ac:dyDescent="0.35">
      <c r="B65" s="454"/>
      <c r="C65" s="627"/>
      <c r="D65" s="837"/>
      <c r="E65" s="998" t="str">
        <f>IF(C65="","",IF(C65&gt;'Fatores de Emissão'!$B$403,'Fatores de Emissão'!$F$403,VLOOKUP(C65,'Fatores de Emissão'!$B$374:$F$403,5,FALSE)))</f>
        <v/>
      </c>
      <c r="F65" s="998" t="str">
        <f t="shared" si="0"/>
        <v/>
      </c>
      <c r="G65" s="1011" t="str">
        <f t="shared" si="1"/>
        <v/>
      </c>
      <c r="H65" s="1011" t="str">
        <f>IFERROR(MAX(VLOOKUP(B65,'Fatores de Emissão'!$B$12:$E$14,3,FALSE),'Fatores de Emissão'!$D$13),"")</f>
        <v/>
      </c>
      <c r="I65" s="998" t="str">
        <f>IFERROR(IF(H65&gt;'Fatores de Emissão'!$B$403, (E65+'Fatores de Emissão'!$F$403)/2, (E65+VLOOKUP(H65,'Fatores de Emissão'!$B$374:$F$403,5,FALSE))/2),"")</f>
        <v/>
      </c>
      <c r="J65" s="998" t="str" cm="1">
        <f t="array" ref="J65">IFERROR(AVERAGE(_xlfn._xlws.FILTER('Fatores de Emissão'!$C$374:$C$403,('Fatores de Emissão'!$B$374:$B$403&gt;='Emissões Evitadas'!C65)*('Fatores de Emissão'!$B$374:$B$403&lt;=('Emissões Evitadas'!H65-1))))*'Emissões Evitadas'!D65,"")</f>
        <v/>
      </c>
    </row>
    <row r="66" spans="2:10" hidden="1" outlineLevel="1" x14ac:dyDescent="0.35">
      <c r="B66" s="454"/>
      <c r="C66" s="627"/>
      <c r="D66" s="837"/>
      <c r="E66" s="998" t="str">
        <f>IF(C66="","",IF(C66&gt;'Fatores de Emissão'!$B$403,'Fatores de Emissão'!$F$403,VLOOKUP(C66,'Fatores de Emissão'!$B$374:$F$403,5,FALSE)))</f>
        <v/>
      </c>
      <c r="F66" s="998" t="str">
        <f t="shared" si="0"/>
        <v/>
      </c>
      <c r="G66" s="1011" t="str">
        <f t="shared" si="1"/>
        <v/>
      </c>
      <c r="H66" s="1011" t="str">
        <f>IFERROR(MAX(VLOOKUP(B66,'Fatores de Emissão'!$B$12:$E$14,3,FALSE),'Fatores de Emissão'!$D$13),"")</f>
        <v/>
      </c>
      <c r="I66" s="998" t="str">
        <f>IFERROR(IF(H66&gt;'Fatores de Emissão'!$B$403, (E66+'Fatores de Emissão'!$F$403)/2, (E66+VLOOKUP(H66,'Fatores de Emissão'!$B$374:$F$403,5,FALSE))/2),"")</f>
        <v/>
      </c>
      <c r="J66" s="998" t="str" cm="1">
        <f t="array" ref="J66">IFERROR(AVERAGE(_xlfn._xlws.FILTER('Fatores de Emissão'!$C$374:$C$403,('Fatores de Emissão'!$B$374:$B$403&gt;='Emissões Evitadas'!C66)*('Fatores de Emissão'!$B$374:$B$403&lt;=('Emissões Evitadas'!H66-1))))*'Emissões Evitadas'!D66,"")</f>
        <v/>
      </c>
    </row>
    <row r="67" spans="2:10" hidden="1" outlineLevel="1" x14ac:dyDescent="0.35">
      <c r="B67" s="454"/>
      <c r="C67" s="627"/>
      <c r="D67" s="837"/>
      <c r="E67" s="998" t="str">
        <f>IF(C67="","",IF(C67&gt;'Fatores de Emissão'!$B$403,'Fatores de Emissão'!$F$403,VLOOKUP(C67,'Fatores de Emissão'!$B$374:$F$403,5,FALSE)))</f>
        <v/>
      </c>
      <c r="F67" s="998" t="str">
        <f t="shared" si="0"/>
        <v/>
      </c>
      <c r="G67" s="1011" t="str">
        <f t="shared" si="1"/>
        <v/>
      </c>
      <c r="H67" s="1011" t="str">
        <f>IFERROR(MAX(VLOOKUP(B67,'Fatores de Emissão'!$B$12:$E$14,3,FALSE),'Fatores de Emissão'!$D$13),"")</f>
        <v/>
      </c>
      <c r="I67" s="998" t="str">
        <f>IFERROR(IF(H67&gt;'Fatores de Emissão'!$B$403, (E67+'Fatores de Emissão'!$F$403)/2, (E67+VLOOKUP(H67,'Fatores de Emissão'!$B$374:$F$403,5,FALSE))/2),"")</f>
        <v/>
      </c>
      <c r="J67" s="998" t="str" cm="1">
        <f t="array" ref="J67">IFERROR(AVERAGE(_xlfn._xlws.FILTER('Fatores de Emissão'!$C$374:$C$403,('Fatores de Emissão'!$B$374:$B$403&gt;='Emissões Evitadas'!C67)*('Fatores de Emissão'!$B$374:$B$403&lt;=('Emissões Evitadas'!H67-1))))*'Emissões Evitadas'!D67,"")</f>
        <v/>
      </c>
    </row>
    <row r="68" spans="2:10" hidden="1" outlineLevel="1" x14ac:dyDescent="0.35">
      <c r="B68" s="454"/>
      <c r="C68" s="627"/>
      <c r="D68" s="837"/>
      <c r="E68" s="998" t="str">
        <f>IF(C68="","",IF(C68&gt;'Fatores de Emissão'!$B$403,'Fatores de Emissão'!$F$403,VLOOKUP(C68,'Fatores de Emissão'!$B$374:$F$403,5,FALSE)))</f>
        <v/>
      </c>
      <c r="F68" s="998" t="str">
        <f t="shared" si="0"/>
        <v/>
      </c>
      <c r="G68" s="1011" t="str">
        <f t="shared" si="1"/>
        <v/>
      </c>
      <c r="H68" s="1011" t="str">
        <f>IFERROR(MAX(VLOOKUP(B68,'Fatores de Emissão'!$B$12:$E$14,3,FALSE),'Fatores de Emissão'!$D$13),"")</f>
        <v/>
      </c>
      <c r="I68" s="998" t="str">
        <f>IFERROR(IF(H68&gt;'Fatores de Emissão'!$B$403, (E68+'Fatores de Emissão'!$F$403)/2, (E68+VLOOKUP(H68,'Fatores de Emissão'!$B$374:$F$403,5,FALSE))/2),"")</f>
        <v/>
      </c>
      <c r="J68" s="998" t="str" cm="1">
        <f t="array" ref="J68">IFERROR(AVERAGE(_xlfn._xlws.FILTER('Fatores de Emissão'!$C$374:$C$403,('Fatores de Emissão'!$B$374:$B$403&gt;='Emissões Evitadas'!C68)*('Fatores de Emissão'!$B$374:$B$403&lt;=('Emissões Evitadas'!H68-1))))*'Emissões Evitadas'!D68,"")</f>
        <v/>
      </c>
    </row>
    <row r="69" spans="2:10" hidden="1" outlineLevel="1" x14ac:dyDescent="0.35">
      <c r="B69" s="454"/>
      <c r="C69" s="627"/>
      <c r="D69" s="837"/>
      <c r="E69" s="998" t="str">
        <f>IF(C69="","",IF(C69&gt;'Fatores de Emissão'!$B$403,'Fatores de Emissão'!$F$403,VLOOKUP(C69,'Fatores de Emissão'!$B$374:$F$403,5,FALSE)))</f>
        <v/>
      </c>
      <c r="F69" s="998" t="str">
        <f t="shared" si="0"/>
        <v/>
      </c>
      <c r="G69" s="1011" t="str">
        <f t="shared" si="1"/>
        <v/>
      </c>
      <c r="H69" s="1011" t="str">
        <f>IFERROR(MAX(VLOOKUP(B69,'Fatores de Emissão'!$B$12:$E$14,3,FALSE),'Fatores de Emissão'!$D$13),"")</f>
        <v/>
      </c>
      <c r="I69" s="998" t="str">
        <f>IFERROR(IF(H69&gt;'Fatores de Emissão'!$B$403, (E69+'Fatores de Emissão'!$F$403)/2, (E69+VLOOKUP(H69,'Fatores de Emissão'!$B$374:$F$403,5,FALSE))/2),"")</f>
        <v/>
      </c>
      <c r="J69" s="998" t="str" cm="1">
        <f t="array" ref="J69">IFERROR(AVERAGE(_xlfn._xlws.FILTER('Fatores de Emissão'!$C$374:$C$403,('Fatores de Emissão'!$B$374:$B$403&gt;='Emissões Evitadas'!C69)*('Fatores de Emissão'!$B$374:$B$403&lt;=('Emissões Evitadas'!H69-1))))*'Emissões Evitadas'!D69,"")</f>
        <v/>
      </c>
    </row>
    <row r="70" spans="2:10" hidden="1" outlineLevel="1" x14ac:dyDescent="0.35">
      <c r="B70" s="454"/>
      <c r="C70" s="627"/>
      <c r="D70" s="837"/>
      <c r="E70" s="998" t="str">
        <f>IF(C70="","",IF(C70&gt;'Fatores de Emissão'!$B$403,'Fatores de Emissão'!$F$403,VLOOKUP(C70,'Fatores de Emissão'!$B$374:$F$403,5,FALSE)))</f>
        <v/>
      </c>
      <c r="F70" s="998" t="str">
        <f t="shared" si="0"/>
        <v/>
      </c>
      <c r="G70" s="1011" t="str">
        <f t="shared" si="1"/>
        <v/>
      </c>
      <c r="H70" s="1011" t="str">
        <f>IFERROR(MAX(VLOOKUP(B70,'Fatores de Emissão'!$B$12:$E$14,3,FALSE),'Fatores de Emissão'!$D$13),"")</f>
        <v/>
      </c>
      <c r="I70" s="998" t="str">
        <f>IFERROR(IF(H70&gt;'Fatores de Emissão'!$B$403, (E70+'Fatores de Emissão'!$F$403)/2, (E70+VLOOKUP(H70,'Fatores de Emissão'!$B$374:$F$403,5,FALSE))/2),"")</f>
        <v/>
      </c>
      <c r="J70" s="998" t="str" cm="1">
        <f t="array" ref="J70">IFERROR(AVERAGE(_xlfn._xlws.FILTER('Fatores de Emissão'!$C$374:$C$403,('Fatores de Emissão'!$B$374:$B$403&gt;='Emissões Evitadas'!C70)*('Fatores de Emissão'!$B$374:$B$403&lt;=('Emissões Evitadas'!H70-1))))*'Emissões Evitadas'!D70,"")</f>
        <v/>
      </c>
    </row>
    <row r="71" spans="2:10" hidden="1" outlineLevel="1" x14ac:dyDescent="0.35">
      <c r="B71" s="454"/>
      <c r="C71" s="627"/>
      <c r="D71" s="837"/>
      <c r="E71" s="998" t="str">
        <f>IF(C71="","",IF(C71&gt;'Fatores de Emissão'!$B$403,'Fatores de Emissão'!$F$403,VLOOKUP(C71,'Fatores de Emissão'!$B$374:$F$403,5,FALSE)))</f>
        <v/>
      </c>
      <c r="F71" s="998" t="str">
        <f t="shared" si="0"/>
        <v/>
      </c>
      <c r="G71" s="1011" t="str">
        <f t="shared" si="1"/>
        <v/>
      </c>
      <c r="H71" s="1011" t="str">
        <f>IFERROR(MAX(VLOOKUP(B71,'Fatores de Emissão'!$B$12:$E$14,3,FALSE),'Fatores de Emissão'!$D$13),"")</f>
        <v/>
      </c>
      <c r="I71" s="998" t="str">
        <f>IFERROR(IF(H71&gt;'Fatores de Emissão'!$B$403, (E71+'Fatores de Emissão'!$F$403)/2, (E71+VLOOKUP(H71,'Fatores de Emissão'!$B$374:$F$403,5,FALSE))/2),"")</f>
        <v/>
      </c>
      <c r="J71" s="998" t="str" cm="1">
        <f t="array" ref="J71">IFERROR(AVERAGE(_xlfn._xlws.FILTER('Fatores de Emissão'!$C$374:$C$403,('Fatores de Emissão'!$B$374:$B$403&gt;='Emissões Evitadas'!C71)*('Fatores de Emissão'!$B$374:$B$403&lt;=('Emissões Evitadas'!H71-1))))*'Emissões Evitadas'!D71,"")</f>
        <v/>
      </c>
    </row>
    <row r="72" spans="2:10" hidden="1" outlineLevel="1" x14ac:dyDescent="0.35">
      <c r="B72" s="454"/>
      <c r="C72" s="627"/>
      <c r="D72" s="837"/>
      <c r="E72" s="998" t="str">
        <f>IF(C72="","",IF(C72&gt;'Fatores de Emissão'!$B$403,'Fatores de Emissão'!$F$403,VLOOKUP(C72,'Fatores de Emissão'!$B$374:$F$403,5,FALSE)))</f>
        <v/>
      </c>
      <c r="F72" s="998" t="str">
        <f t="shared" si="0"/>
        <v/>
      </c>
      <c r="G72" s="1011" t="str">
        <f t="shared" si="1"/>
        <v/>
      </c>
      <c r="H72" s="1011" t="str">
        <f>IFERROR(MAX(VLOOKUP(B72,'Fatores de Emissão'!$B$12:$E$14,3,FALSE),'Fatores de Emissão'!$D$13),"")</f>
        <v/>
      </c>
      <c r="I72" s="998" t="str">
        <f>IFERROR(IF(H72&gt;'Fatores de Emissão'!$B$403, (E72+'Fatores de Emissão'!$F$403)/2, (E72+VLOOKUP(H72,'Fatores de Emissão'!$B$374:$F$403,5,FALSE))/2),"")</f>
        <v/>
      </c>
      <c r="J72" s="998" t="str" cm="1">
        <f t="array" ref="J72">IFERROR(AVERAGE(_xlfn._xlws.FILTER('Fatores de Emissão'!$C$374:$C$403,('Fatores de Emissão'!$B$374:$B$403&gt;='Emissões Evitadas'!C72)*('Fatores de Emissão'!$B$374:$B$403&lt;=('Emissões Evitadas'!H72-1))))*'Emissões Evitadas'!D72,"")</f>
        <v/>
      </c>
    </row>
    <row r="73" spans="2:10" hidden="1" outlineLevel="1" x14ac:dyDescent="0.35">
      <c r="B73" s="454"/>
      <c r="C73" s="627"/>
      <c r="D73" s="837"/>
      <c r="E73" s="998" t="str">
        <f>IF(C73="","",IF(C73&gt;'Fatores de Emissão'!$B$403,'Fatores de Emissão'!$F$403,VLOOKUP(C73,'Fatores de Emissão'!$B$374:$F$403,5,FALSE)))</f>
        <v/>
      </c>
      <c r="F73" s="998" t="str">
        <f t="shared" si="0"/>
        <v/>
      </c>
      <c r="G73" s="1011" t="str">
        <f t="shared" si="1"/>
        <v/>
      </c>
      <c r="H73" s="1011" t="str">
        <f>IFERROR(MAX(VLOOKUP(B73,'Fatores de Emissão'!$B$12:$E$14,3,FALSE),'Fatores de Emissão'!$D$13),"")</f>
        <v/>
      </c>
      <c r="I73" s="998" t="str">
        <f>IFERROR(IF(H73&gt;'Fatores de Emissão'!$B$403, (E73+'Fatores de Emissão'!$F$403)/2, (E73+VLOOKUP(H73,'Fatores de Emissão'!$B$374:$F$403,5,FALSE))/2),"")</f>
        <v/>
      </c>
      <c r="J73" s="998" t="str" cm="1">
        <f t="array" ref="J73">IFERROR(AVERAGE(_xlfn._xlws.FILTER('Fatores de Emissão'!$C$374:$C$403,('Fatores de Emissão'!$B$374:$B$403&gt;='Emissões Evitadas'!C73)*('Fatores de Emissão'!$B$374:$B$403&lt;=('Emissões Evitadas'!H73-1))))*'Emissões Evitadas'!D73,"")</f>
        <v/>
      </c>
    </row>
    <row r="74" spans="2:10" hidden="1" outlineLevel="1" x14ac:dyDescent="0.35">
      <c r="B74" s="454"/>
      <c r="C74" s="627"/>
      <c r="D74" s="837"/>
      <c r="E74" s="998" t="str">
        <f>IF(C74="","",IF(C74&gt;'Fatores de Emissão'!$B$403,'Fatores de Emissão'!$F$403,VLOOKUP(C74,'Fatores de Emissão'!$B$374:$F$403,5,FALSE)))</f>
        <v/>
      </c>
      <c r="F74" s="998" t="str">
        <f t="shared" si="0"/>
        <v/>
      </c>
      <c r="G74" s="1011" t="str">
        <f t="shared" si="1"/>
        <v/>
      </c>
      <c r="H74" s="1011" t="str">
        <f>IFERROR(MAX(VLOOKUP(B74,'Fatores de Emissão'!$B$12:$E$14,3,FALSE),'Fatores de Emissão'!$D$13),"")</f>
        <v/>
      </c>
      <c r="I74" s="998" t="str">
        <f>IFERROR(IF(H74&gt;'Fatores de Emissão'!$B$403, (E74+'Fatores de Emissão'!$F$403)/2, (E74+VLOOKUP(H74,'Fatores de Emissão'!$B$374:$F$403,5,FALSE))/2),"")</f>
        <v/>
      </c>
      <c r="J74" s="998" t="str" cm="1">
        <f t="array" ref="J74">IFERROR(AVERAGE(_xlfn._xlws.FILTER('Fatores de Emissão'!$C$374:$C$403,('Fatores de Emissão'!$B$374:$B$403&gt;='Emissões Evitadas'!C74)*('Fatores de Emissão'!$B$374:$B$403&lt;=('Emissões Evitadas'!H74-1))))*'Emissões Evitadas'!D74,"")</f>
        <v/>
      </c>
    </row>
    <row r="75" spans="2:10" hidden="1" outlineLevel="1" x14ac:dyDescent="0.35">
      <c r="B75" s="454"/>
      <c r="C75" s="627"/>
      <c r="D75" s="837"/>
      <c r="E75" s="998" t="str">
        <f>IF(C75="","",IF(C75&gt;'Fatores de Emissão'!$B$403,'Fatores de Emissão'!$F$403,VLOOKUP(C75,'Fatores de Emissão'!$B$374:$F$403,5,FALSE)))</f>
        <v/>
      </c>
      <c r="F75" s="998" t="str">
        <f t="shared" si="0"/>
        <v/>
      </c>
      <c r="G75" s="1011" t="str">
        <f t="shared" si="1"/>
        <v/>
      </c>
      <c r="H75" s="1011" t="str">
        <f>IFERROR(MAX(VLOOKUP(B75,'Fatores de Emissão'!$B$12:$E$14,3,FALSE),'Fatores de Emissão'!$D$13),"")</f>
        <v/>
      </c>
      <c r="I75" s="998" t="str">
        <f>IFERROR(IF(H75&gt;'Fatores de Emissão'!$B$403, (E75+'Fatores de Emissão'!$F$403)/2, (E75+VLOOKUP(H75,'Fatores de Emissão'!$B$374:$F$403,5,FALSE))/2),"")</f>
        <v/>
      </c>
      <c r="J75" s="998" t="str" cm="1">
        <f t="array" ref="J75">IFERROR(AVERAGE(_xlfn._xlws.FILTER('Fatores de Emissão'!$C$374:$C$403,('Fatores de Emissão'!$B$374:$B$403&gt;='Emissões Evitadas'!C75)*('Fatores de Emissão'!$B$374:$B$403&lt;=('Emissões Evitadas'!H75-1))))*'Emissões Evitadas'!D75,"")</f>
        <v/>
      </c>
    </row>
    <row r="76" spans="2:10" hidden="1" outlineLevel="1" x14ac:dyDescent="0.35">
      <c r="B76" s="454"/>
      <c r="C76" s="627"/>
      <c r="D76" s="837"/>
      <c r="E76" s="998" t="str">
        <f>IF(C76="","",IF(C76&gt;'Fatores de Emissão'!$B$403,'Fatores de Emissão'!$F$403,VLOOKUP(C76,'Fatores de Emissão'!$B$374:$F$403,5,FALSE)))</f>
        <v/>
      </c>
      <c r="F76" s="998" t="str">
        <f t="shared" si="0"/>
        <v/>
      </c>
      <c r="G76" s="1011" t="str">
        <f t="shared" si="1"/>
        <v/>
      </c>
      <c r="H76" s="1011" t="str">
        <f>IFERROR(MAX(VLOOKUP(B76,'Fatores de Emissão'!$B$12:$E$14,3,FALSE),'Fatores de Emissão'!$D$13),"")</f>
        <v/>
      </c>
      <c r="I76" s="998" t="str">
        <f>IFERROR(IF(H76&gt;'Fatores de Emissão'!$B$403, (E76+'Fatores de Emissão'!$F$403)/2, (E76+VLOOKUP(H76,'Fatores de Emissão'!$B$374:$F$403,5,FALSE))/2),"")</f>
        <v/>
      </c>
      <c r="J76" s="998" t="str" cm="1">
        <f t="array" ref="J76">IFERROR(AVERAGE(_xlfn._xlws.FILTER('Fatores de Emissão'!$C$374:$C$403,('Fatores de Emissão'!$B$374:$B$403&gt;='Emissões Evitadas'!C76)*('Fatores de Emissão'!$B$374:$B$403&lt;=('Emissões Evitadas'!H76-1))))*'Emissões Evitadas'!D76,"")</f>
        <v/>
      </c>
    </row>
    <row r="77" spans="2:10" hidden="1" outlineLevel="1" x14ac:dyDescent="0.35">
      <c r="B77" s="454"/>
      <c r="C77" s="627"/>
      <c r="D77" s="837"/>
      <c r="E77" s="998" t="str">
        <f>IF(C77="","",IF(C77&gt;'Fatores de Emissão'!$B$403,'Fatores de Emissão'!$F$403,VLOOKUP(C77,'Fatores de Emissão'!$B$374:$F$403,5,FALSE)))</f>
        <v/>
      </c>
      <c r="F77" s="998" t="str">
        <f t="shared" si="0"/>
        <v/>
      </c>
      <c r="G77" s="1011" t="str">
        <f t="shared" si="1"/>
        <v/>
      </c>
      <c r="H77" s="1011" t="str">
        <f>IFERROR(MAX(VLOOKUP(B77,'Fatores de Emissão'!$B$12:$E$14,3,FALSE),'Fatores de Emissão'!$D$13),"")</f>
        <v/>
      </c>
      <c r="I77" s="998" t="str">
        <f>IFERROR(IF(H77&gt;'Fatores de Emissão'!$B$403, (E77+'Fatores de Emissão'!$F$403)/2, (E77+VLOOKUP(H77,'Fatores de Emissão'!$B$374:$F$403,5,FALSE))/2),"")</f>
        <v/>
      </c>
      <c r="J77" s="998" t="str" cm="1">
        <f t="array" ref="J77">IFERROR(AVERAGE(_xlfn._xlws.FILTER('Fatores de Emissão'!$C$374:$C$403,('Fatores de Emissão'!$B$374:$B$403&gt;='Emissões Evitadas'!C77)*('Fatores de Emissão'!$B$374:$B$403&lt;=('Emissões Evitadas'!H77-1))))*'Emissões Evitadas'!D77,"")</f>
        <v/>
      </c>
    </row>
    <row r="78" spans="2:10" hidden="1" outlineLevel="1" x14ac:dyDescent="0.35">
      <c r="B78" s="454"/>
      <c r="C78" s="627"/>
      <c r="D78" s="837"/>
      <c r="E78" s="998" t="str">
        <f>IF(C78="","",IF(C78&gt;'Fatores de Emissão'!$B$403,'Fatores de Emissão'!$F$403,VLOOKUP(C78,'Fatores de Emissão'!$B$374:$F$403,5,FALSE)))</f>
        <v/>
      </c>
      <c r="F78" s="998" t="str">
        <f t="shared" si="0"/>
        <v/>
      </c>
      <c r="G78" s="1011" t="str">
        <f t="shared" si="1"/>
        <v/>
      </c>
      <c r="H78" s="1011" t="str">
        <f>IFERROR(MAX(VLOOKUP(B78,'Fatores de Emissão'!$B$12:$E$14,3,FALSE),'Fatores de Emissão'!$D$13),"")</f>
        <v/>
      </c>
      <c r="I78" s="998" t="str">
        <f>IFERROR(IF(H78&gt;'Fatores de Emissão'!$B$403, (E78+'Fatores de Emissão'!$F$403)/2, (E78+VLOOKUP(H78,'Fatores de Emissão'!$B$374:$F$403,5,FALSE))/2),"")</f>
        <v/>
      </c>
      <c r="J78" s="998" t="str" cm="1">
        <f t="array" ref="J78">IFERROR(AVERAGE(_xlfn._xlws.FILTER('Fatores de Emissão'!$C$374:$C$403,('Fatores de Emissão'!$B$374:$B$403&gt;='Emissões Evitadas'!C78)*('Fatores de Emissão'!$B$374:$B$403&lt;=('Emissões Evitadas'!H78-1))))*'Emissões Evitadas'!D78,"")</f>
        <v/>
      </c>
    </row>
    <row r="79" spans="2:10" hidden="1" outlineLevel="1" x14ac:dyDescent="0.35">
      <c r="B79" s="454"/>
      <c r="C79" s="627"/>
      <c r="D79" s="837"/>
      <c r="E79" s="998" t="str">
        <f>IF(C79="","",IF(C79&gt;'Fatores de Emissão'!$B$403,'Fatores de Emissão'!$F$403,VLOOKUP(C79,'Fatores de Emissão'!$B$374:$F$403,5,FALSE)))</f>
        <v/>
      </c>
      <c r="F79" s="998" t="str">
        <f t="shared" si="0"/>
        <v/>
      </c>
      <c r="G79" s="1011" t="str">
        <f t="shared" si="1"/>
        <v/>
      </c>
      <c r="H79" s="1011" t="str">
        <f>IFERROR(MAX(VLOOKUP(B79,'Fatores de Emissão'!$B$12:$E$14,3,FALSE),'Fatores de Emissão'!$D$13),"")</f>
        <v/>
      </c>
      <c r="I79" s="998" t="str">
        <f>IFERROR(IF(H79&gt;'Fatores de Emissão'!$B$403, (E79+'Fatores de Emissão'!$F$403)/2, (E79+VLOOKUP(H79,'Fatores de Emissão'!$B$374:$F$403,5,FALSE))/2),"")</f>
        <v/>
      </c>
      <c r="J79" s="998" t="str" cm="1">
        <f t="array" ref="J79">IFERROR(AVERAGE(_xlfn._xlws.FILTER('Fatores de Emissão'!$C$374:$C$403,('Fatores de Emissão'!$B$374:$B$403&gt;='Emissões Evitadas'!C79)*('Fatores de Emissão'!$B$374:$B$403&lt;=('Emissões Evitadas'!H79-1))))*'Emissões Evitadas'!D79,"")</f>
        <v/>
      </c>
    </row>
    <row r="80" spans="2:10" hidden="1" outlineLevel="1" x14ac:dyDescent="0.35">
      <c r="B80" s="454"/>
      <c r="C80" s="627"/>
      <c r="D80" s="837"/>
      <c r="E80" s="998" t="str">
        <f>IF(C80="","",IF(C80&gt;'Fatores de Emissão'!$B$403,'Fatores de Emissão'!$F$403,VLOOKUP(C80,'Fatores de Emissão'!$B$374:$F$403,5,FALSE)))</f>
        <v/>
      </c>
      <c r="F80" s="998" t="str">
        <f t="shared" si="0"/>
        <v/>
      </c>
      <c r="G80" s="1011" t="str">
        <f t="shared" si="1"/>
        <v/>
      </c>
      <c r="H80" s="1011" t="str">
        <f>IFERROR(MAX(VLOOKUP(B80,'Fatores de Emissão'!$B$12:$E$14,3,FALSE),'Fatores de Emissão'!$D$13),"")</f>
        <v/>
      </c>
      <c r="I80" s="998" t="str">
        <f>IFERROR(IF(H80&gt;'Fatores de Emissão'!$B$403, (E80+'Fatores de Emissão'!$F$403)/2, (E80+VLOOKUP(H80,'Fatores de Emissão'!$B$374:$F$403,5,FALSE))/2),"")</f>
        <v/>
      </c>
      <c r="J80" s="998" t="str" cm="1">
        <f t="array" ref="J80">IFERROR(AVERAGE(_xlfn._xlws.FILTER('Fatores de Emissão'!$C$374:$C$403,('Fatores de Emissão'!$B$374:$B$403&gt;='Emissões Evitadas'!C80)*('Fatores de Emissão'!$B$374:$B$403&lt;=('Emissões Evitadas'!H80-1))))*'Emissões Evitadas'!D80,"")</f>
        <v/>
      </c>
    </row>
    <row r="81" spans="2:10" hidden="1" outlineLevel="1" x14ac:dyDescent="0.35">
      <c r="B81" s="454"/>
      <c r="C81" s="627"/>
      <c r="D81" s="837"/>
      <c r="E81" s="998" t="str">
        <f>IF(C81="","",IF(C81&gt;'Fatores de Emissão'!$B$403,'Fatores de Emissão'!$F$403,VLOOKUP(C81,'Fatores de Emissão'!$B$374:$F$403,5,FALSE)))</f>
        <v/>
      </c>
      <c r="F81" s="998" t="str">
        <f t="shared" si="0"/>
        <v/>
      </c>
      <c r="G81" s="1011" t="str">
        <f t="shared" si="1"/>
        <v/>
      </c>
      <c r="H81" s="1011" t="str">
        <f>IFERROR(MAX(VLOOKUP(B81,'Fatores de Emissão'!$B$12:$E$14,3,FALSE),'Fatores de Emissão'!$D$13),"")</f>
        <v/>
      </c>
      <c r="I81" s="998" t="str">
        <f>IFERROR(IF(H81&gt;'Fatores de Emissão'!$B$403, (E81+'Fatores de Emissão'!$F$403)/2, (E81+VLOOKUP(H81,'Fatores de Emissão'!$B$374:$F$403,5,FALSE))/2),"")</f>
        <v/>
      </c>
      <c r="J81" s="998" t="str" cm="1">
        <f t="array" ref="J81">IFERROR(AVERAGE(_xlfn._xlws.FILTER('Fatores de Emissão'!$C$374:$C$403,('Fatores de Emissão'!$B$374:$B$403&gt;='Emissões Evitadas'!C81)*('Fatores de Emissão'!$B$374:$B$403&lt;=('Emissões Evitadas'!H81-1))))*'Emissões Evitadas'!D81,"")</f>
        <v/>
      </c>
    </row>
    <row r="82" spans="2:10" hidden="1" outlineLevel="1" x14ac:dyDescent="0.35">
      <c r="B82" s="454"/>
      <c r="C82" s="627"/>
      <c r="D82" s="837"/>
      <c r="E82" s="998" t="str">
        <f>IF(C82="","",IF(C82&gt;'Fatores de Emissão'!$B$403,'Fatores de Emissão'!$F$403,VLOOKUP(C82,'Fatores de Emissão'!$B$374:$F$403,5,FALSE)))</f>
        <v/>
      </c>
      <c r="F82" s="998" t="str">
        <f t="shared" si="0"/>
        <v/>
      </c>
      <c r="G82" s="1011" t="str">
        <f t="shared" si="1"/>
        <v/>
      </c>
      <c r="H82" s="1011" t="str">
        <f>IFERROR(MAX(VLOOKUP(B82,'Fatores de Emissão'!$B$12:$E$14,3,FALSE),'Fatores de Emissão'!$D$13),"")</f>
        <v/>
      </c>
      <c r="I82" s="998" t="str">
        <f>IFERROR(IF(H82&gt;'Fatores de Emissão'!$B$403, (E82+'Fatores de Emissão'!$F$403)/2, (E82+VLOOKUP(H82,'Fatores de Emissão'!$B$374:$F$403,5,FALSE))/2),"")</f>
        <v/>
      </c>
      <c r="J82" s="998" t="str" cm="1">
        <f t="array" ref="J82">IFERROR(AVERAGE(_xlfn._xlws.FILTER('Fatores de Emissão'!$C$374:$C$403,('Fatores de Emissão'!$B$374:$B$403&gt;='Emissões Evitadas'!C82)*('Fatores de Emissão'!$B$374:$B$403&lt;=('Emissões Evitadas'!H82-1))))*'Emissões Evitadas'!D82,"")</f>
        <v/>
      </c>
    </row>
    <row r="83" spans="2:10" hidden="1" outlineLevel="1" x14ac:dyDescent="0.35">
      <c r="B83" s="454"/>
      <c r="C83" s="627"/>
      <c r="D83" s="837"/>
      <c r="E83" s="998" t="str">
        <f>IF(C83="","",IF(C83&gt;'Fatores de Emissão'!$B$403,'Fatores de Emissão'!$F$403,VLOOKUP(C83,'Fatores de Emissão'!$B$374:$F$403,5,FALSE)))</f>
        <v/>
      </c>
      <c r="F83" s="998" t="str">
        <f t="shared" si="0"/>
        <v/>
      </c>
      <c r="G83" s="1011" t="str">
        <f t="shared" si="1"/>
        <v/>
      </c>
      <c r="H83" s="1011" t="str">
        <f>IFERROR(MAX(VLOOKUP(B83,'Fatores de Emissão'!$B$12:$E$14,3,FALSE),'Fatores de Emissão'!$D$13),"")</f>
        <v/>
      </c>
      <c r="I83" s="998" t="str">
        <f>IFERROR(IF(H83&gt;'Fatores de Emissão'!$B$403, (E83+'Fatores de Emissão'!$F$403)/2, (E83+VLOOKUP(H83,'Fatores de Emissão'!$B$374:$F$403,5,FALSE))/2),"")</f>
        <v/>
      </c>
      <c r="J83" s="998" t="str" cm="1">
        <f t="array" ref="J83">IFERROR(AVERAGE(_xlfn._xlws.FILTER('Fatores de Emissão'!$C$374:$C$403,('Fatores de Emissão'!$B$374:$B$403&gt;='Emissões Evitadas'!C83)*('Fatores de Emissão'!$B$374:$B$403&lt;=('Emissões Evitadas'!H83-1))))*'Emissões Evitadas'!D83,"")</f>
        <v/>
      </c>
    </row>
    <row r="84" spans="2:10" hidden="1" outlineLevel="1" x14ac:dyDescent="0.35">
      <c r="B84" s="454"/>
      <c r="C84" s="627"/>
      <c r="D84" s="837"/>
      <c r="E84" s="998" t="str">
        <f>IF(C84="","",IF(C84&gt;'Fatores de Emissão'!$B$403,'Fatores de Emissão'!$F$403,VLOOKUP(C84,'Fatores de Emissão'!$B$374:$F$403,5,FALSE)))</f>
        <v/>
      </c>
      <c r="F84" s="998" t="str">
        <f t="shared" si="0"/>
        <v/>
      </c>
      <c r="G84" s="1011" t="str">
        <f t="shared" si="1"/>
        <v/>
      </c>
      <c r="H84" s="1011" t="str">
        <f>IFERROR(MAX(VLOOKUP(B84,'Fatores de Emissão'!$B$12:$E$14,3,FALSE),'Fatores de Emissão'!$D$13),"")</f>
        <v/>
      </c>
      <c r="I84" s="998" t="str">
        <f>IFERROR(IF(H84&gt;'Fatores de Emissão'!$B$403, (E84+'Fatores de Emissão'!$F$403)/2, (E84+VLOOKUP(H84,'Fatores de Emissão'!$B$374:$F$403,5,FALSE))/2),"")</f>
        <v/>
      </c>
      <c r="J84" s="998" t="str" cm="1">
        <f t="array" ref="J84">IFERROR(AVERAGE(_xlfn._xlws.FILTER('Fatores de Emissão'!$C$374:$C$403,('Fatores de Emissão'!$B$374:$B$403&gt;='Emissões Evitadas'!C84)*('Fatores de Emissão'!$B$374:$B$403&lt;=('Emissões Evitadas'!H84-1))))*'Emissões Evitadas'!D84,"")</f>
        <v/>
      </c>
    </row>
    <row r="85" spans="2:10" hidden="1" outlineLevel="1" x14ac:dyDescent="0.35">
      <c r="B85" s="454"/>
      <c r="C85" s="627"/>
      <c r="D85" s="837"/>
      <c r="E85" s="998" t="str">
        <f>IF(C85="","",IF(C85&gt;'Fatores de Emissão'!$B$403,'Fatores de Emissão'!$F$403,VLOOKUP(C85,'Fatores de Emissão'!$B$374:$F$403,5,FALSE)))</f>
        <v/>
      </c>
      <c r="F85" s="998" t="str">
        <f t="shared" si="0"/>
        <v/>
      </c>
      <c r="G85" s="1011" t="str">
        <f t="shared" si="1"/>
        <v/>
      </c>
      <c r="H85" s="1011" t="str">
        <f>IFERROR(MAX(VLOOKUP(B85,'Fatores de Emissão'!$B$12:$E$14,3,FALSE),'Fatores de Emissão'!$D$13),"")</f>
        <v/>
      </c>
      <c r="I85" s="998" t="str">
        <f>IFERROR(IF(H85&gt;'Fatores de Emissão'!$B$403, (E85+'Fatores de Emissão'!$F$403)/2, (E85+VLOOKUP(H85,'Fatores de Emissão'!$B$374:$F$403,5,FALSE))/2),"")</f>
        <v/>
      </c>
      <c r="J85" s="998" t="str" cm="1">
        <f t="array" ref="J85">IFERROR(AVERAGE(_xlfn._xlws.FILTER('Fatores de Emissão'!$C$374:$C$403,('Fatores de Emissão'!$B$374:$B$403&gt;='Emissões Evitadas'!C85)*('Fatores de Emissão'!$B$374:$B$403&lt;=('Emissões Evitadas'!H85-1))))*'Emissões Evitadas'!D85,"")</f>
        <v/>
      </c>
    </row>
    <row r="86" spans="2:10" hidden="1" outlineLevel="1" x14ac:dyDescent="0.35">
      <c r="B86" s="454"/>
      <c r="C86" s="627"/>
      <c r="D86" s="837"/>
      <c r="E86" s="998" t="str">
        <f>IF(C86="","",IF(C86&gt;'Fatores de Emissão'!$B$403,'Fatores de Emissão'!$F$403,VLOOKUP(C86,'Fatores de Emissão'!$B$374:$F$403,5,FALSE)))</f>
        <v/>
      </c>
      <c r="F86" s="998" t="str">
        <f t="shared" si="0"/>
        <v/>
      </c>
      <c r="G86" s="1011" t="str">
        <f t="shared" si="1"/>
        <v/>
      </c>
      <c r="H86" s="1011" t="str">
        <f>IFERROR(MAX(VLOOKUP(B86,'Fatores de Emissão'!$B$12:$E$14,3,FALSE),'Fatores de Emissão'!$D$13),"")</f>
        <v/>
      </c>
      <c r="I86" s="998" t="str">
        <f>IFERROR(IF(H86&gt;'Fatores de Emissão'!$B$403, (E86+'Fatores de Emissão'!$F$403)/2, (E86+VLOOKUP(H86,'Fatores de Emissão'!$B$374:$F$403,5,FALSE))/2),"")</f>
        <v/>
      </c>
      <c r="J86" s="998" t="str" cm="1">
        <f t="array" ref="J86">IFERROR(AVERAGE(_xlfn._xlws.FILTER('Fatores de Emissão'!$C$374:$C$403,('Fatores de Emissão'!$B$374:$B$403&gt;='Emissões Evitadas'!C86)*('Fatores de Emissão'!$B$374:$B$403&lt;=('Emissões Evitadas'!H86-1))))*'Emissões Evitadas'!D86,"")</f>
        <v/>
      </c>
    </row>
    <row r="87" spans="2:10" hidden="1" outlineLevel="1" x14ac:dyDescent="0.35">
      <c r="B87" s="454"/>
      <c r="C87" s="627"/>
      <c r="D87" s="837"/>
      <c r="E87" s="998" t="str">
        <f>IF(C87="","",IF(C87&gt;'Fatores de Emissão'!$B$403,'Fatores de Emissão'!$F$403,VLOOKUP(C87,'Fatores de Emissão'!$B$374:$F$403,5,FALSE)))</f>
        <v/>
      </c>
      <c r="F87" s="998" t="str">
        <f t="shared" si="0"/>
        <v/>
      </c>
      <c r="G87" s="1011" t="str">
        <f t="shared" si="1"/>
        <v/>
      </c>
      <c r="H87" s="1011" t="str">
        <f>IFERROR(MAX(VLOOKUP(B87,'Fatores de Emissão'!$B$12:$E$14,3,FALSE),'Fatores de Emissão'!$D$13),"")</f>
        <v/>
      </c>
      <c r="I87" s="998" t="str">
        <f>IFERROR(IF(H87&gt;'Fatores de Emissão'!$B$403, (E87+'Fatores de Emissão'!$F$403)/2, (E87+VLOOKUP(H87,'Fatores de Emissão'!$B$374:$F$403,5,FALSE))/2),"")</f>
        <v/>
      </c>
      <c r="J87" s="998" t="str" cm="1">
        <f t="array" ref="J87">IFERROR(AVERAGE(_xlfn._xlws.FILTER('Fatores de Emissão'!$C$374:$C$403,('Fatores de Emissão'!$B$374:$B$403&gt;='Emissões Evitadas'!C87)*('Fatores de Emissão'!$B$374:$B$403&lt;=('Emissões Evitadas'!H87-1))))*'Emissões Evitadas'!D87,"")</f>
        <v/>
      </c>
    </row>
    <row r="88" spans="2:10" hidden="1" outlineLevel="1" x14ac:dyDescent="0.35">
      <c r="B88" s="454"/>
      <c r="C88" s="627"/>
      <c r="D88" s="837"/>
      <c r="E88" s="998" t="str">
        <f>IF(C88="","",IF(C88&gt;'Fatores de Emissão'!$B$403,'Fatores de Emissão'!$F$403,VLOOKUP(C88,'Fatores de Emissão'!$B$374:$F$403,5,FALSE)))</f>
        <v/>
      </c>
      <c r="F88" s="998" t="str">
        <f t="shared" si="0"/>
        <v/>
      </c>
      <c r="G88" s="1011" t="str">
        <f t="shared" si="1"/>
        <v/>
      </c>
      <c r="H88" s="1011" t="str">
        <f>IFERROR(MAX(VLOOKUP(B88,'Fatores de Emissão'!$B$12:$E$14,3,FALSE),'Fatores de Emissão'!$D$13),"")</f>
        <v/>
      </c>
      <c r="I88" s="998" t="str">
        <f>IFERROR(IF(H88&gt;'Fatores de Emissão'!$B$403, (E88+'Fatores de Emissão'!$F$403)/2, (E88+VLOOKUP(H88,'Fatores de Emissão'!$B$374:$F$403,5,FALSE))/2),"")</f>
        <v/>
      </c>
      <c r="J88" s="998" t="str" cm="1">
        <f t="array" ref="J88">IFERROR(AVERAGE(_xlfn._xlws.FILTER('Fatores de Emissão'!$C$374:$C$403,('Fatores de Emissão'!$B$374:$B$403&gt;='Emissões Evitadas'!C88)*('Fatores de Emissão'!$B$374:$B$403&lt;=('Emissões Evitadas'!H88-1))))*'Emissões Evitadas'!D88,"")</f>
        <v/>
      </c>
    </row>
    <row r="89" spans="2:10" hidden="1" outlineLevel="1" x14ac:dyDescent="0.35">
      <c r="B89" s="454"/>
      <c r="C89" s="627"/>
      <c r="D89" s="837"/>
      <c r="E89" s="998" t="str">
        <f>IF(C89="","",IF(C89&gt;'Fatores de Emissão'!$B$403,'Fatores de Emissão'!$F$403,VLOOKUP(C89,'Fatores de Emissão'!$B$374:$F$403,5,FALSE)))</f>
        <v/>
      </c>
      <c r="F89" s="998" t="str">
        <f t="shared" si="0"/>
        <v/>
      </c>
      <c r="G89" s="1011" t="str">
        <f t="shared" si="1"/>
        <v/>
      </c>
      <c r="H89" s="1011" t="str">
        <f>IFERROR(MAX(VLOOKUP(B89,'Fatores de Emissão'!$B$12:$E$14,3,FALSE),'Fatores de Emissão'!$D$13),"")</f>
        <v/>
      </c>
      <c r="I89" s="998" t="str">
        <f>IFERROR(IF(H89&gt;'Fatores de Emissão'!$B$403, (E89+'Fatores de Emissão'!$F$403)/2, (E89+VLOOKUP(H89,'Fatores de Emissão'!$B$374:$F$403,5,FALSE))/2),"")</f>
        <v/>
      </c>
      <c r="J89" s="998" t="str" cm="1">
        <f t="array" ref="J89">IFERROR(AVERAGE(_xlfn._xlws.FILTER('Fatores de Emissão'!$C$374:$C$403,('Fatores de Emissão'!$B$374:$B$403&gt;='Emissões Evitadas'!C89)*('Fatores de Emissão'!$B$374:$B$403&lt;=('Emissões Evitadas'!H89-1))))*'Emissões Evitadas'!D89,"")</f>
        <v/>
      </c>
    </row>
    <row r="90" spans="2:10" hidden="1" outlineLevel="1" x14ac:dyDescent="0.35">
      <c r="B90" s="454"/>
      <c r="C90" s="627"/>
      <c r="D90" s="837"/>
      <c r="E90" s="998" t="str">
        <f>IF(C90="","",IF(C90&gt;'Fatores de Emissão'!$B$403,'Fatores de Emissão'!$F$403,VLOOKUP(C90,'Fatores de Emissão'!$B$374:$F$403,5,FALSE)))</f>
        <v/>
      </c>
      <c r="F90" s="998" t="str">
        <f t="shared" si="0"/>
        <v/>
      </c>
      <c r="G90" s="1011" t="str">
        <f t="shared" si="1"/>
        <v/>
      </c>
      <c r="H90" s="1011" t="str">
        <f>IFERROR(MAX(VLOOKUP(B90,'Fatores de Emissão'!$B$12:$E$14,3,FALSE),'Fatores de Emissão'!$D$13),"")</f>
        <v/>
      </c>
      <c r="I90" s="998" t="str">
        <f>IFERROR(IF(H90&gt;'Fatores de Emissão'!$B$403, (E90+'Fatores de Emissão'!$F$403)/2, (E90+VLOOKUP(H90,'Fatores de Emissão'!$B$374:$F$403,5,FALSE))/2),"")</f>
        <v/>
      </c>
      <c r="J90" s="998" t="str" cm="1">
        <f t="array" ref="J90">IFERROR(AVERAGE(_xlfn._xlws.FILTER('Fatores de Emissão'!$C$374:$C$403,('Fatores de Emissão'!$B$374:$B$403&gt;='Emissões Evitadas'!C90)*('Fatores de Emissão'!$B$374:$B$403&lt;=('Emissões Evitadas'!H90-1))))*'Emissões Evitadas'!D90,"")</f>
        <v/>
      </c>
    </row>
    <row r="91" spans="2:10" hidden="1" outlineLevel="1" x14ac:dyDescent="0.35">
      <c r="B91" s="454"/>
      <c r="C91" s="627"/>
      <c r="D91" s="837"/>
      <c r="E91" s="998" t="str">
        <f>IF(C91="","",IF(C91&gt;'Fatores de Emissão'!$B$403,'Fatores de Emissão'!$F$403,VLOOKUP(C91,'Fatores de Emissão'!$B$374:$F$403,5,FALSE)))</f>
        <v/>
      </c>
      <c r="F91" s="998" t="str">
        <f t="shared" si="0"/>
        <v/>
      </c>
      <c r="G91" s="1011" t="str">
        <f t="shared" si="1"/>
        <v/>
      </c>
      <c r="H91" s="1011" t="str">
        <f>IFERROR(MAX(VLOOKUP(B91,'Fatores de Emissão'!$B$12:$E$14,3,FALSE),'Fatores de Emissão'!$D$13),"")</f>
        <v/>
      </c>
      <c r="I91" s="998" t="str">
        <f>IFERROR(IF(H91&gt;'Fatores de Emissão'!$B$403, (E91+'Fatores de Emissão'!$F$403)/2, (E91+VLOOKUP(H91,'Fatores de Emissão'!$B$374:$F$403,5,FALSE))/2),"")</f>
        <v/>
      </c>
      <c r="J91" s="998" t="str" cm="1">
        <f t="array" ref="J91">IFERROR(AVERAGE(_xlfn._xlws.FILTER('Fatores de Emissão'!$C$374:$C$403,('Fatores de Emissão'!$B$374:$B$403&gt;='Emissões Evitadas'!C91)*('Fatores de Emissão'!$B$374:$B$403&lt;=('Emissões Evitadas'!H91-1))))*'Emissões Evitadas'!D91,"")</f>
        <v/>
      </c>
    </row>
    <row r="92" spans="2:10" hidden="1" outlineLevel="1" x14ac:dyDescent="0.35">
      <c r="B92" s="454"/>
      <c r="C92" s="627"/>
      <c r="D92" s="837"/>
      <c r="E92" s="998" t="str">
        <f>IF(C92="","",IF(C92&gt;'Fatores de Emissão'!$B$403,'Fatores de Emissão'!$F$403,VLOOKUP(C92,'Fatores de Emissão'!$B$374:$F$403,5,FALSE)))</f>
        <v/>
      </c>
      <c r="F92" s="998" t="str">
        <f t="shared" si="0"/>
        <v/>
      </c>
      <c r="G92" s="1011" t="str">
        <f t="shared" si="1"/>
        <v/>
      </c>
      <c r="H92" s="1011" t="str">
        <f>IFERROR(MAX(VLOOKUP(B92,'Fatores de Emissão'!$B$12:$E$14,3,FALSE),'Fatores de Emissão'!$D$13),"")</f>
        <v/>
      </c>
      <c r="I92" s="998" t="str">
        <f>IFERROR(IF(H92&gt;'Fatores de Emissão'!$B$403, (E92+'Fatores de Emissão'!$F$403)/2, (E92+VLOOKUP(H92,'Fatores de Emissão'!$B$374:$F$403,5,FALSE))/2),"")</f>
        <v/>
      </c>
      <c r="J92" s="998" t="str" cm="1">
        <f t="array" ref="J92">IFERROR(AVERAGE(_xlfn._xlws.FILTER('Fatores de Emissão'!$C$374:$C$403,('Fatores de Emissão'!$B$374:$B$403&gt;='Emissões Evitadas'!C92)*('Fatores de Emissão'!$B$374:$B$403&lt;=('Emissões Evitadas'!H92-1))))*'Emissões Evitadas'!D92,"")</f>
        <v/>
      </c>
    </row>
    <row r="93" spans="2:10" hidden="1" outlineLevel="1" x14ac:dyDescent="0.35">
      <c r="B93" s="454"/>
      <c r="C93" s="627"/>
      <c r="D93" s="837"/>
      <c r="E93" s="998" t="str">
        <f>IF(C93="","",IF(C93&gt;'Fatores de Emissão'!$B$403,'Fatores de Emissão'!$F$403,VLOOKUP(C93,'Fatores de Emissão'!$B$374:$F$403,5,FALSE)))</f>
        <v/>
      </c>
      <c r="F93" s="998" t="str">
        <f t="shared" si="0"/>
        <v/>
      </c>
      <c r="G93" s="1011" t="str">
        <f t="shared" si="1"/>
        <v/>
      </c>
      <c r="H93" s="1011" t="str">
        <f>IFERROR(MAX(VLOOKUP(B93,'Fatores de Emissão'!$B$12:$E$14,3,FALSE),'Fatores de Emissão'!$D$13),"")</f>
        <v/>
      </c>
      <c r="I93" s="998" t="str">
        <f>IFERROR(IF(H93&gt;'Fatores de Emissão'!$B$403, (E93+'Fatores de Emissão'!$F$403)/2, (E93+VLOOKUP(H93,'Fatores de Emissão'!$B$374:$F$403,5,FALSE))/2),"")</f>
        <v/>
      </c>
      <c r="J93" s="998" t="str" cm="1">
        <f t="array" ref="J93">IFERROR(AVERAGE(_xlfn._xlws.FILTER('Fatores de Emissão'!$C$374:$C$403,('Fatores de Emissão'!$B$374:$B$403&gt;='Emissões Evitadas'!C93)*('Fatores de Emissão'!$B$374:$B$403&lt;=('Emissões Evitadas'!H93-1))))*'Emissões Evitadas'!D93,"")</f>
        <v/>
      </c>
    </row>
    <row r="94" spans="2:10" hidden="1" outlineLevel="1" x14ac:dyDescent="0.35">
      <c r="B94" s="454"/>
      <c r="C94" s="627"/>
      <c r="D94" s="837"/>
      <c r="E94" s="998" t="str">
        <f>IF(C94="","",IF(C94&gt;'Fatores de Emissão'!$B$403,'Fatores de Emissão'!$F$403,VLOOKUP(C94,'Fatores de Emissão'!$B$374:$F$403,5,FALSE)))</f>
        <v/>
      </c>
      <c r="F94" s="998" t="str">
        <f t="shared" si="0"/>
        <v/>
      </c>
      <c r="G94" s="1011" t="str">
        <f t="shared" si="1"/>
        <v/>
      </c>
      <c r="H94" s="1011" t="str">
        <f>IFERROR(MAX(VLOOKUP(B94,'Fatores de Emissão'!$B$12:$E$14,3,FALSE),'Fatores de Emissão'!$D$13),"")</f>
        <v/>
      </c>
      <c r="I94" s="998" t="str">
        <f>IFERROR(IF(H94&gt;'Fatores de Emissão'!$B$403, (E94+'Fatores de Emissão'!$F$403)/2, (E94+VLOOKUP(H94,'Fatores de Emissão'!$B$374:$F$403,5,FALSE))/2),"")</f>
        <v/>
      </c>
      <c r="J94" s="998" t="str" cm="1">
        <f t="array" ref="J94">IFERROR(AVERAGE(_xlfn._xlws.FILTER('Fatores de Emissão'!$C$374:$C$403,('Fatores de Emissão'!$B$374:$B$403&gt;='Emissões Evitadas'!C94)*('Fatores de Emissão'!$B$374:$B$403&lt;=('Emissões Evitadas'!H94-1))))*'Emissões Evitadas'!D94,"")</f>
        <v/>
      </c>
    </row>
    <row r="95" spans="2:10" hidden="1" outlineLevel="1" x14ac:dyDescent="0.35">
      <c r="B95" s="454"/>
      <c r="C95" s="627"/>
      <c r="D95" s="837"/>
      <c r="E95" s="998" t="str">
        <f>IF(C95="","",IF(C95&gt;'Fatores de Emissão'!$B$403,'Fatores de Emissão'!$F$403,VLOOKUP(C95,'Fatores de Emissão'!$B$374:$F$403,5,FALSE)))</f>
        <v/>
      </c>
      <c r="F95" s="998" t="str">
        <f t="shared" ref="F95:F129" si="2">IF(D95&lt;&gt;"",(D95*E95),"")</f>
        <v/>
      </c>
      <c r="G95" s="1011" t="str">
        <f t="shared" ref="G95:G129" si="3">IFERROR(H95-C95,"")</f>
        <v/>
      </c>
      <c r="H95" s="1011" t="str">
        <f>IFERROR(MAX(VLOOKUP(B95,'Fatores de Emissão'!$B$12:$E$14,3,FALSE),'Fatores de Emissão'!$D$13),"")</f>
        <v/>
      </c>
      <c r="I95" s="998" t="str">
        <f>IFERROR(IF(H95&gt;'Fatores de Emissão'!$B$403, (E95+'Fatores de Emissão'!$F$403)/2, (E95+VLOOKUP(H95,'Fatores de Emissão'!$B$374:$F$403,5,FALSE))/2),"")</f>
        <v/>
      </c>
      <c r="J95" s="998" t="str" cm="1">
        <f t="array" ref="J95">IFERROR(AVERAGE(_xlfn._xlws.FILTER('Fatores de Emissão'!$C$374:$C$403,('Fatores de Emissão'!$B$374:$B$403&gt;='Emissões Evitadas'!C95)*('Fatores de Emissão'!$B$374:$B$403&lt;=('Emissões Evitadas'!H95-1))))*'Emissões Evitadas'!D95,"")</f>
        <v/>
      </c>
    </row>
    <row r="96" spans="2:10" hidden="1" outlineLevel="1" x14ac:dyDescent="0.35">
      <c r="B96" s="454"/>
      <c r="C96" s="627"/>
      <c r="D96" s="837"/>
      <c r="E96" s="998" t="str">
        <f>IF(C96="","",IF(C96&gt;'Fatores de Emissão'!$B$403,'Fatores de Emissão'!$F$403,VLOOKUP(C96,'Fatores de Emissão'!$B$374:$F$403,5,FALSE)))</f>
        <v/>
      </c>
      <c r="F96" s="998" t="str">
        <f t="shared" si="2"/>
        <v/>
      </c>
      <c r="G96" s="1011" t="str">
        <f t="shared" si="3"/>
        <v/>
      </c>
      <c r="H96" s="1011" t="str">
        <f>IFERROR(MAX(VLOOKUP(B96,'Fatores de Emissão'!$B$12:$E$14,3,FALSE),'Fatores de Emissão'!$D$13),"")</f>
        <v/>
      </c>
      <c r="I96" s="998" t="str">
        <f>IFERROR(IF(H96&gt;'Fatores de Emissão'!$B$403, (E96+'Fatores de Emissão'!$F$403)/2, (E96+VLOOKUP(H96,'Fatores de Emissão'!$B$374:$F$403,5,FALSE))/2),"")</f>
        <v/>
      </c>
      <c r="J96" s="998" t="str" cm="1">
        <f t="array" ref="J96">IFERROR(AVERAGE(_xlfn._xlws.FILTER('Fatores de Emissão'!$C$374:$C$403,('Fatores de Emissão'!$B$374:$B$403&gt;='Emissões Evitadas'!C96)*('Fatores de Emissão'!$B$374:$B$403&lt;=('Emissões Evitadas'!H96-1))))*'Emissões Evitadas'!D96,"")</f>
        <v/>
      </c>
    </row>
    <row r="97" spans="2:10" hidden="1" outlineLevel="1" x14ac:dyDescent="0.35">
      <c r="B97" s="454"/>
      <c r="C97" s="627"/>
      <c r="D97" s="837"/>
      <c r="E97" s="998" t="str">
        <f>IF(C97="","",IF(C97&gt;'Fatores de Emissão'!$B$403,'Fatores de Emissão'!$F$403,VLOOKUP(C97,'Fatores de Emissão'!$B$374:$F$403,5,FALSE)))</f>
        <v/>
      </c>
      <c r="F97" s="998" t="str">
        <f t="shared" si="2"/>
        <v/>
      </c>
      <c r="G97" s="1011" t="str">
        <f t="shared" si="3"/>
        <v/>
      </c>
      <c r="H97" s="1011" t="str">
        <f>IFERROR(MAX(VLOOKUP(B97,'Fatores de Emissão'!$B$12:$E$14,3,FALSE),'Fatores de Emissão'!$D$13),"")</f>
        <v/>
      </c>
      <c r="I97" s="998" t="str">
        <f>IFERROR(IF(H97&gt;'Fatores de Emissão'!$B$403, (E97+'Fatores de Emissão'!$F$403)/2, (E97+VLOOKUP(H97,'Fatores de Emissão'!$B$374:$F$403,5,FALSE))/2),"")</f>
        <v/>
      </c>
      <c r="J97" s="998" t="str" cm="1">
        <f t="array" ref="J97">IFERROR(AVERAGE(_xlfn._xlws.FILTER('Fatores de Emissão'!$C$374:$C$403,('Fatores de Emissão'!$B$374:$B$403&gt;='Emissões Evitadas'!C97)*('Fatores de Emissão'!$B$374:$B$403&lt;=('Emissões Evitadas'!H97-1))))*'Emissões Evitadas'!D97,"")</f>
        <v/>
      </c>
    </row>
    <row r="98" spans="2:10" hidden="1" outlineLevel="1" x14ac:dyDescent="0.35">
      <c r="B98" s="454"/>
      <c r="C98" s="627"/>
      <c r="D98" s="837"/>
      <c r="E98" s="998" t="str">
        <f>IF(C98="","",IF(C98&gt;'Fatores de Emissão'!$B$403,'Fatores de Emissão'!$F$403,VLOOKUP(C98,'Fatores de Emissão'!$B$374:$F$403,5,FALSE)))</f>
        <v/>
      </c>
      <c r="F98" s="998" t="str">
        <f t="shared" si="2"/>
        <v/>
      </c>
      <c r="G98" s="1011" t="str">
        <f t="shared" si="3"/>
        <v/>
      </c>
      <c r="H98" s="1011" t="str">
        <f>IFERROR(MAX(VLOOKUP(B98,'Fatores de Emissão'!$B$12:$E$14,3,FALSE),'Fatores de Emissão'!$D$13),"")</f>
        <v/>
      </c>
      <c r="I98" s="998" t="str">
        <f>IFERROR(IF(H98&gt;'Fatores de Emissão'!$B$403, (E98+'Fatores de Emissão'!$F$403)/2, (E98+VLOOKUP(H98,'Fatores de Emissão'!$B$374:$F$403,5,FALSE))/2),"")</f>
        <v/>
      </c>
      <c r="J98" s="998" t="str" cm="1">
        <f t="array" ref="J98">IFERROR(AVERAGE(_xlfn._xlws.FILTER('Fatores de Emissão'!$C$374:$C$403,('Fatores de Emissão'!$B$374:$B$403&gt;='Emissões Evitadas'!C98)*('Fatores de Emissão'!$B$374:$B$403&lt;=('Emissões Evitadas'!H98-1))))*'Emissões Evitadas'!D98,"")</f>
        <v/>
      </c>
    </row>
    <row r="99" spans="2:10" hidden="1" outlineLevel="1" x14ac:dyDescent="0.35">
      <c r="B99" s="454"/>
      <c r="C99" s="627"/>
      <c r="D99" s="837"/>
      <c r="E99" s="998" t="str">
        <f>IF(C99="","",IF(C99&gt;'Fatores de Emissão'!$B$403,'Fatores de Emissão'!$F$403,VLOOKUP(C99,'Fatores de Emissão'!$B$374:$F$403,5,FALSE)))</f>
        <v/>
      </c>
      <c r="F99" s="998" t="str">
        <f t="shared" si="2"/>
        <v/>
      </c>
      <c r="G99" s="1011" t="str">
        <f t="shared" si="3"/>
        <v/>
      </c>
      <c r="H99" s="1011" t="str">
        <f>IFERROR(MAX(VLOOKUP(B99,'Fatores de Emissão'!$B$12:$E$14,3,FALSE),'Fatores de Emissão'!$D$13),"")</f>
        <v/>
      </c>
      <c r="I99" s="998" t="str">
        <f>IFERROR(IF(H99&gt;'Fatores de Emissão'!$B$403, (E99+'Fatores de Emissão'!$F$403)/2, (E99+VLOOKUP(H99,'Fatores de Emissão'!$B$374:$F$403,5,FALSE))/2),"")</f>
        <v/>
      </c>
      <c r="J99" s="998" t="str" cm="1">
        <f t="array" ref="J99">IFERROR(AVERAGE(_xlfn._xlws.FILTER('Fatores de Emissão'!$C$374:$C$403,('Fatores de Emissão'!$B$374:$B$403&gt;='Emissões Evitadas'!C99)*('Fatores de Emissão'!$B$374:$B$403&lt;=('Emissões Evitadas'!H99-1))))*'Emissões Evitadas'!D99,"")</f>
        <v/>
      </c>
    </row>
    <row r="100" spans="2:10" hidden="1" outlineLevel="1" x14ac:dyDescent="0.35">
      <c r="B100" s="454"/>
      <c r="C100" s="627"/>
      <c r="D100" s="837"/>
      <c r="E100" s="998" t="str">
        <f>IF(C100="","",IF(C100&gt;'Fatores de Emissão'!$B$403,'Fatores de Emissão'!$F$403,VLOOKUP(C100,'Fatores de Emissão'!$B$374:$F$403,5,FALSE)))</f>
        <v/>
      </c>
      <c r="F100" s="998" t="str">
        <f t="shared" si="2"/>
        <v/>
      </c>
      <c r="G100" s="1011" t="str">
        <f t="shared" si="3"/>
        <v/>
      </c>
      <c r="H100" s="1011" t="str">
        <f>IFERROR(MAX(VLOOKUP(B100,'Fatores de Emissão'!$B$12:$E$14,3,FALSE),'Fatores de Emissão'!$D$13),"")</f>
        <v/>
      </c>
      <c r="I100" s="998" t="str">
        <f>IFERROR(IF(H100&gt;'Fatores de Emissão'!$B$403, (E100+'Fatores de Emissão'!$F$403)/2, (E100+VLOOKUP(H100,'Fatores de Emissão'!$B$374:$F$403,5,FALSE))/2),"")</f>
        <v/>
      </c>
      <c r="J100" s="998" t="str" cm="1">
        <f t="array" ref="J100">IFERROR(AVERAGE(_xlfn._xlws.FILTER('Fatores de Emissão'!$C$374:$C$403,('Fatores de Emissão'!$B$374:$B$403&gt;='Emissões Evitadas'!C100)*('Fatores de Emissão'!$B$374:$B$403&lt;=('Emissões Evitadas'!H100-1))))*'Emissões Evitadas'!D100,"")</f>
        <v/>
      </c>
    </row>
    <row r="101" spans="2:10" hidden="1" outlineLevel="1" x14ac:dyDescent="0.35">
      <c r="B101" s="454"/>
      <c r="C101" s="627"/>
      <c r="D101" s="837"/>
      <c r="E101" s="998" t="str">
        <f>IF(C101="","",IF(C101&gt;'Fatores de Emissão'!$B$403,'Fatores de Emissão'!$F$403,VLOOKUP(C101,'Fatores de Emissão'!$B$374:$F$403,5,FALSE)))</f>
        <v/>
      </c>
      <c r="F101" s="998" t="str">
        <f t="shared" si="2"/>
        <v/>
      </c>
      <c r="G101" s="1011" t="str">
        <f t="shared" si="3"/>
        <v/>
      </c>
      <c r="H101" s="1011" t="str">
        <f>IFERROR(MAX(VLOOKUP(B101,'Fatores de Emissão'!$B$12:$E$14,3,FALSE),'Fatores de Emissão'!$D$13),"")</f>
        <v/>
      </c>
      <c r="I101" s="998" t="str">
        <f>IFERROR(IF(H101&gt;'Fatores de Emissão'!$B$403, (E101+'Fatores de Emissão'!$F$403)/2, (E101+VLOOKUP(H101,'Fatores de Emissão'!$B$374:$F$403,5,FALSE))/2),"")</f>
        <v/>
      </c>
      <c r="J101" s="998" t="str" cm="1">
        <f t="array" ref="J101">IFERROR(AVERAGE(_xlfn._xlws.FILTER('Fatores de Emissão'!$C$374:$C$403,('Fatores de Emissão'!$B$374:$B$403&gt;='Emissões Evitadas'!C101)*('Fatores de Emissão'!$B$374:$B$403&lt;=('Emissões Evitadas'!H101-1))))*'Emissões Evitadas'!D101,"")</f>
        <v/>
      </c>
    </row>
    <row r="102" spans="2:10" hidden="1" outlineLevel="1" x14ac:dyDescent="0.35">
      <c r="B102" s="454"/>
      <c r="C102" s="627"/>
      <c r="D102" s="837"/>
      <c r="E102" s="998" t="str">
        <f>IF(C102="","",IF(C102&gt;'Fatores de Emissão'!$B$403,'Fatores de Emissão'!$F$403,VLOOKUP(C102,'Fatores de Emissão'!$B$374:$F$403,5,FALSE)))</f>
        <v/>
      </c>
      <c r="F102" s="998" t="str">
        <f t="shared" si="2"/>
        <v/>
      </c>
      <c r="G102" s="1011" t="str">
        <f t="shared" si="3"/>
        <v/>
      </c>
      <c r="H102" s="1011" t="str">
        <f>IFERROR(MAX(VLOOKUP(B102,'Fatores de Emissão'!$B$12:$E$14,3,FALSE),'Fatores de Emissão'!$D$13),"")</f>
        <v/>
      </c>
      <c r="I102" s="998" t="str">
        <f>IFERROR(IF(H102&gt;'Fatores de Emissão'!$B$403, (E102+'Fatores de Emissão'!$F$403)/2, (E102+VLOOKUP(H102,'Fatores de Emissão'!$B$374:$F$403,5,FALSE))/2),"")</f>
        <v/>
      </c>
      <c r="J102" s="998" t="str" cm="1">
        <f t="array" ref="J102">IFERROR(AVERAGE(_xlfn._xlws.FILTER('Fatores de Emissão'!$C$374:$C$403,('Fatores de Emissão'!$B$374:$B$403&gt;='Emissões Evitadas'!C102)*('Fatores de Emissão'!$B$374:$B$403&lt;=('Emissões Evitadas'!H102-1))))*'Emissões Evitadas'!D102,"")</f>
        <v/>
      </c>
    </row>
    <row r="103" spans="2:10" hidden="1" outlineLevel="1" x14ac:dyDescent="0.35">
      <c r="B103" s="454"/>
      <c r="C103" s="627"/>
      <c r="D103" s="837"/>
      <c r="E103" s="998" t="str">
        <f>IF(C103="","",IF(C103&gt;'Fatores de Emissão'!$B$403,'Fatores de Emissão'!$F$403,VLOOKUP(C103,'Fatores de Emissão'!$B$374:$F$403,5,FALSE)))</f>
        <v/>
      </c>
      <c r="F103" s="998" t="str">
        <f t="shared" si="2"/>
        <v/>
      </c>
      <c r="G103" s="1011" t="str">
        <f t="shared" si="3"/>
        <v/>
      </c>
      <c r="H103" s="1011" t="str">
        <f>IFERROR(MAX(VLOOKUP(B103,'Fatores de Emissão'!$B$12:$E$14,3,FALSE),'Fatores de Emissão'!$D$13),"")</f>
        <v/>
      </c>
      <c r="I103" s="998" t="str">
        <f>IFERROR(IF(H103&gt;'Fatores de Emissão'!$B$403, (E103+'Fatores de Emissão'!$F$403)/2, (E103+VLOOKUP(H103,'Fatores de Emissão'!$B$374:$F$403,5,FALSE))/2),"")</f>
        <v/>
      </c>
      <c r="J103" s="998" t="str" cm="1">
        <f t="array" ref="J103">IFERROR(AVERAGE(_xlfn._xlws.FILTER('Fatores de Emissão'!$C$374:$C$403,('Fatores de Emissão'!$B$374:$B$403&gt;='Emissões Evitadas'!C103)*('Fatores de Emissão'!$B$374:$B$403&lt;=('Emissões Evitadas'!H103-1))))*'Emissões Evitadas'!D103,"")</f>
        <v/>
      </c>
    </row>
    <row r="104" spans="2:10" hidden="1" outlineLevel="1" x14ac:dyDescent="0.35">
      <c r="B104" s="454"/>
      <c r="C104" s="627"/>
      <c r="D104" s="837"/>
      <c r="E104" s="998" t="str">
        <f>IF(C104="","",IF(C104&gt;'Fatores de Emissão'!$B$403,'Fatores de Emissão'!$F$403,VLOOKUP(C104,'Fatores de Emissão'!$B$374:$F$403,5,FALSE)))</f>
        <v/>
      </c>
      <c r="F104" s="998" t="str">
        <f t="shared" si="2"/>
        <v/>
      </c>
      <c r="G104" s="1011" t="str">
        <f t="shared" si="3"/>
        <v/>
      </c>
      <c r="H104" s="1011" t="str">
        <f>IFERROR(MAX(VLOOKUP(B104,'Fatores de Emissão'!$B$12:$E$14,3,FALSE),'Fatores de Emissão'!$D$13),"")</f>
        <v/>
      </c>
      <c r="I104" s="998" t="str">
        <f>IFERROR(IF(H104&gt;'Fatores de Emissão'!$B$403, (E104+'Fatores de Emissão'!$F$403)/2, (E104+VLOOKUP(H104,'Fatores de Emissão'!$B$374:$F$403,5,FALSE))/2),"")</f>
        <v/>
      </c>
      <c r="J104" s="998" t="str" cm="1">
        <f t="array" ref="J104">IFERROR(AVERAGE(_xlfn._xlws.FILTER('Fatores de Emissão'!$C$374:$C$403,('Fatores de Emissão'!$B$374:$B$403&gt;='Emissões Evitadas'!C104)*('Fatores de Emissão'!$B$374:$B$403&lt;=('Emissões Evitadas'!H104-1))))*'Emissões Evitadas'!D104,"")</f>
        <v/>
      </c>
    </row>
    <row r="105" spans="2:10" hidden="1" outlineLevel="1" x14ac:dyDescent="0.35">
      <c r="B105" s="454"/>
      <c r="C105" s="627"/>
      <c r="D105" s="837"/>
      <c r="E105" s="998" t="str">
        <f>IF(C105="","",IF(C105&gt;'Fatores de Emissão'!$B$403,'Fatores de Emissão'!$F$403,VLOOKUP(C105,'Fatores de Emissão'!$B$374:$F$403,5,FALSE)))</f>
        <v/>
      </c>
      <c r="F105" s="998" t="str">
        <f t="shared" si="2"/>
        <v/>
      </c>
      <c r="G105" s="1011" t="str">
        <f t="shared" si="3"/>
        <v/>
      </c>
      <c r="H105" s="1011" t="str">
        <f>IFERROR(MAX(VLOOKUP(B105,'Fatores de Emissão'!$B$12:$E$14,3,FALSE),'Fatores de Emissão'!$D$13),"")</f>
        <v/>
      </c>
      <c r="I105" s="998" t="str">
        <f>IFERROR(IF(H105&gt;'Fatores de Emissão'!$B$403, (E105+'Fatores de Emissão'!$F$403)/2, (E105+VLOOKUP(H105,'Fatores de Emissão'!$B$374:$F$403,5,FALSE))/2),"")</f>
        <v/>
      </c>
      <c r="J105" s="998" t="str" cm="1">
        <f t="array" ref="J105">IFERROR(AVERAGE(_xlfn._xlws.FILTER('Fatores de Emissão'!$C$374:$C$403,('Fatores de Emissão'!$B$374:$B$403&gt;='Emissões Evitadas'!C105)*('Fatores de Emissão'!$B$374:$B$403&lt;=('Emissões Evitadas'!H105-1))))*'Emissões Evitadas'!D105,"")</f>
        <v/>
      </c>
    </row>
    <row r="106" spans="2:10" hidden="1" outlineLevel="1" x14ac:dyDescent="0.35">
      <c r="B106" s="454"/>
      <c r="C106" s="627"/>
      <c r="D106" s="837"/>
      <c r="E106" s="998" t="str">
        <f>IF(C106="","",IF(C106&gt;'Fatores de Emissão'!$B$403,'Fatores de Emissão'!$F$403,VLOOKUP(C106,'Fatores de Emissão'!$B$374:$F$403,5,FALSE)))</f>
        <v/>
      </c>
      <c r="F106" s="998" t="str">
        <f t="shared" si="2"/>
        <v/>
      </c>
      <c r="G106" s="1011" t="str">
        <f t="shared" si="3"/>
        <v/>
      </c>
      <c r="H106" s="1011" t="str">
        <f>IFERROR(MAX(VLOOKUP(B106,'Fatores de Emissão'!$B$12:$E$14,3,FALSE),'Fatores de Emissão'!$D$13),"")</f>
        <v/>
      </c>
      <c r="I106" s="998" t="str">
        <f>IFERROR(IF(H106&gt;'Fatores de Emissão'!$B$403, (E106+'Fatores de Emissão'!$F$403)/2, (E106+VLOOKUP(H106,'Fatores de Emissão'!$B$374:$F$403,5,FALSE))/2),"")</f>
        <v/>
      </c>
      <c r="J106" s="998" t="str" cm="1">
        <f t="array" ref="J106">IFERROR(AVERAGE(_xlfn._xlws.FILTER('Fatores de Emissão'!$C$374:$C$403,('Fatores de Emissão'!$B$374:$B$403&gt;='Emissões Evitadas'!C106)*('Fatores de Emissão'!$B$374:$B$403&lt;=('Emissões Evitadas'!H106-1))))*'Emissões Evitadas'!D106,"")</f>
        <v/>
      </c>
    </row>
    <row r="107" spans="2:10" hidden="1" outlineLevel="1" x14ac:dyDescent="0.35">
      <c r="B107" s="454"/>
      <c r="C107" s="627"/>
      <c r="D107" s="837"/>
      <c r="E107" s="998" t="str">
        <f>IF(C107="","",IF(C107&gt;'Fatores de Emissão'!$B$403,'Fatores de Emissão'!$F$403,VLOOKUP(C107,'Fatores de Emissão'!$B$374:$F$403,5,FALSE)))</f>
        <v/>
      </c>
      <c r="F107" s="998" t="str">
        <f t="shared" si="2"/>
        <v/>
      </c>
      <c r="G107" s="1011" t="str">
        <f t="shared" si="3"/>
        <v/>
      </c>
      <c r="H107" s="1011" t="str">
        <f>IFERROR(MAX(VLOOKUP(B107,'Fatores de Emissão'!$B$12:$E$14,3,FALSE),'Fatores de Emissão'!$D$13),"")</f>
        <v/>
      </c>
      <c r="I107" s="998" t="str">
        <f>IFERROR(IF(H107&gt;'Fatores de Emissão'!$B$403, (E107+'Fatores de Emissão'!$F$403)/2, (E107+VLOOKUP(H107,'Fatores de Emissão'!$B$374:$F$403,5,FALSE))/2),"")</f>
        <v/>
      </c>
      <c r="J107" s="998" t="str" cm="1">
        <f t="array" ref="J107">IFERROR(AVERAGE(_xlfn._xlws.FILTER('Fatores de Emissão'!$C$374:$C$403,('Fatores de Emissão'!$B$374:$B$403&gt;='Emissões Evitadas'!C107)*('Fatores de Emissão'!$B$374:$B$403&lt;=('Emissões Evitadas'!H107-1))))*'Emissões Evitadas'!D107,"")</f>
        <v/>
      </c>
    </row>
    <row r="108" spans="2:10" hidden="1" outlineLevel="1" x14ac:dyDescent="0.35">
      <c r="B108" s="454"/>
      <c r="C108" s="627"/>
      <c r="D108" s="837"/>
      <c r="E108" s="998" t="str">
        <f>IF(C108="","",IF(C108&gt;'Fatores de Emissão'!$B$403,'Fatores de Emissão'!$F$403,VLOOKUP(C108,'Fatores de Emissão'!$B$374:$F$403,5,FALSE)))</f>
        <v/>
      </c>
      <c r="F108" s="998" t="str">
        <f t="shared" si="2"/>
        <v/>
      </c>
      <c r="G108" s="1011" t="str">
        <f t="shared" si="3"/>
        <v/>
      </c>
      <c r="H108" s="1011" t="str">
        <f>IFERROR(MAX(VLOOKUP(B108,'Fatores de Emissão'!$B$12:$E$14,3,FALSE),'Fatores de Emissão'!$D$13),"")</f>
        <v/>
      </c>
      <c r="I108" s="998" t="str">
        <f>IFERROR(IF(H108&gt;'Fatores de Emissão'!$B$403, (E108+'Fatores de Emissão'!$F$403)/2, (E108+VLOOKUP(H108,'Fatores de Emissão'!$B$374:$F$403,5,FALSE))/2),"")</f>
        <v/>
      </c>
      <c r="J108" s="998" t="str" cm="1">
        <f t="array" ref="J108">IFERROR(AVERAGE(_xlfn._xlws.FILTER('Fatores de Emissão'!$C$374:$C$403,('Fatores de Emissão'!$B$374:$B$403&gt;='Emissões Evitadas'!C108)*('Fatores de Emissão'!$B$374:$B$403&lt;=('Emissões Evitadas'!H108-1))))*'Emissões Evitadas'!D108,"")</f>
        <v/>
      </c>
    </row>
    <row r="109" spans="2:10" hidden="1" outlineLevel="1" x14ac:dyDescent="0.35">
      <c r="B109" s="454"/>
      <c r="C109" s="627"/>
      <c r="D109" s="837"/>
      <c r="E109" s="998" t="str">
        <f>IF(C109="","",IF(C109&gt;'Fatores de Emissão'!$B$403,'Fatores de Emissão'!$F$403,VLOOKUP(C109,'Fatores de Emissão'!$B$374:$F$403,5,FALSE)))</f>
        <v/>
      </c>
      <c r="F109" s="998" t="str">
        <f t="shared" si="2"/>
        <v/>
      </c>
      <c r="G109" s="1011" t="str">
        <f t="shared" si="3"/>
        <v/>
      </c>
      <c r="H109" s="1011" t="str">
        <f>IFERROR(MAX(VLOOKUP(B109,'Fatores de Emissão'!$B$12:$E$14,3,FALSE),'Fatores de Emissão'!$D$13),"")</f>
        <v/>
      </c>
      <c r="I109" s="998" t="str">
        <f>IFERROR(IF(H109&gt;'Fatores de Emissão'!$B$403, (E109+'Fatores de Emissão'!$F$403)/2, (E109+VLOOKUP(H109,'Fatores de Emissão'!$B$374:$F$403,5,FALSE))/2),"")</f>
        <v/>
      </c>
      <c r="J109" s="998" t="str" cm="1">
        <f t="array" ref="J109">IFERROR(AVERAGE(_xlfn._xlws.FILTER('Fatores de Emissão'!$C$374:$C$403,('Fatores de Emissão'!$B$374:$B$403&gt;='Emissões Evitadas'!C109)*('Fatores de Emissão'!$B$374:$B$403&lt;=('Emissões Evitadas'!H109-1))))*'Emissões Evitadas'!D109,"")</f>
        <v/>
      </c>
    </row>
    <row r="110" spans="2:10" hidden="1" outlineLevel="1" x14ac:dyDescent="0.35">
      <c r="B110" s="454"/>
      <c r="C110" s="627"/>
      <c r="D110" s="837"/>
      <c r="E110" s="998" t="str">
        <f>IF(C110="","",IF(C110&gt;'Fatores de Emissão'!$B$403,'Fatores de Emissão'!$F$403,VLOOKUP(C110,'Fatores de Emissão'!$B$374:$F$403,5,FALSE)))</f>
        <v/>
      </c>
      <c r="F110" s="998" t="str">
        <f t="shared" si="2"/>
        <v/>
      </c>
      <c r="G110" s="1011" t="str">
        <f t="shared" si="3"/>
        <v/>
      </c>
      <c r="H110" s="1011" t="str">
        <f>IFERROR(MAX(VLOOKUP(B110,'Fatores de Emissão'!$B$12:$E$14,3,FALSE),'Fatores de Emissão'!$D$13),"")</f>
        <v/>
      </c>
      <c r="I110" s="998" t="str">
        <f>IFERROR(IF(H110&gt;'Fatores de Emissão'!$B$403, (E110+'Fatores de Emissão'!$F$403)/2, (E110+VLOOKUP(H110,'Fatores de Emissão'!$B$374:$F$403,5,FALSE))/2),"")</f>
        <v/>
      </c>
      <c r="J110" s="998" t="str" cm="1">
        <f t="array" ref="J110">IFERROR(AVERAGE(_xlfn._xlws.FILTER('Fatores de Emissão'!$C$374:$C$403,('Fatores de Emissão'!$B$374:$B$403&gt;='Emissões Evitadas'!C110)*('Fatores de Emissão'!$B$374:$B$403&lt;=('Emissões Evitadas'!H110-1))))*'Emissões Evitadas'!D110,"")</f>
        <v/>
      </c>
    </row>
    <row r="111" spans="2:10" hidden="1" outlineLevel="1" x14ac:dyDescent="0.35">
      <c r="B111" s="454"/>
      <c r="C111" s="627"/>
      <c r="D111" s="837"/>
      <c r="E111" s="998" t="str">
        <f>IF(C111="","",IF(C111&gt;'Fatores de Emissão'!$B$403,'Fatores de Emissão'!$F$403,VLOOKUP(C111,'Fatores de Emissão'!$B$374:$F$403,5,FALSE)))</f>
        <v/>
      </c>
      <c r="F111" s="998" t="str">
        <f t="shared" si="2"/>
        <v/>
      </c>
      <c r="G111" s="1011" t="str">
        <f t="shared" si="3"/>
        <v/>
      </c>
      <c r="H111" s="1011" t="str">
        <f>IFERROR(MAX(VLOOKUP(B111,'Fatores de Emissão'!$B$12:$E$14,3,FALSE),'Fatores de Emissão'!$D$13),"")</f>
        <v/>
      </c>
      <c r="I111" s="998" t="str">
        <f>IFERROR(IF(H111&gt;'Fatores de Emissão'!$B$403, (E111+'Fatores de Emissão'!$F$403)/2, (E111+VLOOKUP(H111,'Fatores de Emissão'!$B$374:$F$403,5,FALSE))/2),"")</f>
        <v/>
      </c>
      <c r="J111" s="998" t="str" cm="1">
        <f t="array" ref="J111">IFERROR(AVERAGE(_xlfn._xlws.FILTER('Fatores de Emissão'!$C$374:$C$403,('Fatores de Emissão'!$B$374:$B$403&gt;='Emissões Evitadas'!C111)*('Fatores de Emissão'!$B$374:$B$403&lt;=('Emissões Evitadas'!H111-1))))*'Emissões Evitadas'!D111,"")</f>
        <v/>
      </c>
    </row>
    <row r="112" spans="2:10" hidden="1" outlineLevel="1" x14ac:dyDescent="0.35">
      <c r="B112" s="454"/>
      <c r="C112" s="627"/>
      <c r="D112" s="837"/>
      <c r="E112" s="998" t="str">
        <f>IF(C112="","",IF(C112&gt;'Fatores de Emissão'!$B$403,'Fatores de Emissão'!$F$403,VLOOKUP(C112,'Fatores de Emissão'!$B$374:$F$403,5,FALSE)))</f>
        <v/>
      </c>
      <c r="F112" s="998" t="str">
        <f t="shared" si="2"/>
        <v/>
      </c>
      <c r="G112" s="1011" t="str">
        <f t="shared" si="3"/>
        <v/>
      </c>
      <c r="H112" s="1011" t="str">
        <f>IFERROR(MAX(VLOOKUP(B112,'Fatores de Emissão'!$B$12:$E$14,3,FALSE),'Fatores de Emissão'!$D$13),"")</f>
        <v/>
      </c>
      <c r="I112" s="998" t="str">
        <f>IFERROR(IF(H112&gt;'Fatores de Emissão'!$B$403, (E112+'Fatores de Emissão'!$F$403)/2, (E112+VLOOKUP(H112,'Fatores de Emissão'!$B$374:$F$403,5,FALSE))/2),"")</f>
        <v/>
      </c>
      <c r="J112" s="998" t="str" cm="1">
        <f t="array" ref="J112">IFERROR(AVERAGE(_xlfn._xlws.FILTER('Fatores de Emissão'!$C$374:$C$403,('Fatores de Emissão'!$B$374:$B$403&gt;='Emissões Evitadas'!C112)*('Fatores de Emissão'!$B$374:$B$403&lt;=('Emissões Evitadas'!H112-1))))*'Emissões Evitadas'!D112,"")</f>
        <v/>
      </c>
    </row>
    <row r="113" spans="2:10" hidden="1" outlineLevel="1" x14ac:dyDescent="0.35">
      <c r="B113" s="454"/>
      <c r="C113" s="627"/>
      <c r="D113" s="837"/>
      <c r="E113" s="998" t="str">
        <f>IF(C113="","",IF(C113&gt;'Fatores de Emissão'!$B$403,'Fatores de Emissão'!$F$403,VLOOKUP(C113,'Fatores de Emissão'!$B$374:$F$403,5,FALSE)))</f>
        <v/>
      </c>
      <c r="F113" s="998" t="str">
        <f t="shared" si="2"/>
        <v/>
      </c>
      <c r="G113" s="1011" t="str">
        <f t="shared" si="3"/>
        <v/>
      </c>
      <c r="H113" s="1011" t="str">
        <f>IFERROR(MAX(VLOOKUP(B113,'Fatores de Emissão'!$B$12:$E$14,3,FALSE),'Fatores de Emissão'!$D$13),"")</f>
        <v/>
      </c>
      <c r="I113" s="998" t="str">
        <f>IFERROR(IF(H113&gt;'Fatores de Emissão'!$B$403, (E113+'Fatores de Emissão'!$F$403)/2, (E113+VLOOKUP(H113,'Fatores de Emissão'!$B$374:$F$403,5,FALSE))/2),"")</f>
        <v/>
      </c>
      <c r="J113" s="998" t="str" cm="1">
        <f t="array" ref="J113">IFERROR(AVERAGE(_xlfn._xlws.FILTER('Fatores de Emissão'!$C$374:$C$403,('Fatores de Emissão'!$B$374:$B$403&gt;='Emissões Evitadas'!C113)*('Fatores de Emissão'!$B$374:$B$403&lt;=('Emissões Evitadas'!H113-1))))*'Emissões Evitadas'!D113,"")</f>
        <v/>
      </c>
    </row>
    <row r="114" spans="2:10" hidden="1" outlineLevel="1" x14ac:dyDescent="0.35">
      <c r="B114" s="454"/>
      <c r="C114" s="627"/>
      <c r="D114" s="837"/>
      <c r="E114" s="998" t="str">
        <f>IF(C114="","",IF(C114&gt;'Fatores de Emissão'!$B$403,'Fatores de Emissão'!$F$403,VLOOKUP(C114,'Fatores de Emissão'!$B$374:$F$403,5,FALSE)))</f>
        <v/>
      </c>
      <c r="F114" s="998" t="str">
        <f t="shared" si="2"/>
        <v/>
      </c>
      <c r="G114" s="1011" t="str">
        <f t="shared" si="3"/>
        <v/>
      </c>
      <c r="H114" s="1011" t="str">
        <f>IFERROR(MAX(VLOOKUP(B114,'Fatores de Emissão'!$B$12:$E$14,3,FALSE),'Fatores de Emissão'!$D$13),"")</f>
        <v/>
      </c>
      <c r="I114" s="998" t="str">
        <f>IFERROR(IF(H114&gt;'Fatores de Emissão'!$B$403, (E114+'Fatores de Emissão'!$F$403)/2, (E114+VLOOKUP(H114,'Fatores de Emissão'!$B$374:$F$403,5,FALSE))/2),"")</f>
        <v/>
      </c>
      <c r="J114" s="998" t="str" cm="1">
        <f t="array" ref="J114">IFERROR(AVERAGE(_xlfn._xlws.FILTER('Fatores de Emissão'!$C$374:$C$403,('Fatores de Emissão'!$B$374:$B$403&gt;='Emissões Evitadas'!C114)*('Fatores de Emissão'!$B$374:$B$403&lt;=('Emissões Evitadas'!H114-1))))*'Emissões Evitadas'!D114,"")</f>
        <v/>
      </c>
    </row>
    <row r="115" spans="2:10" hidden="1" outlineLevel="1" x14ac:dyDescent="0.35">
      <c r="B115" s="454"/>
      <c r="C115" s="627"/>
      <c r="D115" s="837"/>
      <c r="E115" s="998" t="str">
        <f>IF(C115="","",IF(C115&gt;'Fatores de Emissão'!$B$403,'Fatores de Emissão'!$F$403,VLOOKUP(C115,'Fatores de Emissão'!$B$374:$F$403,5,FALSE)))</f>
        <v/>
      </c>
      <c r="F115" s="998" t="str">
        <f t="shared" si="2"/>
        <v/>
      </c>
      <c r="G115" s="1011" t="str">
        <f t="shared" si="3"/>
        <v/>
      </c>
      <c r="H115" s="1011" t="str">
        <f>IFERROR(MAX(VLOOKUP(B115,'Fatores de Emissão'!$B$12:$E$14,3,FALSE),'Fatores de Emissão'!$D$13),"")</f>
        <v/>
      </c>
      <c r="I115" s="998" t="str">
        <f>IFERROR(IF(H115&gt;'Fatores de Emissão'!$B$403, (E115+'Fatores de Emissão'!$F$403)/2, (E115+VLOOKUP(H115,'Fatores de Emissão'!$B$374:$F$403,5,FALSE))/2),"")</f>
        <v/>
      </c>
      <c r="J115" s="998" t="str" cm="1">
        <f t="array" ref="J115">IFERROR(AVERAGE(_xlfn._xlws.FILTER('Fatores de Emissão'!$C$374:$C$403,('Fatores de Emissão'!$B$374:$B$403&gt;='Emissões Evitadas'!C115)*('Fatores de Emissão'!$B$374:$B$403&lt;=('Emissões Evitadas'!H115-1))))*'Emissões Evitadas'!D115,"")</f>
        <v/>
      </c>
    </row>
    <row r="116" spans="2:10" hidden="1" outlineLevel="1" x14ac:dyDescent="0.35">
      <c r="B116" s="454"/>
      <c r="C116" s="627"/>
      <c r="D116" s="837"/>
      <c r="E116" s="998" t="str">
        <f>IF(C116="","",IF(C116&gt;'Fatores de Emissão'!$B$403,'Fatores de Emissão'!$F$403,VLOOKUP(C116,'Fatores de Emissão'!$B$374:$F$403,5,FALSE)))</f>
        <v/>
      </c>
      <c r="F116" s="998" t="str">
        <f t="shared" si="2"/>
        <v/>
      </c>
      <c r="G116" s="1011" t="str">
        <f t="shared" si="3"/>
        <v/>
      </c>
      <c r="H116" s="1011" t="str">
        <f>IFERROR(MAX(VLOOKUP(B116,'Fatores de Emissão'!$B$12:$E$14,3,FALSE),'Fatores de Emissão'!$D$13),"")</f>
        <v/>
      </c>
      <c r="I116" s="998" t="str">
        <f>IFERROR(IF(H116&gt;'Fatores de Emissão'!$B$403, (E116+'Fatores de Emissão'!$F$403)/2, (E116+VLOOKUP(H116,'Fatores de Emissão'!$B$374:$F$403,5,FALSE))/2),"")</f>
        <v/>
      </c>
      <c r="J116" s="998" t="str" cm="1">
        <f t="array" ref="J116">IFERROR(AVERAGE(_xlfn._xlws.FILTER('Fatores de Emissão'!$C$374:$C$403,('Fatores de Emissão'!$B$374:$B$403&gt;='Emissões Evitadas'!C116)*('Fatores de Emissão'!$B$374:$B$403&lt;=('Emissões Evitadas'!H116-1))))*'Emissões Evitadas'!D116,"")</f>
        <v/>
      </c>
    </row>
    <row r="117" spans="2:10" hidden="1" outlineLevel="1" x14ac:dyDescent="0.35">
      <c r="B117" s="454"/>
      <c r="C117" s="627"/>
      <c r="D117" s="837"/>
      <c r="E117" s="998" t="str">
        <f>IF(C117="","",IF(C117&gt;'Fatores de Emissão'!$B$403,'Fatores de Emissão'!$F$403,VLOOKUP(C117,'Fatores de Emissão'!$B$374:$F$403,5,FALSE)))</f>
        <v/>
      </c>
      <c r="F117" s="998" t="str">
        <f t="shared" si="2"/>
        <v/>
      </c>
      <c r="G117" s="1011" t="str">
        <f t="shared" si="3"/>
        <v/>
      </c>
      <c r="H117" s="1011" t="str">
        <f>IFERROR(MAX(VLOOKUP(B117,'Fatores de Emissão'!$B$12:$E$14,3,FALSE),'Fatores de Emissão'!$D$13),"")</f>
        <v/>
      </c>
      <c r="I117" s="998" t="str">
        <f>IFERROR(IF(H117&gt;'Fatores de Emissão'!$B$403, (E117+'Fatores de Emissão'!$F$403)/2, (E117+VLOOKUP(H117,'Fatores de Emissão'!$B$374:$F$403,5,FALSE))/2),"")</f>
        <v/>
      </c>
      <c r="J117" s="998" t="str" cm="1">
        <f t="array" ref="J117">IFERROR(AVERAGE(_xlfn._xlws.FILTER('Fatores de Emissão'!$C$374:$C$403,('Fatores de Emissão'!$B$374:$B$403&gt;='Emissões Evitadas'!C117)*('Fatores de Emissão'!$B$374:$B$403&lt;=('Emissões Evitadas'!H117-1))))*'Emissões Evitadas'!D117,"")</f>
        <v/>
      </c>
    </row>
    <row r="118" spans="2:10" hidden="1" outlineLevel="1" x14ac:dyDescent="0.35">
      <c r="B118" s="454"/>
      <c r="C118" s="627"/>
      <c r="D118" s="837"/>
      <c r="E118" s="998" t="str">
        <f>IF(C118="","",IF(C118&gt;'Fatores de Emissão'!$B$403,'Fatores de Emissão'!$F$403,VLOOKUP(C118,'Fatores de Emissão'!$B$374:$F$403,5,FALSE)))</f>
        <v/>
      </c>
      <c r="F118" s="998" t="str">
        <f t="shared" si="2"/>
        <v/>
      </c>
      <c r="G118" s="1011" t="str">
        <f t="shared" si="3"/>
        <v/>
      </c>
      <c r="H118" s="1011" t="str">
        <f>IFERROR(MAX(VLOOKUP(B118,'Fatores de Emissão'!$B$12:$E$14,3,FALSE),'Fatores de Emissão'!$D$13),"")</f>
        <v/>
      </c>
      <c r="I118" s="998" t="str">
        <f>IFERROR(IF(H118&gt;'Fatores de Emissão'!$B$403, (E118+'Fatores de Emissão'!$F$403)/2, (E118+VLOOKUP(H118,'Fatores de Emissão'!$B$374:$F$403,5,FALSE))/2),"")</f>
        <v/>
      </c>
      <c r="J118" s="998" t="str" cm="1">
        <f t="array" ref="J118">IFERROR(AVERAGE(_xlfn._xlws.FILTER('Fatores de Emissão'!$C$374:$C$403,('Fatores de Emissão'!$B$374:$B$403&gt;='Emissões Evitadas'!C118)*('Fatores de Emissão'!$B$374:$B$403&lt;=('Emissões Evitadas'!H118-1))))*'Emissões Evitadas'!D118,"")</f>
        <v/>
      </c>
    </row>
    <row r="119" spans="2:10" hidden="1" outlineLevel="1" x14ac:dyDescent="0.35">
      <c r="B119" s="454"/>
      <c r="C119" s="627"/>
      <c r="D119" s="837"/>
      <c r="E119" s="998" t="str">
        <f>IF(C119="","",IF(C119&gt;'Fatores de Emissão'!$B$403,'Fatores de Emissão'!$F$403,VLOOKUP(C119,'Fatores de Emissão'!$B$374:$F$403,5,FALSE)))</f>
        <v/>
      </c>
      <c r="F119" s="998" t="str">
        <f t="shared" si="2"/>
        <v/>
      </c>
      <c r="G119" s="1011" t="str">
        <f t="shared" si="3"/>
        <v/>
      </c>
      <c r="H119" s="1011" t="str">
        <f>IFERROR(MAX(VLOOKUP(B119,'Fatores de Emissão'!$B$12:$E$14,3,FALSE),'Fatores de Emissão'!$D$13),"")</f>
        <v/>
      </c>
      <c r="I119" s="998" t="str">
        <f>IFERROR(IF(H119&gt;'Fatores de Emissão'!$B$403, (E119+'Fatores de Emissão'!$F$403)/2, (E119+VLOOKUP(H119,'Fatores de Emissão'!$B$374:$F$403,5,FALSE))/2),"")</f>
        <v/>
      </c>
      <c r="J119" s="998" t="str" cm="1">
        <f t="array" ref="J119">IFERROR(AVERAGE(_xlfn._xlws.FILTER('Fatores de Emissão'!$C$374:$C$403,('Fatores de Emissão'!$B$374:$B$403&gt;='Emissões Evitadas'!C119)*('Fatores de Emissão'!$B$374:$B$403&lt;=('Emissões Evitadas'!H119-1))))*'Emissões Evitadas'!D119,"")</f>
        <v/>
      </c>
    </row>
    <row r="120" spans="2:10" hidden="1" outlineLevel="1" x14ac:dyDescent="0.35">
      <c r="B120" s="454"/>
      <c r="C120" s="627"/>
      <c r="D120" s="837"/>
      <c r="E120" s="998" t="str">
        <f>IF(C120="","",IF(C120&gt;'Fatores de Emissão'!$B$403,'Fatores de Emissão'!$F$403,VLOOKUP(C120,'Fatores de Emissão'!$B$374:$F$403,5,FALSE)))</f>
        <v/>
      </c>
      <c r="F120" s="998" t="str">
        <f t="shared" si="2"/>
        <v/>
      </c>
      <c r="G120" s="1011" t="str">
        <f t="shared" si="3"/>
        <v/>
      </c>
      <c r="H120" s="1011" t="str">
        <f>IFERROR(MAX(VLOOKUP(B120,'Fatores de Emissão'!$B$12:$E$14,3,FALSE),'Fatores de Emissão'!$D$13),"")</f>
        <v/>
      </c>
      <c r="I120" s="998" t="str">
        <f>IFERROR(IF(H120&gt;'Fatores de Emissão'!$B$403, (E120+'Fatores de Emissão'!$F$403)/2, (E120+VLOOKUP(H120,'Fatores de Emissão'!$B$374:$F$403,5,FALSE))/2),"")</f>
        <v/>
      </c>
      <c r="J120" s="998" t="str" cm="1">
        <f t="array" ref="J120">IFERROR(AVERAGE(_xlfn._xlws.FILTER('Fatores de Emissão'!$C$374:$C$403,('Fatores de Emissão'!$B$374:$B$403&gt;='Emissões Evitadas'!C120)*('Fatores de Emissão'!$B$374:$B$403&lt;=('Emissões Evitadas'!H120-1))))*'Emissões Evitadas'!D120,"")</f>
        <v/>
      </c>
    </row>
    <row r="121" spans="2:10" hidden="1" outlineLevel="1" x14ac:dyDescent="0.35">
      <c r="B121" s="454"/>
      <c r="C121" s="627"/>
      <c r="D121" s="837"/>
      <c r="E121" s="998" t="str">
        <f>IF(C121="","",IF(C121&gt;'Fatores de Emissão'!$B$403,'Fatores de Emissão'!$F$403,VLOOKUP(C121,'Fatores de Emissão'!$B$374:$F$403,5,FALSE)))</f>
        <v/>
      </c>
      <c r="F121" s="998" t="str">
        <f t="shared" si="2"/>
        <v/>
      </c>
      <c r="G121" s="1011" t="str">
        <f t="shared" si="3"/>
        <v/>
      </c>
      <c r="H121" s="1011" t="str">
        <f>IFERROR(MAX(VLOOKUP(B121,'Fatores de Emissão'!$B$12:$E$14,3,FALSE),'Fatores de Emissão'!$D$13),"")</f>
        <v/>
      </c>
      <c r="I121" s="998" t="str">
        <f>IFERROR(IF(H121&gt;'Fatores de Emissão'!$B$403, (E121+'Fatores de Emissão'!$F$403)/2, (E121+VLOOKUP(H121,'Fatores de Emissão'!$B$374:$F$403,5,FALSE))/2),"")</f>
        <v/>
      </c>
      <c r="J121" s="998" t="str" cm="1">
        <f t="array" ref="J121">IFERROR(AVERAGE(_xlfn._xlws.FILTER('Fatores de Emissão'!$C$374:$C$403,('Fatores de Emissão'!$B$374:$B$403&gt;='Emissões Evitadas'!C121)*('Fatores de Emissão'!$B$374:$B$403&lt;=('Emissões Evitadas'!H121-1))))*'Emissões Evitadas'!D121,"")</f>
        <v/>
      </c>
    </row>
    <row r="122" spans="2:10" hidden="1" outlineLevel="1" x14ac:dyDescent="0.35">
      <c r="B122" s="454"/>
      <c r="C122" s="627"/>
      <c r="D122" s="837"/>
      <c r="E122" s="998" t="str">
        <f>IF(C122="","",IF(C122&gt;'Fatores de Emissão'!$B$403,'Fatores de Emissão'!$F$403,VLOOKUP(C122,'Fatores de Emissão'!$B$374:$F$403,5,FALSE)))</f>
        <v/>
      </c>
      <c r="F122" s="998" t="str">
        <f t="shared" si="2"/>
        <v/>
      </c>
      <c r="G122" s="1011" t="str">
        <f t="shared" si="3"/>
        <v/>
      </c>
      <c r="H122" s="1011" t="str">
        <f>IFERROR(MAX(VLOOKUP(B122,'Fatores de Emissão'!$B$12:$E$14,3,FALSE),'Fatores de Emissão'!$D$13),"")</f>
        <v/>
      </c>
      <c r="I122" s="998" t="str">
        <f>IFERROR(IF(H122&gt;'Fatores de Emissão'!$B$403, (E122+'Fatores de Emissão'!$F$403)/2, (E122+VLOOKUP(H122,'Fatores de Emissão'!$B$374:$F$403,5,FALSE))/2),"")</f>
        <v/>
      </c>
      <c r="J122" s="998" t="str" cm="1">
        <f t="array" ref="J122">IFERROR(AVERAGE(_xlfn._xlws.FILTER('Fatores de Emissão'!$C$374:$C$403,('Fatores de Emissão'!$B$374:$B$403&gt;='Emissões Evitadas'!C122)*('Fatores de Emissão'!$B$374:$B$403&lt;=('Emissões Evitadas'!H122-1))))*'Emissões Evitadas'!D122,"")</f>
        <v/>
      </c>
    </row>
    <row r="123" spans="2:10" hidden="1" outlineLevel="1" x14ac:dyDescent="0.35">
      <c r="B123" s="454"/>
      <c r="C123" s="627"/>
      <c r="D123" s="837"/>
      <c r="E123" s="998" t="str">
        <f>IF(C123="","",IF(C123&gt;'Fatores de Emissão'!$B$403,'Fatores de Emissão'!$F$403,VLOOKUP(C123,'Fatores de Emissão'!$B$374:$F$403,5,FALSE)))</f>
        <v/>
      </c>
      <c r="F123" s="998" t="str">
        <f t="shared" si="2"/>
        <v/>
      </c>
      <c r="G123" s="1011" t="str">
        <f t="shared" si="3"/>
        <v/>
      </c>
      <c r="H123" s="1011" t="str">
        <f>IFERROR(MAX(VLOOKUP(B123,'Fatores de Emissão'!$B$12:$E$14,3,FALSE),'Fatores de Emissão'!$D$13),"")</f>
        <v/>
      </c>
      <c r="I123" s="998" t="str">
        <f>IFERROR(IF(H123&gt;'Fatores de Emissão'!$B$403, (E123+'Fatores de Emissão'!$F$403)/2, (E123+VLOOKUP(H123,'Fatores de Emissão'!$B$374:$F$403,5,FALSE))/2),"")</f>
        <v/>
      </c>
      <c r="J123" s="998" t="str" cm="1">
        <f t="array" ref="J123">IFERROR(AVERAGE(_xlfn._xlws.FILTER('Fatores de Emissão'!$C$374:$C$403,('Fatores de Emissão'!$B$374:$B$403&gt;='Emissões Evitadas'!C123)*('Fatores de Emissão'!$B$374:$B$403&lt;=('Emissões Evitadas'!H123-1))))*'Emissões Evitadas'!D123,"")</f>
        <v/>
      </c>
    </row>
    <row r="124" spans="2:10" hidden="1" outlineLevel="1" x14ac:dyDescent="0.35">
      <c r="B124" s="454"/>
      <c r="C124" s="627"/>
      <c r="D124" s="837"/>
      <c r="E124" s="998" t="str">
        <f>IF(C124="","",IF(C124&gt;'Fatores de Emissão'!$B$403,'Fatores de Emissão'!$F$403,VLOOKUP(C124,'Fatores de Emissão'!$B$374:$F$403,5,FALSE)))</f>
        <v/>
      </c>
      <c r="F124" s="998" t="str">
        <f t="shared" si="2"/>
        <v/>
      </c>
      <c r="G124" s="1011" t="str">
        <f t="shared" si="3"/>
        <v/>
      </c>
      <c r="H124" s="1011" t="str">
        <f>IFERROR(MAX(VLOOKUP(B124,'Fatores de Emissão'!$B$12:$E$14,3,FALSE),'Fatores de Emissão'!$D$13),"")</f>
        <v/>
      </c>
      <c r="I124" s="998" t="str">
        <f>IFERROR(IF(H124&gt;'Fatores de Emissão'!$B$403, (E124+'Fatores de Emissão'!$F$403)/2, (E124+VLOOKUP(H124,'Fatores de Emissão'!$B$374:$F$403,5,FALSE))/2),"")</f>
        <v/>
      </c>
      <c r="J124" s="998" t="str" cm="1">
        <f t="array" ref="J124">IFERROR(AVERAGE(_xlfn._xlws.FILTER('Fatores de Emissão'!$C$374:$C$403,('Fatores de Emissão'!$B$374:$B$403&gt;='Emissões Evitadas'!C124)*('Fatores de Emissão'!$B$374:$B$403&lt;=('Emissões Evitadas'!H124-1))))*'Emissões Evitadas'!D124,"")</f>
        <v/>
      </c>
    </row>
    <row r="125" spans="2:10" hidden="1" outlineLevel="1" x14ac:dyDescent="0.35">
      <c r="B125" s="454"/>
      <c r="C125" s="627"/>
      <c r="D125" s="837"/>
      <c r="E125" s="998" t="str">
        <f>IF(C125="","",IF(C125&gt;'Fatores de Emissão'!$B$403,'Fatores de Emissão'!$F$403,VLOOKUP(C125,'Fatores de Emissão'!$B$374:$F$403,5,FALSE)))</f>
        <v/>
      </c>
      <c r="F125" s="998" t="str">
        <f t="shared" si="2"/>
        <v/>
      </c>
      <c r="G125" s="1011" t="str">
        <f t="shared" si="3"/>
        <v/>
      </c>
      <c r="H125" s="1011" t="str">
        <f>IFERROR(MAX(VLOOKUP(B125,'Fatores de Emissão'!$B$12:$E$14,3,FALSE),'Fatores de Emissão'!$D$13),"")</f>
        <v/>
      </c>
      <c r="I125" s="998" t="str">
        <f>IFERROR(IF(H125&gt;'Fatores de Emissão'!$B$403, (E125+'Fatores de Emissão'!$F$403)/2, (E125+VLOOKUP(H125,'Fatores de Emissão'!$B$374:$F$403,5,FALSE))/2),"")</f>
        <v/>
      </c>
      <c r="J125" s="998" t="str" cm="1">
        <f t="array" ref="J125">IFERROR(AVERAGE(_xlfn._xlws.FILTER('Fatores de Emissão'!$C$374:$C$403,('Fatores de Emissão'!$B$374:$B$403&gt;='Emissões Evitadas'!C125)*('Fatores de Emissão'!$B$374:$B$403&lt;=('Emissões Evitadas'!H125-1))))*'Emissões Evitadas'!D125,"")</f>
        <v/>
      </c>
    </row>
    <row r="126" spans="2:10" hidden="1" outlineLevel="1" x14ac:dyDescent="0.35">
      <c r="B126" s="454"/>
      <c r="C126" s="627"/>
      <c r="D126" s="837"/>
      <c r="E126" s="998" t="str">
        <f>IF(C126="","",IF(C126&gt;'Fatores de Emissão'!$B$403,'Fatores de Emissão'!$F$403,VLOOKUP(C126,'Fatores de Emissão'!$B$374:$F$403,5,FALSE)))</f>
        <v/>
      </c>
      <c r="F126" s="998" t="str">
        <f t="shared" si="2"/>
        <v/>
      </c>
      <c r="G126" s="1011" t="str">
        <f t="shared" si="3"/>
        <v/>
      </c>
      <c r="H126" s="1011" t="str">
        <f>IFERROR(MAX(VLOOKUP(B126,'Fatores de Emissão'!$B$12:$E$14,3,FALSE),'Fatores de Emissão'!$D$13),"")</f>
        <v/>
      </c>
      <c r="I126" s="998" t="str">
        <f>IFERROR(IF(H126&gt;'Fatores de Emissão'!$B$403, (E126+'Fatores de Emissão'!$F$403)/2, (E126+VLOOKUP(H126,'Fatores de Emissão'!$B$374:$F$403,5,FALSE))/2),"")</f>
        <v/>
      </c>
      <c r="J126" s="998" t="str" cm="1">
        <f t="array" ref="J126">IFERROR(AVERAGE(_xlfn._xlws.FILTER('Fatores de Emissão'!$C$374:$C$403,('Fatores de Emissão'!$B$374:$B$403&gt;='Emissões Evitadas'!C126)*('Fatores de Emissão'!$B$374:$B$403&lt;=('Emissões Evitadas'!H126-1))))*'Emissões Evitadas'!D126,"")</f>
        <v/>
      </c>
    </row>
    <row r="127" spans="2:10" hidden="1" outlineLevel="1" x14ac:dyDescent="0.35">
      <c r="B127" s="454"/>
      <c r="C127" s="627"/>
      <c r="D127" s="837"/>
      <c r="E127" s="998" t="str">
        <f>IF(C127="","",IF(C127&gt;'Fatores de Emissão'!$B$403,'Fatores de Emissão'!$F$403,VLOOKUP(C127,'Fatores de Emissão'!$B$374:$F$403,5,FALSE)))</f>
        <v/>
      </c>
      <c r="F127" s="998" t="str">
        <f t="shared" si="2"/>
        <v/>
      </c>
      <c r="G127" s="1011" t="str">
        <f t="shared" si="3"/>
        <v/>
      </c>
      <c r="H127" s="1011" t="str">
        <f>IFERROR(MAX(VLOOKUP(B127,'Fatores de Emissão'!$B$12:$E$14,3,FALSE),'Fatores de Emissão'!$D$13),"")</f>
        <v/>
      </c>
      <c r="I127" s="998" t="str">
        <f>IFERROR(IF(H127&gt;'Fatores de Emissão'!$B$403, (E127+'Fatores de Emissão'!$F$403)/2, (E127+VLOOKUP(H127,'Fatores de Emissão'!$B$374:$F$403,5,FALSE))/2),"")</f>
        <v/>
      </c>
      <c r="J127" s="998" t="str" cm="1">
        <f t="array" ref="J127">IFERROR(AVERAGE(_xlfn._xlws.FILTER('Fatores de Emissão'!$C$374:$C$403,('Fatores de Emissão'!$B$374:$B$403&gt;='Emissões Evitadas'!C127)*('Fatores de Emissão'!$B$374:$B$403&lt;=('Emissões Evitadas'!H127-1))))*'Emissões Evitadas'!D127,"")</f>
        <v/>
      </c>
    </row>
    <row r="128" spans="2:10" hidden="1" outlineLevel="1" x14ac:dyDescent="0.35">
      <c r="B128" s="454"/>
      <c r="C128" s="627"/>
      <c r="D128" s="837"/>
      <c r="E128" s="998" t="str">
        <f>IF(C128="","",IF(C128&gt;'Fatores de Emissão'!$B$403,'Fatores de Emissão'!$F$403,VLOOKUP(C128,'Fatores de Emissão'!$B$374:$F$403,5,FALSE)))</f>
        <v/>
      </c>
      <c r="F128" s="998" t="str">
        <f t="shared" si="2"/>
        <v/>
      </c>
      <c r="G128" s="1011" t="str">
        <f t="shared" si="3"/>
        <v/>
      </c>
      <c r="H128" s="1011" t="str">
        <f>IFERROR(MAX(VLOOKUP(B128,'Fatores de Emissão'!$B$12:$E$14,3,FALSE),'Fatores de Emissão'!$D$13),"")</f>
        <v/>
      </c>
      <c r="I128" s="998" t="str">
        <f>IFERROR(IF(H128&gt;'Fatores de Emissão'!$B$403, (E128+'Fatores de Emissão'!$F$403)/2, (E128+VLOOKUP(H128,'Fatores de Emissão'!$B$374:$F$403,5,FALSE))/2),"")</f>
        <v/>
      </c>
      <c r="J128" s="998" t="str" cm="1">
        <f t="array" ref="J128">IFERROR(AVERAGE(_xlfn._xlws.FILTER('Fatores de Emissão'!$C$374:$C$403,('Fatores de Emissão'!$B$374:$B$403&gt;='Emissões Evitadas'!C128)*('Fatores de Emissão'!$B$374:$B$403&lt;=('Emissões Evitadas'!H128-1))))*'Emissões Evitadas'!D128,"")</f>
        <v/>
      </c>
    </row>
    <row r="129" spans="2:28" hidden="1" outlineLevel="1" x14ac:dyDescent="0.35">
      <c r="B129" s="454"/>
      <c r="C129" s="627"/>
      <c r="D129" s="837"/>
      <c r="E129" s="998" t="str">
        <f>IF(C129="","",IF(C129&gt;'Fatores de Emissão'!$B$403,'Fatores de Emissão'!$F$403,VLOOKUP(C129,'Fatores de Emissão'!$B$374:$F$403,5,FALSE)))</f>
        <v/>
      </c>
      <c r="F129" s="998" t="str">
        <f t="shared" si="2"/>
        <v/>
      </c>
      <c r="G129" s="1011" t="str">
        <f t="shared" si="3"/>
        <v/>
      </c>
      <c r="H129" s="1011" t="str">
        <f>IFERROR(MAX(VLOOKUP(B129,'Fatores de Emissão'!$B$12:$E$14,3,FALSE),'Fatores de Emissão'!$D$13),"")</f>
        <v/>
      </c>
      <c r="I129" s="998" t="str">
        <f>IFERROR(IF(H129&gt;'Fatores de Emissão'!$B$403, (E129+'Fatores de Emissão'!$F$403)/2, (E129+VLOOKUP(H129,'Fatores de Emissão'!$B$374:$F$403,5,FALSE))/2),"")</f>
        <v/>
      </c>
      <c r="J129" s="998" t="str" cm="1">
        <f t="array" ref="J129">IFERROR(AVERAGE(_xlfn._xlws.FILTER('Fatores de Emissão'!$C$374:$C$403,('Fatores de Emissão'!$B$374:$B$403&gt;='Emissões Evitadas'!C129)*('Fatores de Emissão'!$B$374:$B$403&lt;=('Emissões Evitadas'!H129-1))))*'Emissões Evitadas'!D129,"")</f>
        <v/>
      </c>
    </row>
    <row r="130" spans="2:28" collapsed="1" x14ac:dyDescent="0.35">
      <c r="B130" s="278" t="s">
        <v>40</v>
      </c>
      <c r="C130" s="279"/>
      <c r="D130" s="823"/>
      <c r="E130" s="999"/>
      <c r="F130" s="1000">
        <f>SUM(F30:F129)</f>
        <v>0</v>
      </c>
      <c r="G130" s="1044"/>
      <c r="H130" s="1045"/>
      <c r="I130" s="1046"/>
      <c r="J130" s="1000">
        <f>SUM(J30:J129)</f>
        <v>0</v>
      </c>
    </row>
    <row r="131" spans="2:28" x14ac:dyDescent="0.35"/>
    <row r="132" spans="2:28" x14ac:dyDescent="0.35"/>
    <row r="133" spans="2:28" s="538" customFormat="1" ht="30" customHeight="1" x14ac:dyDescent="0.35">
      <c r="B133" s="296" t="s">
        <v>1193</v>
      </c>
    </row>
    <row r="134" spans="2:28" x14ac:dyDescent="0.35"/>
    <row r="135" spans="2:28" ht="24.65" customHeight="1" x14ac:dyDescent="0.35">
      <c r="B135" s="309" t="s">
        <v>0</v>
      </c>
      <c r="C135" s="310"/>
      <c r="D135" s="310"/>
      <c r="E135" s="310"/>
      <c r="F135" s="310"/>
      <c r="G135" s="310"/>
      <c r="H135" s="310"/>
      <c r="I135" s="310"/>
      <c r="J135" s="311"/>
      <c r="K135" s="311"/>
      <c r="L135" s="311"/>
      <c r="M135" s="311"/>
      <c r="N135" s="311"/>
      <c r="O135" s="311"/>
      <c r="P135" s="311"/>
      <c r="Q135" s="311"/>
      <c r="R135" s="311"/>
      <c r="S135" s="311"/>
      <c r="T135" s="311"/>
      <c r="U135" s="311"/>
      <c r="V135" s="311"/>
      <c r="W135" s="311"/>
      <c r="X135" s="311"/>
      <c r="Y135" s="311"/>
      <c r="Z135" s="311"/>
      <c r="AA135" s="311"/>
      <c r="AB135" s="311"/>
    </row>
    <row r="136" spans="2:28" x14ac:dyDescent="0.35">
      <c r="B136" s="344" t="s">
        <v>1188</v>
      </c>
      <c r="C136" s="172"/>
      <c r="D136" s="172"/>
      <c r="E136" s="172"/>
      <c r="F136" s="172"/>
      <c r="G136" s="172"/>
      <c r="H136" s="172"/>
      <c r="I136" s="172"/>
    </row>
    <row r="137" spans="2:28" ht="16.899999999999999" customHeight="1" x14ac:dyDescent="0.35">
      <c r="B137" s="345" t="s">
        <v>1189</v>
      </c>
      <c r="C137" s="310"/>
      <c r="D137" s="310"/>
      <c r="E137" s="310"/>
      <c r="F137" s="310"/>
      <c r="G137" s="310"/>
      <c r="H137" s="310"/>
      <c r="I137" s="310"/>
      <c r="J137" s="311"/>
      <c r="K137" s="311"/>
      <c r="L137" s="311"/>
      <c r="M137" s="311"/>
      <c r="N137" s="311"/>
      <c r="O137" s="311"/>
      <c r="P137" s="311"/>
      <c r="Q137" s="311"/>
      <c r="R137" s="311"/>
      <c r="S137" s="311"/>
      <c r="T137" s="311"/>
      <c r="U137" s="311"/>
      <c r="V137" s="311"/>
      <c r="W137" s="311"/>
      <c r="X137" s="311"/>
      <c r="Y137" s="311"/>
      <c r="Z137" s="311"/>
      <c r="AA137" s="311"/>
      <c r="AB137" s="311"/>
    </row>
    <row r="138" spans="2:28" ht="22.15" customHeight="1" x14ac:dyDescent="0.35">
      <c r="B138" s="1047" t="s">
        <v>1546</v>
      </c>
      <c r="C138" s="1047"/>
      <c r="D138" s="1047"/>
      <c r="E138" s="1047"/>
      <c r="F138" s="1047"/>
      <c r="G138" s="1047"/>
      <c r="H138" s="1047"/>
      <c r="I138" s="1047"/>
      <c r="J138" s="311"/>
      <c r="K138" s="311"/>
      <c r="L138" s="311"/>
      <c r="M138" s="311"/>
      <c r="N138" s="311"/>
      <c r="O138" s="311"/>
      <c r="P138" s="311"/>
      <c r="Q138" s="311"/>
      <c r="R138" s="311"/>
      <c r="S138" s="311"/>
      <c r="T138" s="311"/>
      <c r="U138" s="311"/>
      <c r="V138" s="311"/>
      <c r="W138" s="311"/>
      <c r="X138" s="311"/>
      <c r="Y138" s="311"/>
      <c r="Z138" s="311"/>
      <c r="AA138" s="311"/>
      <c r="AB138" s="311"/>
    </row>
    <row r="139" spans="2:28" ht="35.5" customHeight="1" x14ac:dyDescent="0.35">
      <c r="B139" s="1047" t="s">
        <v>1547</v>
      </c>
      <c r="C139" s="1047"/>
      <c r="D139" s="1047"/>
      <c r="E139" s="1047"/>
      <c r="F139" s="1047"/>
      <c r="G139" s="1047"/>
      <c r="H139" s="1047"/>
      <c r="I139" s="1047"/>
      <c r="J139" s="311"/>
      <c r="K139" s="311"/>
      <c r="L139" s="311"/>
      <c r="M139" s="311"/>
      <c r="N139" s="311"/>
      <c r="O139" s="311"/>
      <c r="P139" s="311"/>
      <c r="Q139" s="311"/>
      <c r="R139" s="311"/>
      <c r="S139" s="311"/>
      <c r="T139" s="311"/>
      <c r="U139" s="311"/>
      <c r="V139" s="311"/>
      <c r="W139" s="311"/>
      <c r="X139" s="311"/>
      <c r="Y139" s="311"/>
      <c r="Z139" s="311"/>
      <c r="AA139" s="311"/>
      <c r="AB139" s="311"/>
    </row>
    <row r="140" spans="2:28" ht="40.15" customHeight="1" x14ac:dyDescent="0.35">
      <c r="B140" s="1048" t="s">
        <v>1548</v>
      </c>
      <c r="C140" s="1048"/>
      <c r="D140" s="1048"/>
      <c r="E140" s="1048"/>
      <c r="F140" s="1048"/>
      <c r="G140" s="1048"/>
      <c r="H140" s="1048"/>
      <c r="I140" s="1048"/>
      <c r="J140" s="311"/>
      <c r="K140" s="311"/>
      <c r="L140" s="311"/>
      <c r="M140" s="311"/>
      <c r="N140" s="311"/>
      <c r="O140" s="311"/>
      <c r="P140" s="311"/>
      <c r="Q140" s="311"/>
      <c r="R140" s="311"/>
      <c r="S140" s="311"/>
      <c r="T140" s="311"/>
      <c r="U140" s="311"/>
      <c r="V140" s="311"/>
      <c r="W140" s="311"/>
      <c r="X140" s="311"/>
      <c r="Y140" s="311"/>
      <c r="Z140" s="311"/>
      <c r="AA140" s="311"/>
      <c r="AB140" s="311"/>
    </row>
    <row r="141" spans="2:28" ht="18" customHeight="1" x14ac:dyDescent="0.35">
      <c r="B141" s="1048" t="s">
        <v>1549</v>
      </c>
      <c r="C141" s="1048"/>
      <c r="D141" s="1048"/>
      <c r="E141" s="1048"/>
      <c r="F141" s="1048"/>
      <c r="G141" s="1048"/>
      <c r="H141" s="1048"/>
      <c r="I141" s="1048"/>
      <c r="J141" s="311"/>
      <c r="K141" s="311"/>
      <c r="L141" s="311"/>
      <c r="M141" s="311"/>
      <c r="N141" s="311"/>
      <c r="O141" s="311"/>
      <c r="P141" s="311"/>
      <c r="Q141" s="311"/>
      <c r="R141" s="311"/>
      <c r="S141" s="311"/>
      <c r="T141" s="311"/>
      <c r="U141" s="311"/>
      <c r="V141" s="311"/>
      <c r="W141" s="311"/>
      <c r="X141" s="311"/>
      <c r="Y141" s="311"/>
      <c r="Z141" s="311"/>
      <c r="AA141" s="311"/>
      <c r="AB141" s="311"/>
    </row>
    <row r="142" spans="2:28" ht="17.5" x14ac:dyDescent="0.35">
      <c r="B142" s="344" t="s">
        <v>1592</v>
      </c>
      <c r="C142" s="310"/>
      <c r="D142" s="310"/>
      <c r="E142" s="310"/>
      <c r="F142" s="310"/>
      <c r="G142" s="310"/>
      <c r="H142" s="310"/>
      <c r="I142" s="310"/>
      <c r="J142" s="311"/>
      <c r="K142" s="311"/>
      <c r="L142" s="311"/>
      <c r="M142" s="311"/>
      <c r="N142" s="311"/>
      <c r="O142" s="311"/>
      <c r="P142" s="311"/>
      <c r="Q142" s="311"/>
      <c r="R142" s="311"/>
      <c r="S142" s="311"/>
      <c r="T142" s="311"/>
      <c r="U142" s="311"/>
      <c r="V142" s="311"/>
      <c r="W142" s="311"/>
      <c r="X142" s="311"/>
      <c r="Y142" s="311"/>
      <c r="Z142" s="311"/>
      <c r="AA142" s="311"/>
      <c r="AB142" s="311"/>
    </row>
    <row r="143" spans="2:28" x14ac:dyDescent="0.35">
      <c r="B143" s="344" t="s">
        <v>1593</v>
      </c>
      <c r="C143" s="310"/>
      <c r="D143" s="310"/>
      <c r="E143" s="310"/>
      <c r="F143" s="310"/>
      <c r="G143" s="310"/>
      <c r="H143" s="310"/>
      <c r="I143" s="310"/>
      <c r="J143" s="311"/>
      <c r="K143" s="311"/>
      <c r="L143" s="311"/>
      <c r="M143" s="311"/>
      <c r="N143" s="311"/>
      <c r="O143" s="311"/>
      <c r="P143" s="311"/>
      <c r="Q143" s="311"/>
      <c r="R143" s="311"/>
      <c r="S143" s="311"/>
      <c r="T143" s="311"/>
      <c r="U143" s="311"/>
      <c r="V143" s="311"/>
      <c r="W143" s="311"/>
      <c r="X143" s="311"/>
      <c r="Y143" s="311"/>
      <c r="Z143" s="311"/>
      <c r="AA143" s="311"/>
      <c r="AB143" s="311"/>
    </row>
    <row r="144" spans="2:28" ht="17.5" x14ac:dyDescent="0.35">
      <c r="B144" s="344" t="s">
        <v>1594</v>
      </c>
      <c r="C144" s="310"/>
      <c r="D144" s="310"/>
      <c r="E144" s="310"/>
      <c r="F144" s="310"/>
      <c r="G144" s="310"/>
      <c r="H144" s="310"/>
      <c r="I144" s="310"/>
      <c r="J144" s="311"/>
      <c r="K144" s="311"/>
      <c r="L144" s="311"/>
      <c r="M144" s="311"/>
      <c r="N144" s="311"/>
      <c r="O144" s="311"/>
      <c r="P144" s="311"/>
      <c r="Q144" s="311"/>
      <c r="R144" s="311"/>
      <c r="S144" s="311"/>
      <c r="T144" s="311"/>
      <c r="U144" s="311"/>
      <c r="V144" s="311"/>
      <c r="W144" s="311"/>
      <c r="X144" s="311"/>
      <c r="Y144" s="311"/>
      <c r="Z144" s="311"/>
      <c r="AA144" s="311"/>
      <c r="AB144" s="311"/>
    </row>
    <row r="145" spans="1:28" x14ac:dyDescent="0.35">
      <c r="B145" s="344"/>
      <c r="C145" s="310"/>
      <c r="D145" s="310"/>
      <c r="E145" s="310"/>
      <c r="F145" s="310"/>
      <c r="G145" s="310"/>
      <c r="H145" s="310"/>
      <c r="I145" s="310"/>
      <c r="J145" s="311"/>
      <c r="K145" s="311"/>
      <c r="L145" s="311"/>
      <c r="M145" s="311"/>
      <c r="N145" s="311"/>
      <c r="O145" s="311"/>
      <c r="P145" s="311"/>
      <c r="Q145" s="311"/>
      <c r="R145" s="311"/>
      <c r="S145" s="311"/>
      <c r="T145" s="311"/>
      <c r="U145" s="311"/>
      <c r="V145" s="311"/>
      <c r="W145" s="311"/>
      <c r="X145" s="311"/>
      <c r="Y145" s="311"/>
      <c r="Z145" s="311"/>
      <c r="AA145" s="311"/>
      <c r="AB145" s="311"/>
    </row>
    <row r="146" spans="1:28" x14ac:dyDescent="0.35"/>
    <row r="147" spans="1:28" x14ac:dyDescent="0.35">
      <c r="B147" s="169" t="s">
        <v>1201</v>
      </c>
    </row>
    <row r="148" spans="1:28" ht="84" customHeight="1" x14ac:dyDescent="0.35">
      <c r="A148" s="314"/>
      <c r="B148" s="184" t="s">
        <v>691</v>
      </c>
      <c r="C148" s="184" t="s">
        <v>1194</v>
      </c>
      <c r="D148" s="184" t="s">
        <v>1202</v>
      </c>
      <c r="E148" s="184" t="s">
        <v>1197</v>
      </c>
      <c r="F148" s="184" t="s">
        <v>1199</v>
      </c>
      <c r="G148" s="184" t="s">
        <v>1196</v>
      </c>
      <c r="H148" s="184" t="s">
        <v>1589</v>
      </c>
      <c r="I148" s="257" t="s">
        <v>1591</v>
      </c>
      <c r="J148" s="184" t="s">
        <v>1200</v>
      </c>
      <c r="Q148" s="346"/>
    </row>
    <row r="149" spans="1:28" s="578" customFormat="1" ht="119.5" customHeight="1" x14ac:dyDescent="0.35">
      <c r="A149" s="317" t="s">
        <v>39</v>
      </c>
      <c r="B149" s="576" t="s">
        <v>36</v>
      </c>
      <c r="C149" s="576" t="s">
        <v>1195</v>
      </c>
      <c r="D149" s="576" t="s">
        <v>1203</v>
      </c>
      <c r="E149" s="576" t="s">
        <v>1204</v>
      </c>
      <c r="F149" s="836">
        <v>1000</v>
      </c>
      <c r="G149" s="577" t="s">
        <v>1198</v>
      </c>
      <c r="H149" s="836">
        <v>750</v>
      </c>
      <c r="I149" s="577" t="s">
        <v>1590</v>
      </c>
      <c r="J149" s="836">
        <f>F149-H149</f>
        <v>250</v>
      </c>
      <c r="Q149" s="620"/>
    </row>
    <row r="150" spans="1:28" x14ac:dyDescent="0.35">
      <c r="B150" s="624"/>
      <c r="C150" s="625"/>
      <c r="D150" s="624"/>
      <c r="E150" s="624"/>
      <c r="F150" s="838"/>
      <c r="G150" s="626"/>
      <c r="H150" s="838"/>
      <c r="I150" s="626"/>
      <c r="J150" s="954">
        <f>IFERROR(F150-H150,"")</f>
        <v>0</v>
      </c>
      <c r="Q150" s="621"/>
    </row>
    <row r="151" spans="1:28" x14ac:dyDescent="0.35">
      <c r="B151" s="624"/>
      <c r="C151" s="625"/>
      <c r="D151" s="624"/>
      <c r="E151" s="624"/>
      <c r="F151" s="838"/>
      <c r="G151" s="626"/>
      <c r="H151" s="838"/>
      <c r="I151" s="626"/>
      <c r="J151" s="954">
        <f t="shared" ref="J151:J214" si="4">IFERROR(F151-H151,"")</f>
        <v>0</v>
      </c>
      <c r="Q151" s="621"/>
    </row>
    <row r="152" spans="1:28" x14ac:dyDescent="0.35">
      <c r="B152" s="624"/>
      <c r="C152" s="625"/>
      <c r="D152" s="624"/>
      <c r="E152" s="624"/>
      <c r="F152" s="838"/>
      <c r="G152" s="626"/>
      <c r="H152" s="838"/>
      <c r="I152" s="626"/>
      <c r="J152" s="954">
        <f t="shared" si="4"/>
        <v>0</v>
      </c>
      <c r="Q152" s="621"/>
    </row>
    <row r="153" spans="1:28" x14ac:dyDescent="0.35">
      <c r="B153" s="624"/>
      <c r="C153" s="625"/>
      <c r="D153" s="624"/>
      <c r="E153" s="624"/>
      <c r="F153" s="838"/>
      <c r="G153" s="626"/>
      <c r="H153" s="838"/>
      <c r="I153" s="626"/>
      <c r="J153" s="954">
        <f t="shared" si="4"/>
        <v>0</v>
      </c>
      <c r="Q153" s="621"/>
    </row>
    <row r="154" spans="1:28" x14ac:dyDescent="0.35">
      <c r="B154" s="624"/>
      <c r="C154" s="625"/>
      <c r="D154" s="624"/>
      <c r="E154" s="624"/>
      <c r="F154" s="838"/>
      <c r="G154" s="626"/>
      <c r="H154" s="838"/>
      <c r="I154" s="626"/>
      <c r="J154" s="954">
        <f t="shared" si="4"/>
        <v>0</v>
      </c>
      <c r="Q154" s="621"/>
    </row>
    <row r="155" spans="1:28" x14ac:dyDescent="0.35">
      <c r="B155" s="624"/>
      <c r="C155" s="625"/>
      <c r="D155" s="624"/>
      <c r="E155" s="624"/>
      <c r="F155" s="838"/>
      <c r="G155" s="626"/>
      <c r="H155" s="838"/>
      <c r="I155" s="626"/>
      <c r="J155" s="954">
        <f t="shared" si="4"/>
        <v>0</v>
      </c>
      <c r="Q155" s="621"/>
    </row>
    <row r="156" spans="1:28" x14ac:dyDescent="0.35">
      <c r="B156" s="624"/>
      <c r="C156" s="625"/>
      <c r="D156" s="624"/>
      <c r="E156" s="624"/>
      <c r="F156" s="838"/>
      <c r="G156" s="626"/>
      <c r="H156" s="838"/>
      <c r="I156" s="626"/>
      <c r="J156" s="954">
        <f t="shared" si="4"/>
        <v>0</v>
      </c>
      <c r="Q156" s="621"/>
    </row>
    <row r="157" spans="1:28" x14ac:dyDescent="0.35">
      <c r="B157" s="624"/>
      <c r="C157" s="625"/>
      <c r="D157" s="624"/>
      <c r="E157" s="624"/>
      <c r="F157" s="838"/>
      <c r="G157" s="626"/>
      <c r="H157" s="838"/>
      <c r="I157" s="626"/>
      <c r="J157" s="954">
        <f t="shared" si="4"/>
        <v>0</v>
      </c>
      <c r="Q157" s="621"/>
    </row>
    <row r="158" spans="1:28" x14ac:dyDescent="0.35">
      <c r="B158" s="624"/>
      <c r="C158" s="625"/>
      <c r="D158" s="624"/>
      <c r="E158" s="624"/>
      <c r="F158" s="838"/>
      <c r="G158" s="626"/>
      <c r="H158" s="838"/>
      <c r="I158" s="626"/>
      <c r="J158" s="954">
        <f t="shared" si="4"/>
        <v>0</v>
      </c>
      <c r="Q158" s="621"/>
    </row>
    <row r="159" spans="1:28" x14ac:dyDescent="0.35">
      <c r="B159" s="624"/>
      <c r="C159" s="625"/>
      <c r="D159" s="624"/>
      <c r="E159" s="624"/>
      <c r="F159" s="838"/>
      <c r="G159" s="626"/>
      <c r="H159" s="838"/>
      <c r="I159" s="626"/>
      <c r="J159" s="954">
        <f t="shared" si="4"/>
        <v>0</v>
      </c>
      <c r="Q159" s="621"/>
    </row>
    <row r="160" spans="1:28" x14ac:dyDescent="0.35">
      <c r="B160" s="624"/>
      <c r="C160" s="625"/>
      <c r="D160" s="624"/>
      <c r="E160" s="624"/>
      <c r="F160" s="838"/>
      <c r="G160" s="626"/>
      <c r="H160" s="838"/>
      <c r="I160" s="626"/>
      <c r="J160" s="954">
        <f t="shared" si="4"/>
        <v>0</v>
      </c>
      <c r="Q160" s="621"/>
    </row>
    <row r="161" spans="2:17" hidden="1" outlineLevel="1" x14ac:dyDescent="0.35">
      <c r="B161" s="624"/>
      <c r="C161" s="625"/>
      <c r="D161" s="624"/>
      <c r="E161" s="624"/>
      <c r="F161" s="838"/>
      <c r="G161" s="626"/>
      <c r="H161" s="838"/>
      <c r="I161" s="626"/>
      <c r="J161" s="954">
        <f t="shared" si="4"/>
        <v>0</v>
      </c>
      <c r="Q161" s="621"/>
    </row>
    <row r="162" spans="2:17" hidden="1" outlineLevel="1" x14ac:dyDescent="0.35">
      <c r="B162" s="624"/>
      <c r="C162" s="625"/>
      <c r="D162" s="624"/>
      <c r="E162" s="624"/>
      <c r="F162" s="838"/>
      <c r="G162" s="626"/>
      <c r="H162" s="838"/>
      <c r="I162" s="626"/>
      <c r="J162" s="954">
        <f t="shared" si="4"/>
        <v>0</v>
      </c>
      <c r="Q162" s="621"/>
    </row>
    <row r="163" spans="2:17" hidden="1" outlineLevel="1" x14ac:dyDescent="0.35">
      <c r="B163" s="624"/>
      <c r="C163" s="625"/>
      <c r="D163" s="624"/>
      <c r="E163" s="624"/>
      <c r="F163" s="838"/>
      <c r="G163" s="626"/>
      <c r="H163" s="838"/>
      <c r="I163" s="626"/>
      <c r="J163" s="954">
        <f t="shared" si="4"/>
        <v>0</v>
      </c>
      <c r="Q163" s="621"/>
    </row>
    <row r="164" spans="2:17" hidden="1" outlineLevel="1" x14ac:dyDescent="0.35">
      <c r="B164" s="624"/>
      <c r="C164" s="625"/>
      <c r="D164" s="624"/>
      <c r="E164" s="624"/>
      <c r="F164" s="838"/>
      <c r="G164" s="626"/>
      <c r="H164" s="838"/>
      <c r="I164" s="626"/>
      <c r="J164" s="954">
        <f t="shared" si="4"/>
        <v>0</v>
      </c>
      <c r="Q164" s="621"/>
    </row>
    <row r="165" spans="2:17" hidden="1" outlineLevel="1" x14ac:dyDescent="0.35">
      <c r="B165" s="624"/>
      <c r="C165" s="625"/>
      <c r="D165" s="624"/>
      <c r="E165" s="624"/>
      <c r="F165" s="838"/>
      <c r="G165" s="626"/>
      <c r="H165" s="838"/>
      <c r="I165" s="626"/>
      <c r="J165" s="954">
        <f t="shared" si="4"/>
        <v>0</v>
      </c>
      <c r="Q165" s="621"/>
    </row>
    <row r="166" spans="2:17" hidden="1" outlineLevel="1" x14ac:dyDescent="0.35">
      <c r="B166" s="624"/>
      <c r="C166" s="625"/>
      <c r="D166" s="624"/>
      <c r="E166" s="624"/>
      <c r="F166" s="838"/>
      <c r="G166" s="626"/>
      <c r="H166" s="838"/>
      <c r="I166" s="626"/>
      <c r="J166" s="954">
        <f t="shared" si="4"/>
        <v>0</v>
      </c>
      <c r="Q166" s="621"/>
    </row>
    <row r="167" spans="2:17" hidden="1" outlineLevel="1" x14ac:dyDescent="0.35">
      <c r="B167" s="624"/>
      <c r="C167" s="625"/>
      <c r="D167" s="624"/>
      <c r="E167" s="624"/>
      <c r="F167" s="838"/>
      <c r="G167" s="626"/>
      <c r="H167" s="838"/>
      <c r="I167" s="626"/>
      <c r="J167" s="954">
        <f t="shared" si="4"/>
        <v>0</v>
      </c>
      <c r="Q167" s="621"/>
    </row>
    <row r="168" spans="2:17" hidden="1" outlineLevel="1" x14ac:dyDescent="0.35">
      <c r="B168" s="624"/>
      <c r="C168" s="625"/>
      <c r="D168" s="624"/>
      <c r="E168" s="624"/>
      <c r="F168" s="838"/>
      <c r="G168" s="626"/>
      <c r="H168" s="838"/>
      <c r="I168" s="626"/>
      <c r="J168" s="954">
        <f t="shared" si="4"/>
        <v>0</v>
      </c>
      <c r="Q168" s="621"/>
    </row>
    <row r="169" spans="2:17" hidden="1" outlineLevel="1" x14ac:dyDescent="0.35">
      <c r="B169" s="624"/>
      <c r="C169" s="625"/>
      <c r="D169" s="624"/>
      <c r="E169" s="624"/>
      <c r="F169" s="838"/>
      <c r="G169" s="626"/>
      <c r="H169" s="838"/>
      <c r="I169" s="626"/>
      <c r="J169" s="954">
        <f t="shared" si="4"/>
        <v>0</v>
      </c>
      <c r="Q169" s="621"/>
    </row>
    <row r="170" spans="2:17" hidden="1" outlineLevel="1" x14ac:dyDescent="0.35">
      <c r="B170" s="624"/>
      <c r="C170" s="625"/>
      <c r="D170" s="624"/>
      <c r="E170" s="624"/>
      <c r="F170" s="838"/>
      <c r="G170" s="626"/>
      <c r="H170" s="838"/>
      <c r="I170" s="626"/>
      <c r="J170" s="954">
        <f t="shared" si="4"/>
        <v>0</v>
      </c>
      <c r="Q170" s="621"/>
    </row>
    <row r="171" spans="2:17" hidden="1" outlineLevel="1" x14ac:dyDescent="0.35">
      <c r="B171" s="624"/>
      <c r="C171" s="625"/>
      <c r="D171" s="624"/>
      <c r="E171" s="624"/>
      <c r="F171" s="838"/>
      <c r="G171" s="626"/>
      <c r="H171" s="838"/>
      <c r="I171" s="626"/>
      <c r="J171" s="954">
        <f t="shared" si="4"/>
        <v>0</v>
      </c>
      <c r="Q171" s="621"/>
    </row>
    <row r="172" spans="2:17" hidden="1" outlineLevel="1" x14ac:dyDescent="0.35">
      <c r="B172" s="624"/>
      <c r="C172" s="625"/>
      <c r="D172" s="624"/>
      <c r="E172" s="624"/>
      <c r="F172" s="838"/>
      <c r="G172" s="626"/>
      <c r="H172" s="838"/>
      <c r="I172" s="626"/>
      <c r="J172" s="954">
        <f t="shared" si="4"/>
        <v>0</v>
      </c>
      <c r="Q172" s="621"/>
    </row>
    <row r="173" spans="2:17" hidden="1" outlineLevel="1" x14ac:dyDescent="0.35">
      <c r="B173" s="624"/>
      <c r="C173" s="625"/>
      <c r="D173" s="624"/>
      <c r="E173" s="624"/>
      <c r="F173" s="838"/>
      <c r="G173" s="626"/>
      <c r="H173" s="838"/>
      <c r="I173" s="626"/>
      <c r="J173" s="954">
        <f t="shared" si="4"/>
        <v>0</v>
      </c>
      <c r="Q173" s="621"/>
    </row>
    <row r="174" spans="2:17" hidden="1" outlineLevel="1" x14ac:dyDescent="0.35">
      <c r="B174" s="624"/>
      <c r="C174" s="625"/>
      <c r="D174" s="624"/>
      <c r="E174" s="624"/>
      <c r="F174" s="838"/>
      <c r="G174" s="626"/>
      <c r="H174" s="838"/>
      <c r="I174" s="626"/>
      <c r="J174" s="954">
        <f t="shared" si="4"/>
        <v>0</v>
      </c>
      <c r="Q174" s="621"/>
    </row>
    <row r="175" spans="2:17" hidden="1" outlineLevel="1" x14ac:dyDescent="0.35">
      <c r="B175" s="624"/>
      <c r="C175" s="625"/>
      <c r="D175" s="624"/>
      <c r="E175" s="624"/>
      <c r="F175" s="838"/>
      <c r="G175" s="626"/>
      <c r="H175" s="838"/>
      <c r="I175" s="626"/>
      <c r="J175" s="954">
        <f t="shared" si="4"/>
        <v>0</v>
      </c>
      <c r="Q175" s="621"/>
    </row>
    <row r="176" spans="2:17" hidden="1" outlineLevel="1" x14ac:dyDescent="0.35">
      <c r="B176" s="624"/>
      <c r="C176" s="625"/>
      <c r="D176" s="624"/>
      <c r="E176" s="624"/>
      <c r="F176" s="838"/>
      <c r="G176" s="626"/>
      <c r="H176" s="838"/>
      <c r="I176" s="626"/>
      <c r="J176" s="954">
        <f t="shared" si="4"/>
        <v>0</v>
      </c>
      <c r="Q176" s="621"/>
    </row>
    <row r="177" spans="2:17" hidden="1" outlineLevel="1" x14ac:dyDescent="0.35">
      <c r="B177" s="624"/>
      <c r="C177" s="625"/>
      <c r="D177" s="624"/>
      <c r="E177" s="624"/>
      <c r="F177" s="838"/>
      <c r="G177" s="626"/>
      <c r="H177" s="838"/>
      <c r="I177" s="626"/>
      <c r="J177" s="954">
        <f t="shared" si="4"/>
        <v>0</v>
      </c>
      <c r="Q177" s="621"/>
    </row>
    <row r="178" spans="2:17" hidden="1" outlineLevel="1" x14ac:dyDescent="0.35">
      <c r="B178" s="624"/>
      <c r="C178" s="625"/>
      <c r="D178" s="624"/>
      <c r="E178" s="624"/>
      <c r="F178" s="838"/>
      <c r="G178" s="626"/>
      <c r="H178" s="838"/>
      <c r="I178" s="626"/>
      <c r="J178" s="954">
        <f t="shared" si="4"/>
        <v>0</v>
      </c>
      <c r="Q178" s="621"/>
    </row>
    <row r="179" spans="2:17" hidden="1" outlineLevel="1" x14ac:dyDescent="0.35">
      <c r="B179" s="624"/>
      <c r="C179" s="625"/>
      <c r="D179" s="624"/>
      <c r="E179" s="624"/>
      <c r="F179" s="838"/>
      <c r="G179" s="626"/>
      <c r="H179" s="838"/>
      <c r="I179" s="626"/>
      <c r="J179" s="954">
        <f t="shared" si="4"/>
        <v>0</v>
      </c>
      <c r="Q179" s="621"/>
    </row>
    <row r="180" spans="2:17" hidden="1" outlineLevel="1" x14ac:dyDescent="0.35">
      <c r="B180" s="624"/>
      <c r="C180" s="625"/>
      <c r="D180" s="624"/>
      <c r="E180" s="624"/>
      <c r="F180" s="838"/>
      <c r="G180" s="626"/>
      <c r="H180" s="838"/>
      <c r="I180" s="626"/>
      <c r="J180" s="954">
        <f t="shared" si="4"/>
        <v>0</v>
      </c>
      <c r="Q180" s="621"/>
    </row>
    <row r="181" spans="2:17" hidden="1" outlineLevel="1" x14ac:dyDescent="0.35">
      <c r="B181" s="624"/>
      <c r="C181" s="625"/>
      <c r="D181" s="624"/>
      <c r="E181" s="624"/>
      <c r="F181" s="838"/>
      <c r="G181" s="626"/>
      <c r="H181" s="838"/>
      <c r="I181" s="626"/>
      <c r="J181" s="954">
        <f t="shared" si="4"/>
        <v>0</v>
      </c>
      <c r="Q181" s="621"/>
    </row>
    <row r="182" spans="2:17" hidden="1" outlineLevel="1" x14ac:dyDescent="0.35">
      <c r="B182" s="624"/>
      <c r="C182" s="625"/>
      <c r="D182" s="624"/>
      <c r="E182" s="624"/>
      <c r="F182" s="838"/>
      <c r="G182" s="626"/>
      <c r="H182" s="838"/>
      <c r="I182" s="626"/>
      <c r="J182" s="954">
        <f t="shared" si="4"/>
        <v>0</v>
      </c>
      <c r="Q182" s="621"/>
    </row>
    <row r="183" spans="2:17" hidden="1" outlineLevel="1" x14ac:dyDescent="0.35">
      <c r="B183" s="624"/>
      <c r="C183" s="625"/>
      <c r="D183" s="624"/>
      <c r="E183" s="624"/>
      <c r="F183" s="838"/>
      <c r="G183" s="626"/>
      <c r="H183" s="838"/>
      <c r="I183" s="626"/>
      <c r="J183" s="954">
        <f t="shared" si="4"/>
        <v>0</v>
      </c>
      <c r="Q183" s="621"/>
    </row>
    <row r="184" spans="2:17" hidden="1" outlineLevel="1" x14ac:dyDescent="0.35">
      <c r="B184" s="624"/>
      <c r="C184" s="625"/>
      <c r="D184" s="624"/>
      <c r="E184" s="624"/>
      <c r="F184" s="838"/>
      <c r="G184" s="626"/>
      <c r="H184" s="838"/>
      <c r="I184" s="626"/>
      <c r="J184" s="954">
        <f t="shared" si="4"/>
        <v>0</v>
      </c>
      <c r="Q184" s="621"/>
    </row>
    <row r="185" spans="2:17" hidden="1" outlineLevel="1" x14ac:dyDescent="0.35">
      <c r="B185" s="624"/>
      <c r="C185" s="625"/>
      <c r="D185" s="624"/>
      <c r="E185" s="624"/>
      <c r="F185" s="838"/>
      <c r="G185" s="626"/>
      <c r="H185" s="838"/>
      <c r="I185" s="626"/>
      <c r="J185" s="954">
        <f t="shared" si="4"/>
        <v>0</v>
      </c>
      <c r="Q185" s="621"/>
    </row>
    <row r="186" spans="2:17" hidden="1" outlineLevel="1" x14ac:dyDescent="0.35">
      <c r="B186" s="624"/>
      <c r="C186" s="625"/>
      <c r="D186" s="624"/>
      <c r="E186" s="624"/>
      <c r="F186" s="838"/>
      <c r="G186" s="626"/>
      <c r="H186" s="838"/>
      <c r="I186" s="626"/>
      <c r="J186" s="954">
        <f t="shared" si="4"/>
        <v>0</v>
      </c>
      <c r="Q186" s="621"/>
    </row>
    <row r="187" spans="2:17" hidden="1" outlineLevel="1" x14ac:dyDescent="0.35">
      <c r="B187" s="624"/>
      <c r="C187" s="625"/>
      <c r="D187" s="624"/>
      <c r="E187" s="624"/>
      <c r="F187" s="838"/>
      <c r="G187" s="626"/>
      <c r="H187" s="838"/>
      <c r="I187" s="626"/>
      <c r="J187" s="954">
        <f t="shared" si="4"/>
        <v>0</v>
      </c>
      <c r="Q187" s="621"/>
    </row>
    <row r="188" spans="2:17" hidden="1" outlineLevel="1" x14ac:dyDescent="0.35">
      <c r="B188" s="624"/>
      <c r="C188" s="625"/>
      <c r="D188" s="624"/>
      <c r="E188" s="624"/>
      <c r="F188" s="838"/>
      <c r="G188" s="626"/>
      <c r="H188" s="838"/>
      <c r="I188" s="626"/>
      <c r="J188" s="954">
        <f t="shared" si="4"/>
        <v>0</v>
      </c>
      <c r="Q188" s="621"/>
    </row>
    <row r="189" spans="2:17" hidden="1" outlineLevel="1" x14ac:dyDescent="0.35">
      <c r="B189" s="624"/>
      <c r="C189" s="625"/>
      <c r="D189" s="624"/>
      <c r="E189" s="624"/>
      <c r="F189" s="838"/>
      <c r="G189" s="626"/>
      <c r="H189" s="838"/>
      <c r="I189" s="626"/>
      <c r="J189" s="954">
        <f t="shared" si="4"/>
        <v>0</v>
      </c>
      <c r="Q189" s="621"/>
    </row>
    <row r="190" spans="2:17" hidden="1" outlineLevel="1" x14ac:dyDescent="0.35">
      <c r="B190" s="624"/>
      <c r="C190" s="625"/>
      <c r="D190" s="624"/>
      <c r="E190" s="624"/>
      <c r="F190" s="838"/>
      <c r="G190" s="626"/>
      <c r="H190" s="838"/>
      <c r="I190" s="626"/>
      <c r="J190" s="954">
        <f t="shared" si="4"/>
        <v>0</v>
      </c>
      <c r="Q190" s="621"/>
    </row>
    <row r="191" spans="2:17" hidden="1" outlineLevel="1" x14ac:dyDescent="0.35">
      <c r="B191" s="624"/>
      <c r="C191" s="625"/>
      <c r="D191" s="624"/>
      <c r="E191" s="624"/>
      <c r="F191" s="838"/>
      <c r="G191" s="626"/>
      <c r="H191" s="838"/>
      <c r="I191" s="626"/>
      <c r="J191" s="954">
        <f t="shared" si="4"/>
        <v>0</v>
      </c>
      <c r="Q191" s="621"/>
    </row>
    <row r="192" spans="2:17" hidden="1" outlineLevel="1" x14ac:dyDescent="0.35">
      <c r="B192" s="624"/>
      <c r="C192" s="625"/>
      <c r="D192" s="624"/>
      <c r="E192" s="624"/>
      <c r="F192" s="838"/>
      <c r="G192" s="626"/>
      <c r="H192" s="838"/>
      <c r="I192" s="626"/>
      <c r="J192" s="954">
        <f t="shared" si="4"/>
        <v>0</v>
      </c>
      <c r="Q192" s="621"/>
    </row>
    <row r="193" spans="2:17" hidden="1" outlineLevel="1" x14ac:dyDescent="0.35">
      <c r="B193" s="624"/>
      <c r="C193" s="625"/>
      <c r="D193" s="624"/>
      <c r="E193" s="624"/>
      <c r="F193" s="838"/>
      <c r="G193" s="626"/>
      <c r="H193" s="838"/>
      <c r="I193" s="626"/>
      <c r="J193" s="954">
        <f t="shared" si="4"/>
        <v>0</v>
      </c>
      <c r="Q193" s="621"/>
    </row>
    <row r="194" spans="2:17" hidden="1" outlineLevel="1" x14ac:dyDescent="0.35">
      <c r="B194" s="624"/>
      <c r="C194" s="625"/>
      <c r="D194" s="624"/>
      <c r="E194" s="624"/>
      <c r="F194" s="838"/>
      <c r="G194" s="626"/>
      <c r="H194" s="838"/>
      <c r="I194" s="626"/>
      <c r="J194" s="954">
        <f t="shared" si="4"/>
        <v>0</v>
      </c>
      <c r="Q194" s="621"/>
    </row>
    <row r="195" spans="2:17" hidden="1" outlineLevel="1" x14ac:dyDescent="0.35">
      <c r="B195" s="624"/>
      <c r="C195" s="625"/>
      <c r="D195" s="624"/>
      <c r="E195" s="624"/>
      <c r="F195" s="838"/>
      <c r="G195" s="626"/>
      <c r="H195" s="838"/>
      <c r="I195" s="626"/>
      <c r="J195" s="954">
        <f t="shared" si="4"/>
        <v>0</v>
      </c>
      <c r="Q195" s="621"/>
    </row>
    <row r="196" spans="2:17" hidden="1" outlineLevel="1" x14ac:dyDescent="0.35">
      <c r="B196" s="624"/>
      <c r="C196" s="625"/>
      <c r="D196" s="624"/>
      <c r="E196" s="624"/>
      <c r="F196" s="838"/>
      <c r="G196" s="626"/>
      <c r="H196" s="838"/>
      <c r="I196" s="626"/>
      <c r="J196" s="954">
        <f t="shared" si="4"/>
        <v>0</v>
      </c>
      <c r="Q196" s="621"/>
    </row>
    <row r="197" spans="2:17" hidden="1" outlineLevel="1" x14ac:dyDescent="0.35">
      <c r="B197" s="624"/>
      <c r="C197" s="625"/>
      <c r="D197" s="624"/>
      <c r="E197" s="624"/>
      <c r="F197" s="838"/>
      <c r="G197" s="626"/>
      <c r="H197" s="838"/>
      <c r="I197" s="626"/>
      <c r="J197" s="954">
        <f t="shared" si="4"/>
        <v>0</v>
      </c>
      <c r="Q197" s="621"/>
    </row>
    <row r="198" spans="2:17" hidden="1" outlineLevel="1" x14ac:dyDescent="0.35">
      <c r="B198" s="624"/>
      <c r="C198" s="625"/>
      <c r="D198" s="624"/>
      <c r="E198" s="624"/>
      <c r="F198" s="838"/>
      <c r="G198" s="626"/>
      <c r="H198" s="838"/>
      <c r="I198" s="626"/>
      <c r="J198" s="954">
        <f t="shared" si="4"/>
        <v>0</v>
      </c>
      <c r="Q198" s="621"/>
    </row>
    <row r="199" spans="2:17" hidden="1" outlineLevel="1" x14ac:dyDescent="0.35">
      <c r="B199" s="624"/>
      <c r="C199" s="625"/>
      <c r="D199" s="624"/>
      <c r="E199" s="624"/>
      <c r="F199" s="838"/>
      <c r="G199" s="626"/>
      <c r="H199" s="838"/>
      <c r="I199" s="626"/>
      <c r="J199" s="954">
        <f t="shared" si="4"/>
        <v>0</v>
      </c>
      <c r="Q199" s="621"/>
    </row>
    <row r="200" spans="2:17" hidden="1" outlineLevel="1" x14ac:dyDescent="0.35">
      <c r="B200" s="624"/>
      <c r="C200" s="625"/>
      <c r="D200" s="624"/>
      <c r="E200" s="624"/>
      <c r="F200" s="838"/>
      <c r="G200" s="626"/>
      <c r="H200" s="838"/>
      <c r="I200" s="626"/>
      <c r="J200" s="954">
        <f t="shared" si="4"/>
        <v>0</v>
      </c>
      <c r="Q200" s="621"/>
    </row>
    <row r="201" spans="2:17" hidden="1" outlineLevel="1" x14ac:dyDescent="0.35">
      <c r="B201" s="624"/>
      <c r="C201" s="625"/>
      <c r="D201" s="624"/>
      <c r="E201" s="624"/>
      <c r="F201" s="838"/>
      <c r="G201" s="626"/>
      <c r="H201" s="838"/>
      <c r="I201" s="626"/>
      <c r="J201" s="954">
        <f t="shared" si="4"/>
        <v>0</v>
      </c>
      <c r="Q201" s="621"/>
    </row>
    <row r="202" spans="2:17" hidden="1" outlineLevel="1" x14ac:dyDescent="0.35">
      <c r="B202" s="624"/>
      <c r="C202" s="625"/>
      <c r="D202" s="624"/>
      <c r="E202" s="624"/>
      <c r="F202" s="838"/>
      <c r="G202" s="626"/>
      <c r="H202" s="838"/>
      <c r="I202" s="626"/>
      <c r="J202" s="954">
        <f t="shared" si="4"/>
        <v>0</v>
      </c>
      <c r="Q202" s="621"/>
    </row>
    <row r="203" spans="2:17" hidden="1" outlineLevel="1" x14ac:dyDescent="0.35">
      <c r="B203" s="624"/>
      <c r="C203" s="625"/>
      <c r="D203" s="624"/>
      <c r="E203" s="624"/>
      <c r="F203" s="838"/>
      <c r="G203" s="626"/>
      <c r="H203" s="838"/>
      <c r="I203" s="626"/>
      <c r="J203" s="954">
        <f t="shared" si="4"/>
        <v>0</v>
      </c>
      <c r="Q203" s="621"/>
    </row>
    <row r="204" spans="2:17" hidden="1" outlineLevel="1" x14ac:dyDescent="0.35">
      <c r="B204" s="624"/>
      <c r="C204" s="625"/>
      <c r="D204" s="624"/>
      <c r="E204" s="624"/>
      <c r="F204" s="838"/>
      <c r="G204" s="626"/>
      <c r="H204" s="838"/>
      <c r="I204" s="626"/>
      <c r="J204" s="954">
        <f t="shared" si="4"/>
        <v>0</v>
      </c>
      <c r="Q204" s="621"/>
    </row>
    <row r="205" spans="2:17" hidden="1" outlineLevel="1" x14ac:dyDescent="0.35">
      <c r="B205" s="624"/>
      <c r="C205" s="625"/>
      <c r="D205" s="624"/>
      <c r="E205" s="624"/>
      <c r="F205" s="838"/>
      <c r="G205" s="626"/>
      <c r="H205" s="838"/>
      <c r="I205" s="626"/>
      <c r="J205" s="954">
        <f t="shared" si="4"/>
        <v>0</v>
      </c>
      <c r="Q205" s="621"/>
    </row>
    <row r="206" spans="2:17" hidden="1" outlineLevel="1" x14ac:dyDescent="0.35">
      <c r="B206" s="624"/>
      <c r="C206" s="625"/>
      <c r="D206" s="624"/>
      <c r="E206" s="624"/>
      <c r="F206" s="838"/>
      <c r="G206" s="626"/>
      <c r="H206" s="838"/>
      <c r="I206" s="626"/>
      <c r="J206" s="954">
        <f t="shared" si="4"/>
        <v>0</v>
      </c>
      <c r="Q206" s="621"/>
    </row>
    <row r="207" spans="2:17" hidden="1" outlineLevel="1" x14ac:dyDescent="0.35">
      <c r="B207" s="624"/>
      <c r="C207" s="625"/>
      <c r="D207" s="624"/>
      <c r="E207" s="624"/>
      <c r="F207" s="838"/>
      <c r="G207" s="626"/>
      <c r="H207" s="838"/>
      <c r="I207" s="626"/>
      <c r="J207" s="954">
        <f t="shared" si="4"/>
        <v>0</v>
      </c>
      <c r="Q207" s="621"/>
    </row>
    <row r="208" spans="2:17" hidden="1" outlineLevel="1" x14ac:dyDescent="0.35">
      <c r="B208" s="624"/>
      <c r="C208" s="625"/>
      <c r="D208" s="624"/>
      <c r="E208" s="624"/>
      <c r="F208" s="838"/>
      <c r="G208" s="626"/>
      <c r="H208" s="838"/>
      <c r="I208" s="626"/>
      <c r="J208" s="954">
        <f t="shared" si="4"/>
        <v>0</v>
      </c>
      <c r="Q208" s="621"/>
    </row>
    <row r="209" spans="2:17" hidden="1" outlineLevel="1" x14ac:dyDescent="0.35">
      <c r="B209" s="624"/>
      <c r="C209" s="625"/>
      <c r="D209" s="624"/>
      <c r="E209" s="624"/>
      <c r="F209" s="838"/>
      <c r="G209" s="626"/>
      <c r="H209" s="838"/>
      <c r="I209" s="626"/>
      <c r="J209" s="954">
        <f t="shared" si="4"/>
        <v>0</v>
      </c>
      <c r="Q209" s="621"/>
    </row>
    <row r="210" spans="2:17" hidden="1" outlineLevel="1" x14ac:dyDescent="0.35">
      <c r="B210" s="624"/>
      <c r="C210" s="625"/>
      <c r="D210" s="624"/>
      <c r="E210" s="624"/>
      <c r="F210" s="838"/>
      <c r="G210" s="626"/>
      <c r="H210" s="838"/>
      <c r="I210" s="626"/>
      <c r="J210" s="954">
        <f t="shared" si="4"/>
        <v>0</v>
      </c>
      <c r="Q210" s="621"/>
    </row>
    <row r="211" spans="2:17" hidden="1" outlineLevel="1" x14ac:dyDescent="0.35">
      <c r="B211" s="624"/>
      <c r="C211" s="625"/>
      <c r="D211" s="624"/>
      <c r="E211" s="624"/>
      <c r="F211" s="838"/>
      <c r="G211" s="626"/>
      <c r="H211" s="838"/>
      <c r="I211" s="626"/>
      <c r="J211" s="954">
        <f t="shared" si="4"/>
        <v>0</v>
      </c>
      <c r="Q211" s="621"/>
    </row>
    <row r="212" spans="2:17" hidden="1" outlineLevel="1" x14ac:dyDescent="0.35">
      <c r="B212" s="624"/>
      <c r="C212" s="625"/>
      <c r="D212" s="624"/>
      <c r="E212" s="624"/>
      <c r="F212" s="838"/>
      <c r="G212" s="626"/>
      <c r="H212" s="838"/>
      <c r="I212" s="626"/>
      <c r="J212" s="954">
        <f t="shared" si="4"/>
        <v>0</v>
      </c>
      <c r="Q212" s="621"/>
    </row>
    <row r="213" spans="2:17" hidden="1" outlineLevel="1" x14ac:dyDescent="0.35">
      <c r="B213" s="624"/>
      <c r="C213" s="625"/>
      <c r="D213" s="624"/>
      <c r="E213" s="624"/>
      <c r="F213" s="838"/>
      <c r="G213" s="626"/>
      <c r="H213" s="838"/>
      <c r="I213" s="626"/>
      <c r="J213" s="954">
        <f t="shared" si="4"/>
        <v>0</v>
      </c>
      <c r="Q213" s="621"/>
    </row>
    <row r="214" spans="2:17" hidden="1" outlineLevel="1" x14ac:dyDescent="0.35">
      <c r="B214" s="624"/>
      <c r="C214" s="625"/>
      <c r="D214" s="624"/>
      <c r="E214" s="624"/>
      <c r="F214" s="838"/>
      <c r="G214" s="626"/>
      <c r="H214" s="838"/>
      <c r="I214" s="626"/>
      <c r="J214" s="954">
        <f t="shared" si="4"/>
        <v>0</v>
      </c>
      <c r="Q214" s="621"/>
    </row>
    <row r="215" spans="2:17" hidden="1" outlineLevel="1" x14ac:dyDescent="0.35">
      <c r="B215" s="624"/>
      <c r="C215" s="625"/>
      <c r="D215" s="624"/>
      <c r="E215" s="624"/>
      <c r="F215" s="838"/>
      <c r="G215" s="626"/>
      <c r="H215" s="838"/>
      <c r="I215" s="626"/>
      <c r="J215" s="954">
        <f t="shared" ref="J215:J249" si="5">IFERROR(F215-H215,"")</f>
        <v>0</v>
      </c>
      <c r="Q215" s="621"/>
    </row>
    <row r="216" spans="2:17" hidden="1" outlineLevel="1" x14ac:dyDescent="0.35">
      <c r="B216" s="624"/>
      <c r="C216" s="625"/>
      <c r="D216" s="624"/>
      <c r="E216" s="624"/>
      <c r="F216" s="838"/>
      <c r="G216" s="626"/>
      <c r="H216" s="838"/>
      <c r="I216" s="626"/>
      <c r="J216" s="954">
        <f t="shared" si="5"/>
        <v>0</v>
      </c>
      <c r="Q216" s="621"/>
    </row>
    <row r="217" spans="2:17" hidden="1" outlineLevel="1" x14ac:dyDescent="0.35">
      <c r="B217" s="624"/>
      <c r="C217" s="625"/>
      <c r="D217" s="624"/>
      <c r="E217" s="624"/>
      <c r="F217" s="838"/>
      <c r="G217" s="626"/>
      <c r="H217" s="838"/>
      <c r="I217" s="626"/>
      <c r="J217" s="954">
        <f t="shared" si="5"/>
        <v>0</v>
      </c>
      <c r="Q217" s="621"/>
    </row>
    <row r="218" spans="2:17" hidden="1" outlineLevel="1" x14ac:dyDescent="0.35">
      <c r="B218" s="624"/>
      <c r="C218" s="625"/>
      <c r="D218" s="624"/>
      <c r="E218" s="624"/>
      <c r="F218" s="838"/>
      <c r="G218" s="626"/>
      <c r="H218" s="838"/>
      <c r="I218" s="626"/>
      <c r="J218" s="954">
        <f t="shared" si="5"/>
        <v>0</v>
      </c>
      <c r="Q218" s="621"/>
    </row>
    <row r="219" spans="2:17" hidden="1" outlineLevel="1" x14ac:dyDescent="0.35">
      <c r="B219" s="624"/>
      <c r="C219" s="625"/>
      <c r="D219" s="624"/>
      <c r="E219" s="624"/>
      <c r="F219" s="838"/>
      <c r="G219" s="626"/>
      <c r="H219" s="838"/>
      <c r="I219" s="626"/>
      <c r="J219" s="954">
        <f t="shared" si="5"/>
        <v>0</v>
      </c>
      <c r="Q219" s="621"/>
    </row>
    <row r="220" spans="2:17" hidden="1" outlineLevel="1" x14ac:dyDescent="0.35">
      <c r="B220" s="624"/>
      <c r="C220" s="625"/>
      <c r="D220" s="624"/>
      <c r="E220" s="624"/>
      <c r="F220" s="838"/>
      <c r="G220" s="626"/>
      <c r="H220" s="838"/>
      <c r="I220" s="626"/>
      <c r="J220" s="954">
        <f t="shared" si="5"/>
        <v>0</v>
      </c>
      <c r="Q220" s="621"/>
    </row>
    <row r="221" spans="2:17" hidden="1" outlineLevel="1" x14ac:dyDescent="0.35">
      <c r="B221" s="624"/>
      <c r="C221" s="625"/>
      <c r="D221" s="624"/>
      <c r="E221" s="624"/>
      <c r="F221" s="838"/>
      <c r="G221" s="626"/>
      <c r="H221" s="838"/>
      <c r="I221" s="626"/>
      <c r="J221" s="954">
        <f t="shared" si="5"/>
        <v>0</v>
      </c>
      <c r="Q221" s="621"/>
    </row>
    <row r="222" spans="2:17" hidden="1" outlineLevel="1" x14ac:dyDescent="0.35">
      <c r="B222" s="624"/>
      <c r="C222" s="625"/>
      <c r="D222" s="624"/>
      <c r="E222" s="624"/>
      <c r="F222" s="838"/>
      <c r="G222" s="626"/>
      <c r="H222" s="838"/>
      <c r="I222" s="626"/>
      <c r="J222" s="954">
        <f t="shared" si="5"/>
        <v>0</v>
      </c>
      <c r="Q222" s="621"/>
    </row>
    <row r="223" spans="2:17" hidden="1" outlineLevel="1" x14ac:dyDescent="0.35">
      <c r="B223" s="624"/>
      <c r="C223" s="625"/>
      <c r="D223" s="624"/>
      <c r="E223" s="624"/>
      <c r="F223" s="838"/>
      <c r="G223" s="626"/>
      <c r="H223" s="838"/>
      <c r="I223" s="626"/>
      <c r="J223" s="954">
        <f t="shared" si="5"/>
        <v>0</v>
      </c>
      <c r="Q223" s="621"/>
    </row>
    <row r="224" spans="2:17" hidden="1" outlineLevel="1" x14ac:dyDescent="0.35">
      <c r="B224" s="624"/>
      <c r="C224" s="625"/>
      <c r="D224" s="624"/>
      <c r="E224" s="624"/>
      <c r="F224" s="838"/>
      <c r="G224" s="626"/>
      <c r="H224" s="838"/>
      <c r="I224" s="626"/>
      <c r="J224" s="954">
        <f t="shared" si="5"/>
        <v>0</v>
      </c>
      <c r="Q224" s="621"/>
    </row>
    <row r="225" spans="2:17" hidden="1" outlineLevel="1" x14ac:dyDescent="0.35">
      <c r="B225" s="624"/>
      <c r="C225" s="625"/>
      <c r="D225" s="624"/>
      <c r="E225" s="624"/>
      <c r="F225" s="838"/>
      <c r="G225" s="626"/>
      <c r="H225" s="838"/>
      <c r="I225" s="626"/>
      <c r="J225" s="954">
        <f t="shared" si="5"/>
        <v>0</v>
      </c>
      <c r="Q225" s="621"/>
    </row>
    <row r="226" spans="2:17" hidden="1" outlineLevel="1" x14ac:dyDescent="0.35">
      <c r="B226" s="624"/>
      <c r="C226" s="625"/>
      <c r="D226" s="624"/>
      <c r="E226" s="624"/>
      <c r="F226" s="838"/>
      <c r="G226" s="626"/>
      <c r="H226" s="838"/>
      <c r="I226" s="626"/>
      <c r="J226" s="954">
        <f t="shared" si="5"/>
        <v>0</v>
      </c>
      <c r="Q226" s="621"/>
    </row>
    <row r="227" spans="2:17" hidden="1" outlineLevel="1" x14ac:dyDescent="0.35">
      <c r="B227" s="624"/>
      <c r="C227" s="625"/>
      <c r="D227" s="624"/>
      <c r="E227" s="624"/>
      <c r="F227" s="838"/>
      <c r="G227" s="626"/>
      <c r="H227" s="838"/>
      <c r="I227" s="626"/>
      <c r="J227" s="954">
        <f t="shared" si="5"/>
        <v>0</v>
      </c>
      <c r="Q227" s="621"/>
    </row>
    <row r="228" spans="2:17" hidden="1" outlineLevel="1" x14ac:dyDescent="0.35">
      <c r="B228" s="624"/>
      <c r="C228" s="625"/>
      <c r="D228" s="624"/>
      <c r="E228" s="624"/>
      <c r="F228" s="838"/>
      <c r="G228" s="626"/>
      <c r="H228" s="838"/>
      <c r="I228" s="626"/>
      <c r="J228" s="954">
        <f t="shared" si="5"/>
        <v>0</v>
      </c>
      <c r="Q228" s="621"/>
    </row>
    <row r="229" spans="2:17" hidden="1" outlineLevel="1" x14ac:dyDescent="0.35">
      <c r="B229" s="624"/>
      <c r="C229" s="625"/>
      <c r="D229" s="624"/>
      <c r="E229" s="624"/>
      <c r="F229" s="838"/>
      <c r="G229" s="626"/>
      <c r="H229" s="838"/>
      <c r="I229" s="626"/>
      <c r="J229" s="954">
        <f t="shared" si="5"/>
        <v>0</v>
      </c>
      <c r="Q229" s="621"/>
    </row>
    <row r="230" spans="2:17" hidden="1" outlineLevel="1" x14ac:dyDescent="0.35">
      <c r="B230" s="624"/>
      <c r="C230" s="625"/>
      <c r="D230" s="624"/>
      <c r="E230" s="624"/>
      <c r="F230" s="838"/>
      <c r="G230" s="626"/>
      <c r="H230" s="838"/>
      <c r="I230" s="626"/>
      <c r="J230" s="954">
        <f t="shared" si="5"/>
        <v>0</v>
      </c>
      <c r="Q230" s="621"/>
    </row>
    <row r="231" spans="2:17" hidden="1" outlineLevel="1" x14ac:dyDescent="0.35">
      <c r="B231" s="624"/>
      <c r="C231" s="625"/>
      <c r="D231" s="624"/>
      <c r="E231" s="624"/>
      <c r="F231" s="838"/>
      <c r="G231" s="626"/>
      <c r="H231" s="838"/>
      <c r="I231" s="626"/>
      <c r="J231" s="954">
        <f t="shared" si="5"/>
        <v>0</v>
      </c>
      <c r="Q231" s="621"/>
    </row>
    <row r="232" spans="2:17" hidden="1" outlineLevel="1" x14ac:dyDescent="0.35">
      <c r="B232" s="624"/>
      <c r="C232" s="625"/>
      <c r="D232" s="624"/>
      <c r="E232" s="624"/>
      <c r="F232" s="838"/>
      <c r="G232" s="626"/>
      <c r="H232" s="838"/>
      <c r="I232" s="626"/>
      <c r="J232" s="954">
        <f t="shared" si="5"/>
        <v>0</v>
      </c>
      <c r="Q232" s="621"/>
    </row>
    <row r="233" spans="2:17" hidden="1" outlineLevel="1" x14ac:dyDescent="0.35">
      <c r="B233" s="624"/>
      <c r="C233" s="625"/>
      <c r="D233" s="624"/>
      <c r="E233" s="624"/>
      <c r="F233" s="838"/>
      <c r="G233" s="626"/>
      <c r="H233" s="838"/>
      <c r="I233" s="626"/>
      <c r="J233" s="954">
        <f t="shared" si="5"/>
        <v>0</v>
      </c>
      <c r="Q233" s="621"/>
    </row>
    <row r="234" spans="2:17" hidden="1" outlineLevel="1" x14ac:dyDescent="0.35">
      <c r="B234" s="624"/>
      <c r="C234" s="625"/>
      <c r="D234" s="624"/>
      <c r="E234" s="624"/>
      <c r="F234" s="838"/>
      <c r="G234" s="626"/>
      <c r="H234" s="838"/>
      <c r="I234" s="626"/>
      <c r="J234" s="954">
        <f t="shared" si="5"/>
        <v>0</v>
      </c>
      <c r="Q234" s="621"/>
    </row>
    <row r="235" spans="2:17" hidden="1" outlineLevel="1" x14ac:dyDescent="0.35">
      <c r="B235" s="624"/>
      <c r="C235" s="625"/>
      <c r="D235" s="624"/>
      <c r="E235" s="624"/>
      <c r="F235" s="838"/>
      <c r="G235" s="626"/>
      <c r="H235" s="838"/>
      <c r="I235" s="626"/>
      <c r="J235" s="954">
        <f t="shared" si="5"/>
        <v>0</v>
      </c>
      <c r="Q235" s="621"/>
    </row>
    <row r="236" spans="2:17" hidden="1" outlineLevel="1" x14ac:dyDescent="0.35">
      <c r="B236" s="624"/>
      <c r="C236" s="625"/>
      <c r="D236" s="624"/>
      <c r="E236" s="624"/>
      <c r="F236" s="838"/>
      <c r="G236" s="626"/>
      <c r="H236" s="838"/>
      <c r="I236" s="626"/>
      <c r="J236" s="954">
        <f t="shared" si="5"/>
        <v>0</v>
      </c>
      <c r="Q236" s="621"/>
    </row>
    <row r="237" spans="2:17" hidden="1" outlineLevel="1" x14ac:dyDescent="0.35">
      <c r="B237" s="624"/>
      <c r="C237" s="625"/>
      <c r="D237" s="624"/>
      <c r="E237" s="624"/>
      <c r="F237" s="838"/>
      <c r="G237" s="626"/>
      <c r="H237" s="838"/>
      <c r="I237" s="626"/>
      <c r="J237" s="954">
        <f t="shared" si="5"/>
        <v>0</v>
      </c>
      <c r="Q237" s="621"/>
    </row>
    <row r="238" spans="2:17" hidden="1" outlineLevel="1" x14ac:dyDescent="0.35">
      <c r="B238" s="624"/>
      <c r="C238" s="625"/>
      <c r="D238" s="624"/>
      <c r="E238" s="624"/>
      <c r="F238" s="838"/>
      <c r="G238" s="626"/>
      <c r="H238" s="838"/>
      <c r="I238" s="626"/>
      <c r="J238" s="954">
        <f t="shared" si="5"/>
        <v>0</v>
      </c>
      <c r="Q238" s="621"/>
    </row>
    <row r="239" spans="2:17" hidden="1" outlineLevel="1" x14ac:dyDescent="0.35">
      <c r="B239" s="624"/>
      <c r="C239" s="625"/>
      <c r="D239" s="624"/>
      <c r="E239" s="624"/>
      <c r="F239" s="838"/>
      <c r="G239" s="626"/>
      <c r="H239" s="838"/>
      <c r="I239" s="626"/>
      <c r="J239" s="954">
        <f t="shared" si="5"/>
        <v>0</v>
      </c>
      <c r="Q239" s="621"/>
    </row>
    <row r="240" spans="2:17" hidden="1" outlineLevel="1" x14ac:dyDescent="0.35">
      <c r="B240" s="624"/>
      <c r="C240" s="625"/>
      <c r="D240" s="624"/>
      <c r="E240" s="624"/>
      <c r="F240" s="838"/>
      <c r="G240" s="626"/>
      <c r="H240" s="838"/>
      <c r="I240" s="626"/>
      <c r="J240" s="954">
        <f t="shared" si="5"/>
        <v>0</v>
      </c>
      <c r="Q240" s="621"/>
    </row>
    <row r="241" spans="2:17" hidden="1" outlineLevel="1" x14ac:dyDescent="0.35">
      <c r="B241" s="624"/>
      <c r="C241" s="625"/>
      <c r="D241" s="624"/>
      <c r="E241" s="624"/>
      <c r="F241" s="838"/>
      <c r="G241" s="626"/>
      <c r="H241" s="838"/>
      <c r="I241" s="626"/>
      <c r="J241" s="954">
        <f t="shared" si="5"/>
        <v>0</v>
      </c>
      <c r="Q241" s="621"/>
    </row>
    <row r="242" spans="2:17" hidden="1" outlineLevel="1" x14ac:dyDescent="0.35">
      <c r="B242" s="624"/>
      <c r="C242" s="625"/>
      <c r="D242" s="624"/>
      <c r="E242" s="624"/>
      <c r="F242" s="838"/>
      <c r="G242" s="626"/>
      <c r="H242" s="838"/>
      <c r="I242" s="626"/>
      <c r="J242" s="954">
        <f t="shared" si="5"/>
        <v>0</v>
      </c>
      <c r="Q242" s="621"/>
    </row>
    <row r="243" spans="2:17" hidden="1" outlineLevel="1" x14ac:dyDescent="0.35">
      <c r="B243" s="624"/>
      <c r="C243" s="625"/>
      <c r="D243" s="624"/>
      <c r="E243" s="624"/>
      <c r="F243" s="838"/>
      <c r="G243" s="626"/>
      <c r="H243" s="838"/>
      <c r="I243" s="626"/>
      <c r="J243" s="954">
        <f t="shared" si="5"/>
        <v>0</v>
      </c>
      <c r="Q243" s="621"/>
    </row>
    <row r="244" spans="2:17" hidden="1" outlineLevel="1" x14ac:dyDescent="0.35">
      <c r="B244" s="624"/>
      <c r="C244" s="625"/>
      <c r="D244" s="624"/>
      <c r="E244" s="624"/>
      <c r="F244" s="838"/>
      <c r="G244" s="626"/>
      <c r="H244" s="838"/>
      <c r="I244" s="626"/>
      <c r="J244" s="954">
        <f t="shared" si="5"/>
        <v>0</v>
      </c>
      <c r="Q244" s="621"/>
    </row>
    <row r="245" spans="2:17" hidden="1" outlineLevel="1" x14ac:dyDescent="0.35">
      <c r="B245" s="624"/>
      <c r="C245" s="625"/>
      <c r="D245" s="624"/>
      <c r="E245" s="624"/>
      <c r="F245" s="838"/>
      <c r="G245" s="626"/>
      <c r="H245" s="838"/>
      <c r="I245" s="626"/>
      <c r="J245" s="954">
        <f t="shared" si="5"/>
        <v>0</v>
      </c>
      <c r="Q245" s="621"/>
    </row>
    <row r="246" spans="2:17" hidden="1" outlineLevel="1" x14ac:dyDescent="0.35">
      <c r="B246" s="624"/>
      <c r="C246" s="625"/>
      <c r="D246" s="624"/>
      <c r="E246" s="624"/>
      <c r="F246" s="838"/>
      <c r="G246" s="626"/>
      <c r="H246" s="838"/>
      <c r="I246" s="626"/>
      <c r="J246" s="954">
        <f t="shared" si="5"/>
        <v>0</v>
      </c>
      <c r="Q246" s="621"/>
    </row>
    <row r="247" spans="2:17" hidden="1" outlineLevel="1" x14ac:dyDescent="0.35">
      <c r="B247" s="624"/>
      <c r="C247" s="625"/>
      <c r="D247" s="624"/>
      <c r="E247" s="624"/>
      <c r="F247" s="838"/>
      <c r="G247" s="626"/>
      <c r="H247" s="838"/>
      <c r="I247" s="626"/>
      <c r="J247" s="954">
        <f t="shared" si="5"/>
        <v>0</v>
      </c>
      <c r="Q247" s="621"/>
    </row>
    <row r="248" spans="2:17" hidden="1" outlineLevel="1" x14ac:dyDescent="0.35">
      <c r="B248" s="624"/>
      <c r="C248" s="625"/>
      <c r="D248" s="624"/>
      <c r="E248" s="624"/>
      <c r="F248" s="838"/>
      <c r="G248" s="626"/>
      <c r="H248" s="838"/>
      <c r="I248" s="626"/>
      <c r="J248" s="954">
        <f t="shared" si="5"/>
        <v>0</v>
      </c>
      <c r="Q248" s="621"/>
    </row>
    <row r="249" spans="2:17" hidden="1" outlineLevel="1" x14ac:dyDescent="0.35">
      <c r="B249" s="624"/>
      <c r="C249" s="625"/>
      <c r="D249" s="624"/>
      <c r="E249" s="624"/>
      <c r="F249" s="838"/>
      <c r="G249" s="626"/>
      <c r="H249" s="838"/>
      <c r="I249" s="626"/>
      <c r="J249" s="954">
        <f t="shared" si="5"/>
        <v>0</v>
      </c>
      <c r="Q249" s="621"/>
    </row>
    <row r="250" spans="2:17" collapsed="1" x14ac:dyDescent="0.35">
      <c r="B250" s="278" t="s">
        <v>40</v>
      </c>
      <c r="C250" s="279"/>
      <c r="D250" s="279"/>
      <c r="E250" s="279"/>
      <c r="F250" s="1000">
        <f>SUM(F150:F249)</f>
        <v>0</v>
      </c>
      <c r="G250" s="279"/>
      <c r="H250" s="1002">
        <f>SUM(H150:H249)</f>
        <v>0</v>
      </c>
      <c r="I250" s="347"/>
      <c r="J250" s="1002">
        <f>SUM(J150:J249)</f>
        <v>0</v>
      </c>
      <c r="Q250" s="622"/>
    </row>
    <row r="251" spans="2:17" x14ac:dyDescent="0.35"/>
    <row r="252" spans="2:17" s="538" customFormat="1" ht="30" customHeight="1" x14ac:dyDescent="0.35">
      <c r="B252" s="296" t="s">
        <v>671</v>
      </c>
    </row>
    <row r="253" spans="2:17" x14ac:dyDescent="0.35"/>
    <row r="254" spans="2:17" x14ac:dyDescent="0.35">
      <c r="E254" s="1050" t="s">
        <v>35</v>
      </c>
      <c r="F254" s="1051"/>
      <c r="G254" s="1052"/>
    </row>
    <row r="255" spans="2:17" x14ac:dyDescent="0.35">
      <c r="E255" s="282" t="str">
        <f>FAEV!D9</f>
        <v>Construção ou fase preparatória</v>
      </c>
      <c r="F255" s="283" t="str">
        <f>FAEV!E9</f>
        <v>Exploração</v>
      </c>
      <c r="G255" s="208" t="str">
        <f>FAEV!F9</f>
        <v>Desativação</v>
      </c>
      <c r="H255" s="360" t="s">
        <v>40</v>
      </c>
      <c r="I255" s="623"/>
      <c r="J255" s="623"/>
    </row>
    <row r="256" spans="2:17" ht="25.9" customHeight="1" x14ac:dyDescent="0.35">
      <c r="B256" s="1042" t="s">
        <v>1227</v>
      </c>
      <c r="C256" s="1043"/>
      <c r="D256" s="1053"/>
      <c r="E256" s="839">
        <f>FAEV!D110</f>
        <v>0</v>
      </c>
      <c r="F256" s="839">
        <f>FAEV!E110</f>
        <v>0</v>
      </c>
      <c r="G256" s="839">
        <f>FAEV!F110</f>
        <v>0</v>
      </c>
      <c r="H256" s="840">
        <f>E256+F256+G256</f>
        <v>0</v>
      </c>
    </row>
    <row r="257" spans="2:8" ht="16.899999999999999" customHeight="1" x14ac:dyDescent="0.35">
      <c r="B257" s="1042" t="s">
        <v>1228</v>
      </c>
      <c r="C257" s="1043"/>
      <c r="D257" s="1043"/>
      <c r="E257" s="841"/>
      <c r="F257" s="842"/>
      <c r="G257" s="842"/>
      <c r="H257" s="843">
        <f>J250</f>
        <v>0</v>
      </c>
    </row>
    <row r="258" spans="2:8" x14ac:dyDescent="0.35"/>
    <row r="259" spans="2:8" x14ac:dyDescent="0.35"/>
    <row r="260" spans="2:8" x14ac:dyDescent="0.35"/>
    <row r="261" spans="2:8" x14ac:dyDescent="0.35"/>
    <row r="262" spans="2:8" x14ac:dyDescent="0.35"/>
    <row r="263" spans="2:8" x14ac:dyDescent="0.35"/>
    <row r="264" spans="2:8" x14ac:dyDescent="0.35"/>
    <row r="265" spans="2:8" x14ac:dyDescent="0.35"/>
    <row r="266" spans="2:8" x14ac:dyDescent="0.35"/>
    <row r="267" spans="2:8" x14ac:dyDescent="0.35"/>
    <row r="268" spans="2:8" x14ac:dyDescent="0.35"/>
    <row r="269" spans="2:8" x14ac:dyDescent="0.35"/>
    <row r="270" spans="2:8" x14ac:dyDescent="0.35"/>
    <row r="271" spans="2:8" x14ac:dyDescent="0.35"/>
    <row r="272" spans="2:8" x14ac:dyDescent="0.35"/>
    <row r="273" x14ac:dyDescent="0.35"/>
    <row r="274" x14ac:dyDescent="0.35"/>
    <row r="275" x14ac:dyDescent="0.35"/>
    <row r="276" x14ac:dyDescent="0.35"/>
    <row r="277" x14ac:dyDescent="0.35"/>
    <row r="278" x14ac:dyDescent="0.35"/>
    <row r="279" x14ac:dyDescent="0.35"/>
    <row r="280" x14ac:dyDescent="0.35"/>
    <row r="281" x14ac:dyDescent="0.35"/>
    <row r="282" x14ac:dyDescent="0.35"/>
    <row r="283" x14ac:dyDescent="0.35"/>
    <row r="284" x14ac:dyDescent="0.35"/>
    <row r="285" x14ac:dyDescent="0.35"/>
    <row r="286" x14ac:dyDescent="0.35"/>
    <row r="287" x14ac:dyDescent="0.35"/>
    <row r="288" x14ac:dyDescent="0.35"/>
    <row r="289" x14ac:dyDescent="0.35"/>
    <row r="290" x14ac:dyDescent="0.35"/>
    <row r="291" x14ac:dyDescent="0.35"/>
    <row r="292" x14ac:dyDescent="0.35"/>
    <row r="293" x14ac:dyDescent="0.35"/>
    <row r="294" x14ac:dyDescent="0.35"/>
    <row r="295" x14ac:dyDescent="0.35"/>
    <row r="296" x14ac:dyDescent="0.35"/>
    <row r="297" x14ac:dyDescent="0.35"/>
    <row r="298" x14ac:dyDescent="0.35"/>
    <row r="299" x14ac:dyDescent="0.35"/>
    <row r="300" x14ac:dyDescent="0.35"/>
    <row r="301" x14ac:dyDescent="0.35"/>
    <row r="302" x14ac:dyDescent="0.35"/>
    <row r="303" x14ac:dyDescent="0.35"/>
    <row r="304" x14ac:dyDescent="0.35"/>
    <row r="305" x14ac:dyDescent="0.35"/>
    <row r="306" x14ac:dyDescent="0.35"/>
    <row r="307" x14ac:dyDescent="0.35"/>
    <row r="308" x14ac:dyDescent="0.35"/>
    <row r="309" x14ac:dyDescent="0.35"/>
    <row r="310" x14ac:dyDescent="0.35"/>
    <row r="311" x14ac:dyDescent="0.35"/>
    <row r="312" x14ac:dyDescent="0.35"/>
    <row r="313" x14ac:dyDescent="0.35"/>
    <row r="314" x14ac:dyDescent="0.35"/>
    <row r="315" x14ac:dyDescent="0.35"/>
    <row r="316" x14ac:dyDescent="0.35"/>
    <row r="317" x14ac:dyDescent="0.35"/>
    <row r="318" x14ac:dyDescent="0.35"/>
    <row r="319" x14ac:dyDescent="0.35"/>
  </sheetData>
  <sheetProtection algorithmName="SHA-512" hashValue="C9kHe2pN6UiUpzwREfgbmbt9mfWnzVD1KB5TEM2YGkEuBm3h0kt4dd7TXTCwbrFLySOi+IC5GEk+ShsMmgAF4Q==" saltValue="ur9ysTeVKv1XV6EJ74F1Nw==" spinCount="100000" sheet="1" formatRows="0" selectLockedCells="1"/>
  <mergeCells count="9">
    <mergeCell ref="B257:D257"/>
    <mergeCell ref="G130:I130"/>
    <mergeCell ref="B139:I139"/>
    <mergeCell ref="B140:I140"/>
    <mergeCell ref="D9:J9"/>
    <mergeCell ref="B138:I138"/>
    <mergeCell ref="B141:I141"/>
    <mergeCell ref="E254:G254"/>
    <mergeCell ref="B256:D256"/>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 id="{0FC98D10-D1B3-4427-BB47-19362419309E}">
            <xm:f>Triagem!$C$32=""</xm:f>
            <x14:dxf>
              <font>
                <color rgb="FFFF0000"/>
              </font>
              <fill>
                <patternFill>
                  <bgColor theme="7" tint="0.79998168889431442"/>
                </patternFill>
              </fill>
            </x14:dxf>
          </x14:cfRule>
          <x14:cfRule type="expression" priority="2" id="{B02EA405-8B3C-4344-B3DC-1C7186D3EEFB}">
            <xm:f>Triagem!$C$32="Sim"</xm:f>
            <x14:dxf/>
          </x14:cfRule>
          <x14:cfRule type="expression" priority="3" id="{5F7EB12F-2448-4BF9-863E-C82F83BFAA92}">
            <xm:f>Triagem!$C$32="Não"</xm:f>
            <x14:dxf>
              <font>
                <color theme="2" tint="-0.24994659260841701"/>
              </font>
            </x14:dxf>
          </x14:cfRule>
          <xm:sqref>D9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CE3548F-F765-4690-83C5-4E182F130054}">
          <x14:formula1>
            <xm:f>FACM!$A$13:$A$15</xm:f>
          </x14:formula1>
          <xm:sqref>B29:B129 B149:B249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0209-4D51-44E4-B910-700295DA15A2}">
  <sheetPr codeName="Folha21"/>
  <dimension ref="B8:F111"/>
  <sheetViews>
    <sheetView showGridLines="0" zoomScale="70" zoomScaleNormal="70" workbookViewId="0">
      <selection activeCell="J28" sqref="J28"/>
    </sheetView>
  </sheetViews>
  <sheetFormatPr defaultRowHeight="14.5" x14ac:dyDescent="0.35"/>
  <cols>
    <col min="3" max="3" width="22.7265625" bestFit="1" customWidth="1"/>
    <col min="4" max="4" width="12" bestFit="1" customWidth="1"/>
    <col min="5" max="5" width="11.7265625" bestFit="1" customWidth="1"/>
    <col min="6" max="6" width="13.1796875" bestFit="1" customWidth="1"/>
  </cols>
  <sheetData>
    <row r="8" spans="2:6" x14ac:dyDescent="0.35">
      <c r="C8" s="1"/>
      <c r="D8" s="1142"/>
      <c r="E8" s="1143"/>
      <c r="F8" s="1144"/>
    </row>
    <row r="9" spans="2:6" ht="20" x14ac:dyDescent="0.35">
      <c r="B9" s="57" t="s">
        <v>35</v>
      </c>
      <c r="C9" s="57" t="s">
        <v>1205</v>
      </c>
      <c r="D9" s="23" t="str">
        <f>'Fatores de Emissão'!B12</f>
        <v>Construção ou fase preparatória</v>
      </c>
      <c r="E9" s="24" t="str">
        <f>'Fatores de Emissão'!B13</f>
        <v>Exploração</v>
      </c>
      <c r="F9" s="25" t="str">
        <f>'Fatores de Emissão'!B14</f>
        <v>Desativação</v>
      </c>
    </row>
    <row r="10" spans="2:6" x14ac:dyDescent="0.35">
      <c r="B10" s="22">
        <f>'Emissões Evitadas'!B30</f>
        <v>0</v>
      </c>
      <c r="C10" s="62" t="str">
        <f>'Emissões Evitadas'!J30</f>
        <v/>
      </c>
      <c r="D10" s="5">
        <f>IF($B10=$D$9,$C10,0)</f>
        <v>0</v>
      </c>
      <c r="E10" s="5">
        <f>IF($B10=$E$9,$C10,0)</f>
        <v>0</v>
      </c>
      <c r="F10" s="5">
        <f>IF($B10=$F$9,$C10,0)</f>
        <v>0</v>
      </c>
    </row>
    <row r="11" spans="2:6" x14ac:dyDescent="0.35">
      <c r="B11" s="22">
        <f>'Emissões Evitadas'!B31</f>
        <v>0</v>
      </c>
      <c r="C11" s="62" t="str">
        <f>'Emissões Evitadas'!J31</f>
        <v/>
      </c>
      <c r="D11" s="5">
        <f t="shared" ref="D11:D74" si="0">IF($B11=$D$9,$C11,0)</f>
        <v>0</v>
      </c>
      <c r="E11" s="5">
        <f t="shared" ref="E11:E74" si="1">IF($B11=$E$9,$C11,0)</f>
        <v>0</v>
      </c>
      <c r="F11" s="5">
        <f t="shared" ref="F11:F74" si="2">IF($B11=$F$9,$C11,0)</f>
        <v>0</v>
      </c>
    </row>
    <row r="12" spans="2:6" x14ac:dyDescent="0.35">
      <c r="B12" s="22">
        <f>'Emissões Evitadas'!B32</f>
        <v>0</v>
      </c>
      <c r="C12" s="62" t="str">
        <f>'Emissões Evitadas'!J32</f>
        <v/>
      </c>
      <c r="D12" s="5">
        <f t="shared" si="0"/>
        <v>0</v>
      </c>
      <c r="E12" s="5">
        <f t="shared" si="1"/>
        <v>0</v>
      </c>
      <c r="F12" s="5">
        <f t="shared" si="2"/>
        <v>0</v>
      </c>
    </row>
    <row r="13" spans="2:6" x14ac:dyDescent="0.35">
      <c r="B13" s="22">
        <f>'Emissões Evitadas'!B33</f>
        <v>0</v>
      </c>
      <c r="C13" s="62" t="str">
        <f>'Emissões Evitadas'!J33</f>
        <v/>
      </c>
      <c r="D13" s="5">
        <f t="shared" si="0"/>
        <v>0</v>
      </c>
      <c r="E13" s="5">
        <f t="shared" si="1"/>
        <v>0</v>
      </c>
      <c r="F13" s="5">
        <f t="shared" si="2"/>
        <v>0</v>
      </c>
    </row>
    <row r="14" spans="2:6" x14ac:dyDescent="0.35">
      <c r="B14" s="22">
        <f>'Emissões Evitadas'!B34</f>
        <v>0</v>
      </c>
      <c r="C14" s="62" t="str">
        <f>'Emissões Evitadas'!J34</f>
        <v/>
      </c>
      <c r="D14" s="5">
        <f t="shared" si="0"/>
        <v>0</v>
      </c>
      <c r="E14" s="5">
        <f t="shared" si="1"/>
        <v>0</v>
      </c>
      <c r="F14" s="5">
        <f t="shared" si="2"/>
        <v>0</v>
      </c>
    </row>
    <row r="15" spans="2:6" x14ac:dyDescent="0.35">
      <c r="B15" s="22">
        <f>'Emissões Evitadas'!B35</f>
        <v>0</v>
      </c>
      <c r="C15" s="62" t="str">
        <f>'Emissões Evitadas'!J35</f>
        <v/>
      </c>
      <c r="D15" s="5">
        <f t="shared" si="0"/>
        <v>0</v>
      </c>
      <c r="E15" s="5">
        <f t="shared" si="1"/>
        <v>0</v>
      </c>
      <c r="F15" s="5">
        <f t="shared" si="2"/>
        <v>0</v>
      </c>
    </row>
    <row r="16" spans="2:6" x14ac:dyDescent="0.35">
      <c r="B16" s="22">
        <f>'Emissões Evitadas'!B36</f>
        <v>0</v>
      </c>
      <c r="C16" s="62" t="str">
        <f>'Emissões Evitadas'!J36</f>
        <v/>
      </c>
      <c r="D16" s="5">
        <f t="shared" si="0"/>
        <v>0</v>
      </c>
      <c r="E16" s="5">
        <f t="shared" si="1"/>
        <v>0</v>
      </c>
      <c r="F16" s="5">
        <f t="shared" si="2"/>
        <v>0</v>
      </c>
    </row>
    <row r="17" spans="2:6" x14ac:dyDescent="0.35">
      <c r="B17" s="22">
        <f>'Emissões Evitadas'!B37</f>
        <v>0</v>
      </c>
      <c r="C17" s="62" t="str">
        <f>'Emissões Evitadas'!J37</f>
        <v/>
      </c>
      <c r="D17" s="5">
        <f t="shared" si="0"/>
        <v>0</v>
      </c>
      <c r="E17" s="5">
        <f t="shared" si="1"/>
        <v>0</v>
      </c>
      <c r="F17" s="5">
        <f t="shared" si="2"/>
        <v>0</v>
      </c>
    </row>
    <row r="18" spans="2:6" x14ac:dyDescent="0.35">
      <c r="B18" s="22">
        <f>'Emissões Evitadas'!B38</f>
        <v>0</v>
      </c>
      <c r="C18" s="62" t="str">
        <f>'Emissões Evitadas'!J38</f>
        <v/>
      </c>
      <c r="D18" s="5">
        <f t="shared" si="0"/>
        <v>0</v>
      </c>
      <c r="E18" s="5">
        <f t="shared" si="1"/>
        <v>0</v>
      </c>
      <c r="F18" s="5">
        <f t="shared" si="2"/>
        <v>0</v>
      </c>
    </row>
    <row r="19" spans="2:6" x14ac:dyDescent="0.35">
      <c r="B19" s="22">
        <f>'Emissões Evitadas'!B39</f>
        <v>0</v>
      </c>
      <c r="C19" s="62" t="str">
        <f>'Emissões Evitadas'!J39</f>
        <v/>
      </c>
      <c r="D19" s="5">
        <f t="shared" si="0"/>
        <v>0</v>
      </c>
      <c r="E19" s="5">
        <f t="shared" si="1"/>
        <v>0</v>
      </c>
      <c r="F19" s="5">
        <f t="shared" si="2"/>
        <v>0</v>
      </c>
    </row>
    <row r="20" spans="2:6" x14ac:dyDescent="0.35">
      <c r="B20" s="22">
        <f>'Emissões Evitadas'!B40</f>
        <v>0</v>
      </c>
      <c r="C20" s="62" t="str">
        <f>'Emissões Evitadas'!J40</f>
        <v/>
      </c>
      <c r="D20" s="5">
        <f t="shared" si="0"/>
        <v>0</v>
      </c>
      <c r="E20" s="5">
        <f t="shared" si="1"/>
        <v>0</v>
      </c>
      <c r="F20" s="5">
        <f t="shared" si="2"/>
        <v>0</v>
      </c>
    </row>
    <row r="21" spans="2:6" x14ac:dyDescent="0.35">
      <c r="B21" s="22">
        <f>'Emissões Evitadas'!B41</f>
        <v>0</v>
      </c>
      <c r="C21" s="62" t="str">
        <f>'Emissões Evitadas'!J41</f>
        <v/>
      </c>
      <c r="D21" s="5">
        <f t="shared" si="0"/>
        <v>0</v>
      </c>
      <c r="E21" s="5">
        <f t="shared" si="1"/>
        <v>0</v>
      </c>
      <c r="F21" s="5">
        <f t="shared" si="2"/>
        <v>0</v>
      </c>
    </row>
    <row r="22" spans="2:6" x14ac:dyDescent="0.35">
      <c r="B22" s="22">
        <f>'Emissões Evitadas'!B42</f>
        <v>0</v>
      </c>
      <c r="C22" s="62" t="str">
        <f>'Emissões Evitadas'!J42</f>
        <v/>
      </c>
      <c r="D22" s="5">
        <f t="shared" si="0"/>
        <v>0</v>
      </c>
      <c r="E22" s="5">
        <f t="shared" si="1"/>
        <v>0</v>
      </c>
      <c r="F22" s="5">
        <f t="shared" si="2"/>
        <v>0</v>
      </c>
    </row>
    <row r="23" spans="2:6" x14ac:dyDescent="0.35">
      <c r="B23" s="22">
        <f>'Emissões Evitadas'!B43</f>
        <v>0</v>
      </c>
      <c r="C23" s="62" t="str">
        <f>'Emissões Evitadas'!J43</f>
        <v/>
      </c>
      <c r="D23" s="5">
        <f t="shared" si="0"/>
        <v>0</v>
      </c>
      <c r="E23" s="5">
        <f t="shared" si="1"/>
        <v>0</v>
      </c>
      <c r="F23" s="5">
        <f t="shared" si="2"/>
        <v>0</v>
      </c>
    </row>
    <row r="24" spans="2:6" x14ac:dyDescent="0.35">
      <c r="B24" s="22">
        <f>'Emissões Evitadas'!B44</f>
        <v>0</v>
      </c>
      <c r="C24" s="62" t="str">
        <f>'Emissões Evitadas'!J44</f>
        <v/>
      </c>
      <c r="D24" s="5">
        <f t="shared" si="0"/>
        <v>0</v>
      </c>
      <c r="E24" s="5">
        <f t="shared" si="1"/>
        <v>0</v>
      </c>
      <c r="F24" s="5">
        <f t="shared" si="2"/>
        <v>0</v>
      </c>
    </row>
    <row r="25" spans="2:6" x14ac:dyDescent="0.35">
      <c r="B25" s="22">
        <f>'Emissões Evitadas'!B45</f>
        <v>0</v>
      </c>
      <c r="C25" s="62" t="str">
        <f>'Emissões Evitadas'!J45</f>
        <v/>
      </c>
      <c r="D25" s="5">
        <f t="shared" si="0"/>
        <v>0</v>
      </c>
      <c r="E25" s="5">
        <f t="shared" si="1"/>
        <v>0</v>
      </c>
      <c r="F25" s="5">
        <f t="shared" si="2"/>
        <v>0</v>
      </c>
    </row>
    <row r="26" spans="2:6" x14ac:dyDescent="0.35">
      <c r="B26" s="22">
        <f>'Emissões Evitadas'!B46</f>
        <v>0</v>
      </c>
      <c r="C26" s="62" t="str">
        <f>'Emissões Evitadas'!J46</f>
        <v/>
      </c>
      <c r="D26" s="5">
        <f t="shared" si="0"/>
        <v>0</v>
      </c>
      <c r="E26" s="5">
        <f t="shared" si="1"/>
        <v>0</v>
      </c>
      <c r="F26" s="5">
        <f t="shared" si="2"/>
        <v>0</v>
      </c>
    </row>
    <row r="27" spans="2:6" x14ac:dyDescent="0.35">
      <c r="B27" s="22">
        <f>'Emissões Evitadas'!B47</f>
        <v>0</v>
      </c>
      <c r="C27" s="62" t="str">
        <f>'Emissões Evitadas'!J47</f>
        <v/>
      </c>
      <c r="D27" s="5">
        <f t="shared" si="0"/>
        <v>0</v>
      </c>
      <c r="E27" s="5">
        <f t="shared" si="1"/>
        <v>0</v>
      </c>
      <c r="F27" s="5">
        <f t="shared" si="2"/>
        <v>0</v>
      </c>
    </row>
    <row r="28" spans="2:6" x14ac:dyDescent="0.35">
      <c r="B28" s="22">
        <f>'Emissões Evitadas'!B48</f>
        <v>0</v>
      </c>
      <c r="C28" s="62" t="str">
        <f>'Emissões Evitadas'!J48</f>
        <v/>
      </c>
      <c r="D28" s="5">
        <f t="shared" si="0"/>
        <v>0</v>
      </c>
      <c r="E28" s="5">
        <f t="shared" si="1"/>
        <v>0</v>
      </c>
      <c r="F28" s="5">
        <f t="shared" si="2"/>
        <v>0</v>
      </c>
    </row>
    <row r="29" spans="2:6" x14ac:dyDescent="0.35">
      <c r="B29" s="22">
        <f>'Emissões Evitadas'!B49</f>
        <v>0</v>
      </c>
      <c r="C29" s="62" t="str">
        <f>'Emissões Evitadas'!J49</f>
        <v/>
      </c>
      <c r="D29" s="5">
        <f t="shared" si="0"/>
        <v>0</v>
      </c>
      <c r="E29" s="5">
        <f t="shared" si="1"/>
        <v>0</v>
      </c>
      <c r="F29" s="5">
        <f t="shared" si="2"/>
        <v>0</v>
      </c>
    </row>
    <row r="30" spans="2:6" x14ac:dyDescent="0.35">
      <c r="B30" s="22">
        <f>'Emissões Evitadas'!B50</f>
        <v>0</v>
      </c>
      <c r="C30" s="62" t="str">
        <f>'Emissões Evitadas'!J50</f>
        <v/>
      </c>
      <c r="D30" s="5">
        <f t="shared" si="0"/>
        <v>0</v>
      </c>
      <c r="E30" s="5">
        <f t="shared" si="1"/>
        <v>0</v>
      </c>
      <c r="F30" s="5">
        <f t="shared" si="2"/>
        <v>0</v>
      </c>
    </row>
    <row r="31" spans="2:6" x14ac:dyDescent="0.35">
      <c r="B31" s="22">
        <f>'Emissões Evitadas'!B51</f>
        <v>0</v>
      </c>
      <c r="C31" s="62" t="str">
        <f>'Emissões Evitadas'!J51</f>
        <v/>
      </c>
      <c r="D31" s="5">
        <f t="shared" si="0"/>
        <v>0</v>
      </c>
      <c r="E31" s="5">
        <f t="shared" si="1"/>
        <v>0</v>
      </c>
      <c r="F31" s="5">
        <f t="shared" si="2"/>
        <v>0</v>
      </c>
    </row>
    <row r="32" spans="2:6" x14ac:dyDescent="0.35">
      <c r="B32" s="22">
        <f>'Emissões Evitadas'!B52</f>
        <v>0</v>
      </c>
      <c r="C32" s="62" t="str">
        <f>'Emissões Evitadas'!J52</f>
        <v/>
      </c>
      <c r="D32" s="5">
        <f t="shared" si="0"/>
        <v>0</v>
      </c>
      <c r="E32" s="5">
        <f t="shared" si="1"/>
        <v>0</v>
      </c>
      <c r="F32" s="5">
        <f t="shared" si="2"/>
        <v>0</v>
      </c>
    </row>
    <row r="33" spans="2:6" x14ac:dyDescent="0.35">
      <c r="B33" s="22">
        <f>'Emissões Evitadas'!B53</f>
        <v>0</v>
      </c>
      <c r="C33" s="62" t="str">
        <f>'Emissões Evitadas'!J53</f>
        <v/>
      </c>
      <c r="D33" s="5">
        <f t="shared" si="0"/>
        <v>0</v>
      </c>
      <c r="E33" s="5">
        <f t="shared" si="1"/>
        <v>0</v>
      </c>
      <c r="F33" s="5">
        <f t="shared" si="2"/>
        <v>0</v>
      </c>
    </row>
    <row r="34" spans="2:6" x14ac:dyDescent="0.35">
      <c r="B34" s="22">
        <f>'Emissões Evitadas'!B54</f>
        <v>0</v>
      </c>
      <c r="C34" s="62" t="str">
        <f>'Emissões Evitadas'!J54</f>
        <v/>
      </c>
      <c r="D34" s="5">
        <f t="shared" si="0"/>
        <v>0</v>
      </c>
      <c r="E34" s="5">
        <f t="shared" si="1"/>
        <v>0</v>
      </c>
      <c r="F34" s="5">
        <f t="shared" si="2"/>
        <v>0</v>
      </c>
    </row>
    <row r="35" spans="2:6" x14ac:dyDescent="0.35">
      <c r="B35" s="22">
        <f>'Emissões Evitadas'!B55</f>
        <v>0</v>
      </c>
      <c r="C35" s="62" t="str">
        <f>'Emissões Evitadas'!J55</f>
        <v/>
      </c>
      <c r="D35" s="5">
        <f t="shared" si="0"/>
        <v>0</v>
      </c>
      <c r="E35" s="5">
        <f t="shared" si="1"/>
        <v>0</v>
      </c>
      <c r="F35" s="5">
        <f t="shared" si="2"/>
        <v>0</v>
      </c>
    </row>
    <row r="36" spans="2:6" x14ac:dyDescent="0.35">
      <c r="B36" s="22">
        <f>'Emissões Evitadas'!B56</f>
        <v>0</v>
      </c>
      <c r="C36" s="62" t="str">
        <f>'Emissões Evitadas'!J56</f>
        <v/>
      </c>
      <c r="D36" s="5">
        <f t="shared" si="0"/>
        <v>0</v>
      </c>
      <c r="E36" s="5">
        <f t="shared" si="1"/>
        <v>0</v>
      </c>
      <c r="F36" s="5">
        <f t="shared" si="2"/>
        <v>0</v>
      </c>
    </row>
    <row r="37" spans="2:6" x14ac:dyDescent="0.35">
      <c r="B37" s="22">
        <f>'Emissões Evitadas'!B57</f>
        <v>0</v>
      </c>
      <c r="C37" s="62" t="str">
        <f>'Emissões Evitadas'!J57</f>
        <v/>
      </c>
      <c r="D37" s="5">
        <f t="shared" si="0"/>
        <v>0</v>
      </c>
      <c r="E37" s="5">
        <f t="shared" si="1"/>
        <v>0</v>
      </c>
      <c r="F37" s="5">
        <f t="shared" si="2"/>
        <v>0</v>
      </c>
    </row>
    <row r="38" spans="2:6" x14ac:dyDescent="0.35">
      <c r="B38" s="22">
        <f>'Emissões Evitadas'!B58</f>
        <v>0</v>
      </c>
      <c r="C38" s="62" t="str">
        <f>'Emissões Evitadas'!J58</f>
        <v/>
      </c>
      <c r="D38" s="5">
        <f t="shared" si="0"/>
        <v>0</v>
      </c>
      <c r="E38" s="5">
        <f t="shared" si="1"/>
        <v>0</v>
      </c>
      <c r="F38" s="5">
        <f t="shared" si="2"/>
        <v>0</v>
      </c>
    </row>
    <row r="39" spans="2:6" x14ac:dyDescent="0.35">
      <c r="B39" s="22">
        <f>'Emissões Evitadas'!B59</f>
        <v>0</v>
      </c>
      <c r="C39" s="62" t="str">
        <f>'Emissões Evitadas'!J59</f>
        <v/>
      </c>
      <c r="D39" s="5">
        <f t="shared" si="0"/>
        <v>0</v>
      </c>
      <c r="E39" s="5">
        <f t="shared" si="1"/>
        <v>0</v>
      </c>
      <c r="F39" s="5">
        <f t="shared" si="2"/>
        <v>0</v>
      </c>
    </row>
    <row r="40" spans="2:6" x14ac:dyDescent="0.35">
      <c r="B40" s="22">
        <f>'Emissões Evitadas'!B60</f>
        <v>0</v>
      </c>
      <c r="C40" s="62" t="str">
        <f>'Emissões Evitadas'!J60</f>
        <v/>
      </c>
      <c r="D40" s="5">
        <f t="shared" si="0"/>
        <v>0</v>
      </c>
      <c r="E40" s="5">
        <f t="shared" si="1"/>
        <v>0</v>
      </c>
      <c r="F40" s="5">
        <f t="shared" si="2"/>
        <v>0</v>
      </c>
    </row>
    <row r="41" spans="2:6" x14ac:dyDescent="0.35">
      <c r="B41" s="22">
        <f>'Emissões Evitadas'!B61</f>
        <v>0</v>
      </c>
      <c r="C41" s="62" t="str">
        <f>'Emissões Evitadas'!J61</f>
        <v/>
      </c>
      <c r="D41" s="5">
        <f t="shared" si="0"/>
        <v>0</v>
      </c>
      <c r="E41" s="5">
        <f t="shared" si="1"/>
        <v>0</v>
      </c>
      <c r="F41" s="5">
        <f t="shared" si="2"/>
        <v>0</v>
      </c>
    </row>
    <row r="42" spans="2:6" x14ac:dyDescent="0.35">
      <c r="B42" s="22">
        <f>'Emissões Evitadas'!B62</f>
        <v>0</v>
      </c>
      <c r="C42" s="62" t="str">
        <f>'Emissões Evitadas'!J62</f>
        <v/>
      </c>
      <c r="D42" s="5">
        <f t="shared" si="0"/>
        <v>0</v>
      </c>
      <c r="E42" s="5">
        <f t="shared" si="1"/>
        <v>0</v>
      </c>
      <c r="F42" s="5">
        <f t="shared" si="2"/>
        <v>0</v>
      </c>
    </row>
    <row r="43" spans="2:6" x14ac:dyDescent="0.35">
      <c r="B43" s="22">
        <f>'Emissões Evitadas'!B63</f>
        <v>0</v>
      </c>
      <c r="C43" s="62" t="str">
        <f>'Emissões Evitadas'!J63</f>
        <v/>
      </c>
      <c r="D43" s="5">
        <f t="shared" si="0"/>
        <v>0</v>
      </c>
      <c r="E43" s="5">
        <f t="shared" si="1"/>
        <v>0</v>
      </c>
      <c r="F43" s="5">
        <f t="shared" si="2"/>
        <v>0</v>
      </c>
    </row>
    <row r="44" spans="2:6" x14ac:dyDescent="0.35">
      <c r="B44" s="22">
        <f>'Emissões Evitadas'!B64</f>
        <v>0</v>
      </c>
      <c r="C44" s="62" t="str">
        <f>'Emissões Evitadas'!J64</f>
        <v/>
      </c>
      <c r="D44" s="5">
        <f t="shared" si="0"/>
        <v>0</v>
      </c>
      <c r="E44" s="5">
        <f t="shared" si="1"/>
        <v>0</v>
      </c>
      <c r="F44" s="5">
        <f t="shared" si="2"/>
        <v>0</v>
      </c>
    </row>
    <row r="45" spans="2:6" x14ac:dyDescent="0.35">
      <c r="B45" s="22">
        <f>'Emissões Evitadas'!B65</f>
        <v>0</v>
      </c>
      <c r="C45" s="62" t="str">
        <f>'Emissões Evitadas'!J65</f>
        <v/>
      </c>
      <c r="D45" s="5">
        <f t="shared" si="0"/>
        <v>0</v>
      </c>
      <c r="E45" s="5">
        <f t="shared" si="1"/>
        <v>0</v>
      </c>
      <c r="F45" s="5">
        <f t="shared" si="2"/>
        <v>0</v>
      </c>
    </row>
    <row r="46" spans="2:6" x14ac:dyDescent="0.35">
      <c r="B46" s="22">
        <f>'Emissões Evitadas'!B66</f>
        <v>0</v>
      </c>
      <c r="C46" s="62" t="str">
        <f>'Emissões Evitadas'!J66</f>
        <v/>
      </c>
      <c r="D46" s="5">
        <f t="shared" si="0"/>
        <v>0</v>
      </c>
      <c r="E46" s="5">
        <f t="shared" si="1"/>
        <v>0</v>
      </c>
      <c r="F46" s="5">
        <f t="shared" si="2"/>
        <v>0</v>
      </c>
    </row>
    <row r="47" spans="2:6" x14ac:dyDescent="0.35">
      <c r="B47" s="22">
        <f>'Emissões Evitadas'!B67</f>
        <v>0</v>
      </c>
      <c r="C47" s="62" t="str">
        <f>'Emissões Evitadas'!J67</f>
        <v/>
      </c>
      <c r="D47" s="5">
        <f t="shared" si="0"/>
        <v>0</v>
      </c>
      <c r="E47" s="5">
        <f t="shared" si="1"/>
        <v>0</v>
      </c>
      <c r="F47" s="5">
        <f t="shared" si="2"/>
        <v>0</v>
      </c>
    </row>
    <row r="48" spans="2:6" x14ac:dyDescent="0.35">
      <c r="B48" s="22">
        <f>'Emissões Evitadas'!B68</f>
        <v>0</v>
      </c>
      <c r="C48" s="62" t="str">
        <f>'Emissões Evitadas'!J68</f>
        <v/>
      </c>
      <c r="D48" s="5">
        <f t="shared" si="0"/>
        <v>0</v>
      </c>
      <c r="E48" s="5">
        <f t="shared" si="1"/>
        <v>0</v>
      </c>
      <c r="F48" s="5">
        <f t="shared" si="2"/>
        <v>0</v>
      </c>
    </row>
    <row r="49" spans="2:6" x14ac:dyDescent="0.35">
      <c r="B49" s="22">
        <f>'Emissões Evitadas'!B69</f>
        <v>0</v>
      </c>
      <c r="C49" s="62" t="str">
        <f>'Emissões Evitadas'!J69</f>
        <v/>
      </c>
      <c r="D49" s="5">
        <f t="shared" si="0"/>
        <v>0</v>
      </c>
      <c r="E49" s="5">
        <f t="shared" si="1"/>
        <v>0</v>
      </c>
      <c r="F49" s="5">
        <f t="shared" si="2"/>
        <v>0</v>
      </c>
    </row>
    <row r="50" spans="2:6" x14ac:dyDescent="0.35">
      <c r="B50" s="22">
        <f>'Emissões Evitadas'!B70</f>
        <v>0</v>
      </c>
      <c r="C50" s="62" t="str">
        <f>'Emissões Evitadas'!J70</f>
        <v/>
      </c>
      <c r="D50" s="5">
        <f t="shared" si="0"/>
        <v>0</v>
      </c>
      <c r="E50" s="5">
        <f t="shared" si="1"/>
        <v>0</v>
      </c>
      <c r="F50" s="5">
        <f t="shared" si="2"/>
        <v>0</v>
      </c>
    </row>
    <row r="51" spans="2:6" x14ac:dyDescent="0.35">
      <c r="B51" s="22">
        <f>'Emissões Evitadas'!B71</f>
        <v>0</v>
      </c>
      <c r="C51" s="62" t="str">
        <f>'Emissões Evitadas'!J71</f>
        <v/>
      </c>
      <c r="D51" s="5">
        <f t="shared" si="0"/>
        <v>0</v>
      </c>
      <c r="E51" s="5">
        <f t="shared" si="1"/>
        <v>0</v>
      </c>
      <c r="F51" s="5">
        <f t="shared" si="2"/>
        <v>0</v>
      </c>
    </row>
    <row r="52" spans="2:6" x14ac:dyDescent="0.35">
      <c r="B52" s="22">
        <f>'Emissões Evitadas'!B72</f>
        <v>0</v>
      </c>
      <c r="C52" s="62" t="str">
        <f>'Emissões Evitadas'!J72</f>
        <v/>
      </c>
      <c r="D52" s="5">
        <f t="shared" si="0"/>
        <v>0</v>
      </c>
      <c r="E52" s="5">
        <f t="shared" si="1"/>
        <v>0</v>
      </c>
      <c r="F52" s="5">
        <f t="shared" si="2"/>
        <v>0</v>
      </c>
    </row>
    <row r="53" spans="2:6" x14ac:dyDescent="0.35">
      <c r="B53" s="22">
        <f>'Emissões Evitadas'!B73</f>
        <v>0</v>
      </c>
      <c r="C53" s="62" t="str">
        <f>'Emissões Evitadas'!J73</f>
        <v/>
      </c>
      <c r="D53" s="5">
        <f t="shared" si="0"/>
        <v>0</v>
      </c>
      <c r="E53" s="5">
        <f t="shared" si="1"/>
        <v>0</v>
      </c>
      <c r="F53" s="5">
        <f t="shared" si="2"/>
        <v>0</v>
      </c>
    </row>
    <row r="54" spans="2:6" x14ac:dyDescent="0.35">
      <c r="B54" s="22">
        <f>'Emissões Evitadas'!B74</f>
        <v>0</v>
      </c>
      <c r="C54" s="62" t="str">
        <f>'Emissões Evitadas'!J74</f>
        <v/>
      </c>
      <c r="D54" s="5">
        <f t="shared" si="0"/>
        <v>0</v>
      </c>
      <c r="E54" s="5">
        <f t="shared" si="1"/>
        <v>0</v>
      </c>
      <c r="F54" s="5">
        <f t="shared" si="2"/>
        <v>0</v>
      </c>
    </row>
    <row r="55" spans="2:6" x14ac:dyDescent="0.35">
      <c r="B55" s="22">
        <f>'Emissões Evitadas'!B75</f>
        <v>0</v>
      </c>
      <c r="C55" s="62" t="str">
        <f>'Emissões Evitadas'!J75</f>
        <v/>
      </c>
      <c r="D55" s="5">
        <f t="shared" si="0"/>
        <v>0</v>
      </c>
      <c r="E55" s="5">
        <f t="shared" si="1"/>
        <v>0</v>
      </c>
      <c r="F55" s="5">
        <f t="shared" si="2"/>
        <v>0</v>
      </c>
    </row>
    <row r="56" spans="2:6" x14ac:dyDescent="0.35">
      <c r="B56" s="22">
        <f>'Emissões Evitadas'!B76</f>
        <v>0</v>
      </c>
      <c r="C56" s="62" t="str">
        <f>'Emissões Evitadas'!J76</f>
        <v/>
      </c>
      <c r="D56" s="5">
        <f t="shared" si="0"/>
        <v>0</v>
      </c>
      <c r="E56" s="5">
        <f t="shared" si="1"/>
        <v>0</v>
      </c>
      <c r="F56" s="5">
        <f t="shared" si="2"/>
        <v>0</v>
      </c>
    </row>
    <row r="57" spans="2:6" x14ac:dyDescent="0.35">
      <c r="B57" s="22">
        <f>'Emissões Evitadas'!B77</f>
        <v>0</v>
      </c>
      <c r="C57" s="62" t="str">
        <f>'Emissões Evitadas'!J77</f>
        <v/>
      </c>
      <c r="D57" s="5">
        <f t="shared" si="0"/>
        <v>0</v>
      </c>
      <c r="E57" s="5">
        <f t="shared" si="1"/>
        <v>0</v>
      </c>
      <c r="F57" s="5">
        <f t="shared" si="2"/>
        <v>0</v>
      </c>
    </row>
    <row r="58" spans="2:6" x14ac:dyDescent="0.35">
      <c r="B58" s="22">
        <f>'Emissões Evitadas'!B78</f>
        <v>0</v>
      </c>
      <c r="C58" s="62" t="str">
        <f>'Emissões Evitadas'!J78</f>
        <v/>
      </c>
      <c r="D58" s="5">
        <f t="shared" si="0"/>
        <v>0</v>
      </c>
      <c r="E58" s="5">
        <f t="shared" si="1"/>
        <v>0</v>
      </c>
      <c r="F58" s="5">
        <f t="shared" si="2"/>
        <v>0</v>
      </c>
    </row>
    <row r="59" spans="2:6" x14ac:dyDescent="0.35">
      <c r="B59" s="22">
        <f>'Emissões Evitadas'!B79</f>
        <v>0</v>
      </c>
      <c r="C59" s="62" t="str">
        <f>'Emissões Evitadas'!J79</f>
        <v/>
      </c>
      <c r="D59" s="5">
        <f t="shared" si="0"/>
        <v>0</v>
      </c>
      <c r="E59" s="5">
        <f t="shared" si="1"/>
        <v>0</v>
      </c>
      <c r="F59" s="5">
        <f t="shared" si="2"/>
        <v>0</v>
      </c>
    </row>
    <row r="60" spans="2:6" x14ac:dyDescent="0.35">
      <c r="B60" s="22">
        <f>'Emissões Evitadas'!B80</f>
        <v>0</v>
      </c>
      <c r="C60" s="62" t="str">
        <f>'Emissões Evitadas'!J80</f>
        <v/>
      </c>
      <c r="D60" s="5">
        <f t="shared" si="0"/>
        <v>0</v>
      </c>
      <c r="E60" s="5">
        <f t="shared" si="1"/>
        <v>0</v>
      </c>
      <c r="F60" s="5">
        <f t="shared" si="2"/>
        <v>0</v>
      </c>
    </row>
    <row r="61" spans="2:6" x14ac:dyDescent="0.35">
      <c r="B61" s="22">
        <f>'Emissões Evitadas'!B81</f>
        <v>0</v>
      </c>
      <c r="C61" s="62" t="str">
        <f>'Emissões Evitadas'!J81</f>
        <v/>
      </c>
      <c r="D61" s="5">
        <f t="shared" si="0"/>
        <v>0</v>
      </c>
      <c r="E61" s="5">
        <f t="shared" si="1"/>
        <v>0</v>
      </c>
      <c r="F61" s="5">
        <f t="shared" si="2"/>
        <v>0</v>
      </c>
    </row>
    <row r="62" spans="2:6" x14ac:dyDescent="0.35">
      <c r="B62" s="22">
        <f>'Emissões Evitadas'!B82</f>
        <v>0</v>
      </c>
      <c r="C62" s="62" t="str">
        <f>'Emissões Evitadas'!J82</f>
        <v/>
      </c>
      <c r="D62" s="5">
        <f t="shared" si="0"/>
        <v>0</v>
      </c>
      <c r="E62" s="5">
        <f t="shared" si="1"/>
        <v>0</v>
      </c>
      <c r="F62" s="5">
        <f t="shared" si="2"/>
        <v>0</v>
      </c>
    </row>
    <row r="63" spans="2:6" x14ac:dyDescent="0.35">
      <c r="B63" s="22">
        <f>'Emissões Evitadas'!B83</f>
        <v>0</v>
      </c>
      <c r="C63" s="62" t="str">
        <f>'Emissões Evitadas'!J83</f>
        <v/>
      </c>
      <c r="D63" s="5">
        <f t="shared" si="0"/>
        <v>0</v>
      </c>
      <c r="E63" s="5">
        <f t="shared" si="1"/>
        <v>0</v>
      </c>
      <c r="F63" s="5">
        <f t="shared" si="2"/>
        <v>0</v>
      </c>
    </row>
    <row r="64" spans="2:6" x14ac:dyDescent="0.35">
      <c r="B64" s="22">
        <f>'Emissões Evitadas'!B84</f>
        <v>0</v>
      </c>
      <c r="C64" s="62" t="str">
        <f>'Emissões Evitadas'!J84</f>
        <v/>
      </c>
      <c r="D64" s="5">
        <f t="shared" si="0"/>
        <v>0</v>
      </c>
      <c r="E64" s="5">
        <f t="shared" si="1"/>
        <v>0</v>
      </c>
      <c r="F64" s="5">
        <f t="shared" si="2"/>
        <v>0</v>
      </c>
    </row>
    <row r="65" spans="2:6" x14ac:dyDescent="0.35">
      <c r="B65" s="22">
        <f>'Emissões Evitadas'!B85</f>
        <v>0</v>
      </c>
      <c r="C65" s="62" t="str">
        <f>'Emissões Evitadas'!J85</f>
        <v/>
      </c>
      <c r="D65" s="5">
        <f t="shared" si="0"/>
        <v>0</v>
      </c>
      <c r="E65" s="5">
        <f t="shared" si="1"/>
        <v>0</v>
      </c>
      <c r="F65" s="5">
        <f t="shared" si="2"/>
        <v>0</v>
      </c>
    </row>
    <row r="66" spans="2:6" x14ac:dyDescent="0.35">
      <c r="B66" s="22">
        <f>'Emissões Evitadas'!B86</f>
        <v>0</v>
      </c>
      <c r="C66" s="62" t="str">
        <f>'Emissões Evitadas'!J86</f>
        <v/>
      </c>
      <c r="D66" s="5">
        <f t="shared" si="0"/>
        <v>0</v>
      </c>
      <c r="E66" s="5">
        <f t="shared" si="1"/>
        <v>0</v>
      </c>
      <c r="F66" s="5">
        <f t="shared" si="2"/>
        <v>0</v>
      </c>
    </row>
    <row r="67" spans="2:6" x14ac:dyDescent="0.35">
      <c r="B67" s="22">
        <f>'Emissões Evitadas'!B87</f>
        <v>0</v>
      </c>
      <c r="C67" s="62" t="str">
        <f>'Emissões Evitadas'!J87</f>
        <v/>
      </c>
      <c r="D67" s="5">
        <f t="shared" si="0"/>
        <v>0</v>
      </c>
      <c r="E67" s="5">
        <f t="shared" si="1"/>
        <v>0</v>
      </c>
      <c r="F67" s="5">
        <f t="shared" si="2"/>
        <v>0</v>
      </c>
    </row>
    <row r="68" spans="2:6" x14ac:dyDescent="0.35">
      <c r="B68" s="22">
        <f>'Emissões Evitadas'!B88</f>
        <v>0</v>
      </c>
      <c r="C68" s="62" t="str">
        <f>'Emissões Evitadas'!J88</f>
        <v/>
      </c>
      <c r="D68" s="5">
        <f t="shared" si="0"/>
        <v>0</v>
      </c>
      <c r="E68" s="5">
        <f t="shared" si="1"/>
        <v>0</v>
      </c>
      <c r="F68" s="5">
        <f t="shared" si="2"/>
        <v>0</v>
      </c>
    </row>
    <row r="69" spans="2:6" x14ac:dyDescent="0.35">
      <c r="B69" s="22">
        <f>'Emissões Evitadas'!B89</f>
        <v>0</v>
      </c>
      <c r="C69" s="62" t="str">
        <f>'Emissões Evitadas'!J89</f>
        <v/>
      </c>
      <c r="D69" s="5">
        <f t="shared" si="0"/>
        <v>0</v>
      </c>
      <c r="E69" s="5">
        <f t="shared" si="1"/>
        <v>0</v>
      </c>
      <c r="F69" s="5">
        <f t="shared" si="2"/>
        <v>0</v>
      </c>
    </row>
    <row r="70" spans="2:6" x14ac:dyDescent="0.35">
      <c r="B70" s="22">
        <f>'Emissões Evitadas'!B90</f>
        <v>0</v>
      </c>
      <c r="C70" s="62" t="str">
        <f>'Emissões Evitadas'!J90</f>
        <v/>
      </c>
      <c r="D70" s="5">
        <f t="shared" si="0"/>
        <v>0</v>
      </c>
      <c r="E70" s="5">
        <f t="shared" si="1"/>
        <v>0</v>
      </c>
      <c r="F70" s="5">
        <f t="shared" si="2"/>
        <v>0</v>
      </c>
    </row>
    <row r="71" spans="2:6" x14ac:dyDescent="0.35">
      <c r="B71" s="22">
        <f>'Emissões Evitadas'!B91</f>
        <v>0</v>
      </c>
      <c r="C71" s="62" t="str">
        <f>'Emissões Evitadas'!J91</f>
        <v/>
      </c>
      <c r="D71" s="5">
        <f t="shared" si="0"/>
        <v>0</v>
      </c>
      <c r="E71" s="5">
        <f t="shared" si="1"/>
        <v>0</v>
      </c>
      <c r="F71" s="5">
        <f t="shared" si="2"/>
        <v>0</v>
      </c>
    </row>
    <row r="72" spans="2:6" x14ac:dyDescent="0.35">
      <c r="B72" s="22">
        <f>'Emissões Evitadas'!B92</f>
        <v>0</v>
      </c>
      <c r="C72" s="62" t="str">
        <f>'Emissões Evitadas'!J92</f>
        <v/>
      </c>
      <c r="D72" s="5">
        <f t="shared" si="0"/>
        <v>0</v>
      </c>
      <c r="E72" s="5">
        <f t="shared" si="1"/>
        <v>0</v>
      </c>
      <c r="F72" s="5">
        <f t="shared" si="2"/>
        <v>0</v>
      </c>
    </row>
    <row r="73" spans="2:6" x14ac:dyDescent="0.35">
      <c r="B73" s="22">
        <f>'Emissões Evitadas'!B93</f>
        <v>0</v>
      </c>
      <c r="C73" s="62" t="str">
        <f>'Emissões Evitadas'!J93</f>
        <v/>
      </c>
      <c r="D73" s="5">
        <f t="shared" si="0"/>
        <v>0</v>
      </c>
      <c r="E73" s="5">
        <f t="shared" si="1"/>
        <v>0</v>
      </c>
      <c r="F73" s="5">
        <f t="shared" si="2"/>
        <v>0</v>
      </c>
    </row>
    <row r="74" spans="2:6" x14ac:dyDescent="0.35">
      <c r="B74" s="22">
        <f>'Emissões Evitadas'!B94</f>
        <v>0</v>
      </c>
      <c r="C74" s="62" t="str">
        <f>'Emissões Evitadas'!J94</f>
        <v/>
      </c>
      <c r="D74" s="5">
        <f t="shared" si="0"/>
        <v>0</v>
      </c>
      <c r="E74" s="5">
        <f t="shared" si="1"/>
        <v>0</v>
      </c>
      <c r="F74" s="5">
        <f t="shared" si="2"/>
        <v>0</v>
      </c>
    </row>
    <row r="75" spans="2:6" x14ac:dyDescent="0.35">
      <c r="B75" s="22">
        <f>'Emissões Evitadas'!B95</f>
        <v>0</v>
      </c>
      <c r="C75" s="62" t="str">
        <f>'Emissões Evitadas'!J95</f>
        <v/>
      </c>
      <c r="D75" s="5">
        <f t="shared" ref="D75:D109" si="3">IF($B75=$D$9,$C75,0)</f>
        <v>0</v>
      </c>
      <c r="E75" s="5">
        <f t="shared" ref="E75:E109" si="4">IF($B75=$E$9,$C75,0)</f>
        <v>0</v>
      </c>
      <c r="F75" s="5">
        <f t="shared" ref="F75:F109" si="5">IF($B75=$F$9,$C75,0)</f>
        <v>0</v>
      </c>
    </row>
    <row r="76" spans="2:6" x14ac:dyDescent="0.35">
      <c r="B76" s="22">
        <f>'Emissões Evitadas'!B96</f>
        <v>0</v>
      </c>
      <c r="C76" s="62" t="str">
        <f>'Emissões Evitadas'!J96</f>
        <v/>
      </c>
      <c r="D76" s="5">
        <f t="shared" si="3"/>
        <v>0</v>
      </c>
      <c r="E76" s="5">
        <f t="shared" si="4"/>
        <v>0</v>
      </c>
      <c r="F76" s="5">
        <f t="shared" si="5"/>
        <v>0</v>
      </c>
    </row>
    <row r="77" spans="2:6" x14ac:dyDescent="0.35">
      <c r="B77" s="22">
        <f>'Emissões Evitadas'!B97</f>
        <v>0</v>
      </c>
      <c r="C77" s="62" t="str">
        <f>'Emissões Evitadas'!J97</f>
        <v/>
      </c>
      <c r="D77" s="5">
        <f t="shared" si="3"/>
        <v>0</v>
      </c>
      <c r="E77" s="5">
        <f t="shared" si="4"/>
        <v>0</v>
      </c>
      <c r="F77" s="5">
        <f t="shared" si="5"/>
        <v>0</v>
      </c>
    </row>
    <row r="78" spans="2:6" x14ac:dyDescent="0.35">
      <c r="B78" s="22">
        <f>'Emissões Evitadas'!B98</f>
        <v>0</v>
      </c>
      <c r="C78" s="62" t="str">
        <f>'Emissões Evitadas'!J98</f>
        <v/>
      </c>
      <c r="D78" s="5">
        <f t="shared" si="3"/>
        <v>0</v>
      </c>
      <c r="E78" s="5">
        <f t="shared" si="4"/>
        <v>0</v>
      </c>
      <c r="F78" s="5">
        <f t="shared" si="5"/>
        <v>0</v>
      </c>
    </row>
    <row r="79" spans="2:6" x14ac:dyDescent="0.35">
      <c r="B79" s="22">
        <f>'Emissões Evitadas'!B99</f>
        <v>0</v>
      </c>
      <c r="C79" s="62" t="str">
        <f>'Emissões Evitadas'!J99</f>
        <v/>
      </c>
      <c r="D79" s="5">
        <f t="shared" si="3"/>
        <v>0</v>
      </c>
      <c r="E79" s="5">
        <f t="shared" si="4"/>
        <v>0</v>
      </c>
      <c r="F79" s="5">
        <f t="shared" si="5"/>
        <v>0</v>
      </c>
    </row>
    <row r="80" spans="2:6" x14ac:dyDescent="0.35">
      <c r="B80" s="22">
        <f>'Emissões Evitadas'!B100</f>
        <v>0</v>
      </c>
      <c r="C80" s="62" t="str">
        <f>'Emissões Evitadas'!J100</f>
        <v/>
      </c>
      <c r="D80" s="5">
        <f t="shared" si="3"/>
        <v>0</v>
      </c>
      <c r="E80" s="5">
        <f t="shared" si="4"/>
        <v>0</v>
      </c>
      <c r="F80" s="5">
        <f t="shared" si="5"/>
        <v>0</v>
      </c>
    </row>
    <row r="81" spans="2:6" x14ac:dyDescent="0.35">
      <c r="B81" s="22">
        <f>'Emissões Evitadas'!B101</f>
        <v>0</v>
      </c>
      <c r="C81" s="62" t="str">
        <f>'Emissões Evitadas'!J101</f>
        <v/>
      </c>
      <c r="D81" s="5">
        <f t="shared" si="3"/>
        <v>0</v>
      </c>
      <c r="E81" s="5">
        <f t="shared" si="4"/>
        <v>0</v>
      </c>
      <c r="F81" s="5">
        <f t="shared" si="5"/>
        <v>0</v>
      </c>
    </row>
    <row r="82" spans="2:6" x14ac:dyDescent="0.35">
      <c r="B82" s="22">
        <f>'Emissões Evitadas'!B102</f>
        <v>0</v>
      </c>
      <c r="C82" s="62" t="str">
        <f>'Emissões Evitadas'!J102</f>
        <v/>
      </c>
      <c r="D82" s="5">
        <f t="shared" si="3"/>
        <v>0</v>
      </c>
      <c r="E82" s="5">
        <f t="shared" si="4"/>
        <v>0</v>
      </c>
      <c r="F82" s="5">
        <f t="shared" si="5"/>
        <v>0</v>
      </c>
    </row>
    <row r="83" spans="2:6" x14ac:dyDescent="0.35">
      <c r="B83" s="22">
        <f>'Emissões Evitadas'!B103</f>
        <v>0</v>
      </c>
      <c r="C83" s="62" t="str">
        <f>'Emissões Evitadas'!J103</f>
        <v/>
      </c>
      <c r="D83" s="5">
        <f t="shared" si="3"/>
        <v>0</v>
      </c>
      <c r="E83" s="5">
        <f t="shared" si="4"/>
        <v>0</v>
      </c>
      <c r="F83" s="5">
        <f t="shared" si="5"/>
        <v>0</v>
      </c>
    </row>
    <row r="84" spans="2:6" x14ac:dyDescent="0.35">
      <c r="B84" s="22">
        <f>'Emissões Evitadas'!B104</f>
        <v>0</v>
      </c>
      <c r="C84" s="62" t="str">
        <f>'Emissões Evitadas'!J104</f>
        <v/>
      </c>
      <c r="D84" s="5">
        <f t="shared" si="3"/>
        <v>0</v>
      </c>
      <c r="E84" s="5">
        <f t="shared" si="4"/>
        <v>0</v>
      </c>
      <c r="F84" s="5">
        <f t="shared" si="5"/>
        <v>0</v>
      </c>
    </row>
    <row r="85" spans="2:6" x14ac:dyDescent="0.35">
      <c r="B85" s="22">
        <f>'Emissões Evitadas'!B105</f>
        <v>0</v>
      </c>
      <c r="C85" s="62" t="str">
        <f>'Emissões Evitadas'!J105</f>
        <v/>
      </c>
      <c r="D85" s="5">
        <f t="shared" si="3"/>
        <v>0</v>
      </c>
      <c r="E85" s="5">
        <f t="shared" si="4"/>
        <v>0</v>
      </c>
      <c r="F85" s="5">
        <f t="shared" si="5"/>
        <v>0</v>
      </c>
    </row>
    <row r="86" spans="2:6" x14ac:dyDescent="0.35">
      <c r="B86" s="22">
        <f>'Emissões Evitadas'!B106</f>
        <v>0</v>
      </c>
      <c r="C86" s="62" t="str">
        <f>'Emissões Evitadas'!J106</f>
        <v/>
      </c>
      <c r="D86" s="5">
        <f t="shared" si="3"/>
        <v>0</v>
      </c>
      <c r="E86" s="5">
        <f t="shared" si="4"/>
        <v>0</v>
      </c>
      <c r="F86" s="5">
        <f t="shared" si="5"/>
        <v>0</v>
      </c>
    </row>
    <row r="87" spans="2:6" x14ac:dyDescent="0.35">
      <c r="B87" s="22">
        <f>'Emissões Evitadas'!B107</f>
        <v>0</v>
      </c>
      <c r="C87" s="62" t="str">
        <f>'Emissões Evitadas'!J107</f>
        <v/>
      </c>
      <c r="D87" s="5">
        <f t="shared" si="3"/>
        <v>0</v>
      </c>
      <c r="E87" s="5">
        <f t="shared" si="4"/>
        <v>0</v>
      </c>
      <c r="F87" s="5">
        <f t="shared" si="5"/>
        <v>0</v>
      </c>
    </row>
    <row r="88" spans="2:6" x14ac:dyDescent="0.35">
      <c r="B88" s="22">
        <f>'Emissões Evitadas'!B108</f>
        <v>0</v>
      </c>
      <c r="C88" s="62" t="str">
        <f>'Emissões Evitadas'!J108</f>
        <v/>
      </c>
      <c r="D88" s="5">
        <f t="shared" si="3"/>
        <v>0</v>
      </c>
      <c r="E88" s="5">
        <f t="shared" si="4"/>
        <v>0</v>
      </c>
      <c r="F88" s="5">
        <f t="shared" si="5"/>
        <v>0</v>
      </c>
    </row>
    <row r="89" spans="2:6" x14ac:dyDescent="0.35">
      <c r="B89" s="22">
        <f>'Emissões Evitadas'!B109</f>
        <v>0</v>
      </c>
      <c r="C89" s="62" t="str">
        <f>'Emissões Evitadas'!J109</f>
        <v/>
      </c>
      <c r="D89" s="5">
        <f t="shared" si="3"/>
        <v>0</v>
      </c>
      <c r="E89" s="5">
        <f t="shared" si="4"/>
        <v>0</v>
      </c>
      <c r="F89" s="5">
        <f t="shared" si="5"/>
        <v>0</v>
      </c>
    </row>
    <row r="90" spans="2:6" x14ac:dyDescent="0.35">
      <c r="B90" s="22">
        <f>'Emissões Evitadas'!B110</f>
        <v>0</v>
      </c>
      <c r="C90" s="62" t="str">
        <f>'Emissões Evitadas'!J110</f>
        <v/>
      </c>
      <c r="D90" s="5">
        <f t="shared" si="3"/>
        <v>0</v>
      </c>
      <c r="E90" s="5">
        <f t="shared" si="4"/>
        <v>0</v>
      </c>
      <c r="F90" s="5">
        <f t="shared" si="5"/>
        <v>0</v>
      </c>
    </row>
    <row r="91" spans="2:6" x14ac:dyDescent="0.35">
      <c r="B91" s="22">
        <f>'Emissões Evitadas'!B111</f>
        <v>0</v>
      </c>
      <c r="C91" s="62" t="str">
        <f>'Emissões Evitadas'!J111</f>
        <v/>
      </c>
      <c r="D91" s="5">
        <f t="shared" si="3"/>
        <v>0</v>
      </c>
      <c r="E91" s="5">
        <f t="shared" si="4"/>
        <v>0</v>
      </c>
      <c r="F91" s="5">
        <f t="shared" si="5"/>
        <v>0</v>
      </c>
    </row>
    <row r="92" spans="2:6" x14ac:dyDescent="0.35">
      <c r="B92" s="22">
        <f>'Emissões Evitadas'!B112</f>
        <v>0</v>
      </c>
      <c r="C92" s="62" t="str">
        <f>'Emissões Evitadas'!J112</f>
        <v/>
      </c>
      <c r="D92" s="5">
        <f t="shared" si="3"/>
        <v>0</v>
      </c>
      <c r="E92" s="5">
        <f t="shared" si="4"/>
        <v>0</v>
      </c>
      <c r="F92" s="5">
        <f t="shared" si="5"/>
        <v>0</v>
      </c>
    </row>
    <row r="93" spans="2:6" x14ac:dyDescent="0.35">
      <c r="B93" s="22">
        <f>'Emissões Evitadas'!B113</f>
        <v>0</v>
      </c>
      <c r="C93" s="62" t="str">
        <f>'Emissões Evitadas'!J113</f>
        <v/>
      </c>
      <c r="D93" s="5">
        <f t="shared" si="3"/>
        <v>0</v>
      </c>
      <c r="E93" s="5">
        <f t="shared" si="4"/>
        <v>0</v>
      </c>
      <c r="F93" s="5">
        <f t="shared" si="5"/>
        <v>0</v>
      </c>
    </row>
    <row r="94" spans="2:6" x14ac:dyDescent="0.35">
      <c r="B94" s="22">
        <f>'Emissões Evitadas'!B114</f>
        <v>0</v>
      </c>
      <c r="C94" s="62" t="str">
        <f>'Emissões Evitadas'!J114</f>
        <v/>
      </c>
      <c r="D94" s="5">
        <f t="shared" si="3"/>
        <v>0</v>
      </c>
      <c r="E94" s="5">
        <f t="shared" si="4"/>
        <v>0</v>
      </c>
      <c r="F94" s="5">
        <f t="shared" si="5"/>
        <v>0</v>
      </c>
    </row>
    <row r="95" spans="2:6" x14ac:dyDescent="0.35">
      <c r="B95" s="22">
        <f>'Emissões Evitadas'!B115</f>
        <v>0</v>
      </c>
      <c r="C95" s="62" t="str">
        <f>'Emissões Evitadas'!J115</f>
        <v/>
      </c>
      <c r="D95" s="5">
        <f t="shared" si="3"/>
        <v>0</v>
      </c>
      <c r="E95" s="5">
        <f t="shared" si="4"/>
        <v>0</v>
      </c>
      <c r="F95" s="5">
        <f t="shared" si="5"/>
        <v>0</v>
      </c>
    </row>
    <row r="96" spans="2:6" x14ac:dyDescent="0.35">
      <c r="B96" s="22">
        <f>'Emissões Evitadas'!B116</f>
        <v>0</v>
      </c>
      <c r="C96" s="62" t="str">
        <f>'Emissões Evitadas'!J116</f>
        <v/>
      </c>
      <c r="D96" s="5">
        <f t="shared" si="3"/>
        <v>0</v>
      </c>
      <c r="E96" s="5">
        <f t="shared" si="4"/>
        <v>0</v>
      </c>
      <c r="F96" s="5">
        <f t="shared" si="5"/>
        <v>0</v>
      </c>
    </row>
    <row r="97" spans="2:6" x14ac:dyDescent="0.35">
      <c r="B97" s="22">
        <f>'Emissões Evitadas'!B117</f>
        <v>0</v>
      </c>
      <c r="C97" s="62" t="str">
        <f>'Emissões Evitadas'!J117</f>
        <v/>
      </c>
      <c r="D97" s="5">
        <f t="shared" si="3"/>
        <v>0</v>
      </c>
      <c r="E97" s="5">
        <f t="shared" si="4"/>
        <v>0</v>
      </c>
      <c r="F97" s="5">
        <f t="shared" si="5"/>
        <v>0</v>
      </c>
    </row>
    <row r="98" spans="2:6" x14ac:dyDescent="0.35">
      <c r="B98" s="22">
        <f>'Emissões Evitadas'!B118</f>
        <v>0</v>
      </c>
      <c r="C98" s="62" t="str">
        <f>'Emissões Evitadas'!J118</f>
        <v/>
      </c>
      <c r="D98" s="5">
        <f t="shared" si="3"/>
        <v>0</v>
      </c>
      <c r="E98" s="5">
        <f t="shared" si="4"/>
        <v>0</v>
      </c>
      <c r="F98" s="5">
        <f t="shared" si="5"/>
        <v>0</v>
      </c>
    </row>
    <row r="99" spans="2:6" x14ac:dyDescent="0.35">
      <c r="B99" s="22">
        <f>'Emissões Evitadas'!B119</f>
        <v>0</v>
      </c>
      <c r="C99" s="62" t="str">
        <f>'Emissões Evitadas'!J119</f>
        <v/>
      </c>
      <c r="D99" s="5">
        <f t="shared" si="3"/>
        <v>0</v>
      </c>
      <c r="E99" s="5">
        <f t="shared" si="4"/>
        <v>0</v>
      </c>
      <c r="F99" s="5">
        <f t="shared" si="5"/>
        <v>0</v>
      </c>
    </row>
    <row r="100" spans="2:6" x14ac:dyDescent="0.35">
      <c r="B100" s="22">
        <f>'Emissões Evitadas'!B120</f>
        <v>0</v>
      </c>
      <c r="C100" s="62" t="str">
        <f>'Emissões Evitadas'!J120</f>
        <v/>
      </c>
      <c r="D100" s="5">
        <f t="shared" si="3"/>
        <v>0</v>
      </c>
      <c r="E100" s="5">
        <f t="shared" si="4"/>
        <v>0</v>
      </c>
      <c r="F100" s="5">
        <f t="shared" si="5"/>
        <v>0</v>
      </c>
    </row>
    <row r="101" spans="2:6" x14ac:dyDescent="0.35">
      <c r="B101" s="22">
        <f>'Emissões Evitadas'!B121</f>
        <v>0</v>
      </c>
      <c r="C101" s="62" t="str">
        <f>'Emissões Evitadas'!J121</f>
        <v/>
      </c>
      <c r="D101" s="5">
        <f t="shared" si="3"/>
        <v>0</v>
      </c>
      <c r="E101" s="5">
        <f t="shared" si="4"/>
        <v>0</v>
      </c>
      <c r="F101" s="5">
        <f t="shared" si="5"/>
        <v>0</v>
      </c>
    </row>
    <row r="102" spans="2:6" x14ac:dyDescent="0.35">
      <c r="B102" s="22">
        <f>'Emissões Evitadas'!B122</f>
        <v>0</v>
      </c>
      <c r="C102" s="62" t="str">
        <f>'Emissões Evitadas'!J122</f>
        <v/>
      </c>
      <c r="D102" s="5">
        <f t="shared" si="3"/>
        <v>0</v>
      </c>
      <c r="E102" s="5">
        <f t="shared" si="4"/>
        <v>0</v>
      </c>
      <c r="F102" s="5">
        <f t="shared" si="5"/>
        <v>0</v>
      </c>
    </row>
    <row r="103" spans="2:6" x14ac:dyDescent="0.35">
      <c r="B103" s="22">
        <f>'Emissões Evitadas'!B123</f>
        <v>0</v>
      </c>
      <c r="C103" s="62" t="str">
        <f>'Emissões Evitadas'!J123</f>
        <v/>
      </c>
      <c r="D103" s="5">
        <f t="shared" si="3"/>
        <v>0</v>
      </c>
      <c r="E103" s="5">
        <f t="shared" si="4"/>
        <v>0</v>
      </c>
      <c r="F103" s="5">
        <f t="shared" si="5"/>
        <v>0</v>
      </c>
    </row>
    <row r="104" spans="2:6" x14ac:dyDescent="0.35">
      <c r="B104" s="22">
        <f>'Emissões Evitadas'!B124</f>
        <v>0</v>
      </c>
      <c r="C104" s="62" t="str">
        <f>'Emissões Evitadas'!J124</f>
        <v/>
      </c>
      <c r="D104" s="5">
        <f t="shared" si="3"/>
        <v>0</v>
      </c>
      <c r="E104" s="5">
        <f t="shared" si="4"/>
        <v>0</v>
      </c>
      <c r="F104" s="5">
        <f t="shared" si="5"/>
        <v>0</v>
      </c>
    </row>
    <row r="105" spans="2:6" x14ac:dyDescent="0.35">
      <c r="B105" s="22">
        <f>'Emissões Evitadas'!B125</f>
        <v>0</v>
      </c>
      <c r="C105" s="62" t="str">
        <f>'Emissões Evitadas'!J125</f>
        <v/>
      </c>
      <c r="D105" s="5">
        <f t="shared" si="3"/>
        <v>0</v>
      </c>
      <c r="E105" s="5">
        <f t="shared" si="4"/>
        <v>0</v>
      </c>
      <c r="F105" s="5">
        <f t="shared" si="5"/>
        <v>0</v>
      </c>
    </row>
    <row r="106" spans="2:6" x14ac:dyDescent="0.35">
      <c r="B106" s="22">
        <f>'Emissões Evitadas'!B126</f>
        <v>0</v>
      </c>
      <c r="C106" s="62" t="str">
        <f>'Emissões Evitadas'!J126</f>
        <v/>
      </c>
      <c r="D106" s="5">
        <f t="shared" si="3"/>
        <v>0</v>
      </c>
      <c r="E106" s="5">
        <f t="shared" si="4"/>
        <v>0</v>
      </c>
      <c r="F106" s="5">
        <f t="shared" si="5"/>
        <v>0</v>
      </c>
    </row>
    <row r="107" spans="2:6" x14ac:dyDescent="0.35">
      <c r="B107" s="22">
        <f>'Emissões Evitadas'!B127</f>
        <v>0</v>
      </c>
      <c r="C107" s="62" t="str">
        <f>'Emissões Evitadas'!J127</f>
        <v/>
      </c>
      <c r="D107" s="5">
        <f t="shared" si="3"/>
        <v>0</v>
      </c>
      <c r="E107" s="5">
        <f t="shared" si="4"/>
        <v>0</v>
      </c>
      <c r="F107" s="5">
        <f t="shared" si="5"/>
        <v>0</v>
      </c>
    </row>
    <row r="108" spans="2:6" x14ac:dyDescent="0.35">
      <c r="B108" s="22">
        <f>'Emissões Evitadas'!B128</f>
        <v>0</v>
      </c>
      <c r="C108" s="62" t="str">
        <f>'Emissões Evitadas'!J128</f>
        <v/>
      </c>
      <c r="D108" s="5">
        <f t="shared" si="3"/>
        <v>0</v>
      </c>
      <c r="E108" s="5">
        <f t="shared" si="4"/>
        <v>0</v>
      </c>
      <c r="F108" s="5">
        <f t="shared" si="5"/>
        <v>0</v>
      </c>
    </row>
    <row r="109" spans="2:6" x14ac:dyDescent="0.35">
      <c r="B109" s="22">
        <f>'Emissões Evitadas'!B129</f>
        <v>0</v>
      </c>
      <c r="C109" s="62" t="str">
        <f>'Emissões Evitadas'!J129</f>
        <v/>
      </c>
      <c r="D109" s="5">
        <f t="shared" si="3"/>
        <v>0</v>
      </c>
      <c r="E109" s="5">
        <f t="shared" si="4"/>
        <v>0</v>
      </c>
      <c r="F109" s="5">
        <f t="shared" si="5"/>
        <v>0</v>
      </c>
    </row>
    <row r="110" spans="2:6" x14ac:dyDescent="0.35">
      <c r="D110" s="5">
        <f>SUM(D10:D109)</f>
        <v>0</v>
      </c>
      <c r="E110" s="5">
        <f t="shared" ref="E110:F110" si="6">SUM(E10:E109)</f>
        <v>0</v>
      </c>
      <c r="F110" s="5">
        <f t="shared" si="6"/>
        <v>0</v>
      </c>
    </row>
    <row r="111" spans="2:6" ht="20" x14ac:dyDescent="0.35">
      <c r="D111" s="13" t="s">
        <v>25</v>
      </c>
      <c r="E111" s="14" t="s">
        <v>36</v>
      </c>
      <c r="F111" s="15" t="s">
        <v>255</v>
      </c>
    </row>
  </sheetData>
  <mergeCells count="1">
    <mergeCell ref="D8:F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19CCE-765F-497B-AFBE-8826EC4B28C5}">
  <sheetPr codeName="Folha22">
    <tabColor rgb="FF02A39C"/>
  </sheetPr>
  <dimension ref="A1:AE226"/>
  <sheetViews>
    <sheetView showGridLines="0" topLeftCell="A169" zoomScale="55" zoomScaleNormal="55" workbookViewId="0">
      <selection activeCell="E32" sqref="E32"/>
    </sheetView>
  </sheetViews>
  <sheetFormatPr defaultColWidth="0" defaultRowHeight="15.5" zeroHeight="1" outlineLevelRow="1" x14ac:dyDescent="0.35"/>
  <cols>
    <col min="1" max="1" width="9.7265625" style="169" customWidth="1"/>
    <col min="2" max="2" width="14.7265625" style="169" customWidth="1"/>
    <col min="3" max="3" width="22.1796875" style="169" customWidth="1"/>
    <col min="4" max="4" width="25.7265625" style="169" customWidth="1"/>
    <col min="5" max="5" width="17.7265625" style="169" customWidth="1"/>
    <col min="6" max="6" width="29.7265625" style="169" customWidth="1"/>
    <col min="7" max="7" width="17.453125" style="169" customWidth="1"/>
    <col min="8" max="8" width="13.26953125" style="169" bestFit="1" customWidth="1"/>
    <col min="9" max="9" width="18.54296875" style="169" customWidth="1"/>
    <col min="10" max="10" width="60.81640625" style="169" customWidth="1"/>
    <col min="11" max="11" width="34" style="169" customWidth="1"/>
    <col min="12" max="12" width="15.7265625" style="169" customWidth="1"/>
    <col min="13" max="13" width="12.26953125" style="169" customWidth="1"/>
    <col min="14" max="14" width="13.26953125" style="169" customWidth="1"/>
    <col min="15" max="15" width="30.7265625" style="169" customWidth="1"/>
    <col min="16" max="16" width="38.26953125" style="169" customWidth="1"/>
    <col min="17" max="17" width="22.7265625" style="169" customWidth="1"/>
    <col min="18" max="27" width="8.7265625" style="169" customWidth="1"/>
    <col min="28" max="31" width="0" style="169" hidden="1" customWidth="1"/>
    <col min="32" max="16384" width="8.7265625" style="169" hidden="1"/>
  </cols>
  <sheetData>
    <row r="1" spans="2:17" x14ac:dyDescent="0.35"/>
    <row r="2" spans="2:17" x14ac:dyDescent="0.35"/>
    <row r="3" spans="2:17" x14ac:dyDescent="0.35"/>
    <row r="4" spans="2:17" x14ac:dyDescent="0.35"/>
    <row r="5" spans="2:17" x14ac:dyDescent="0.35"/>
    <row r="6" spans="2:17" x14ac:dyDescent="0.35"/>
    <row r="7" spans="2:17" x14ac:dyDescent="0.35"/>
    <row r="8" spans="2:17" ht="18.5" x14ac:dyDescent="0.45">
      <c r="D8" s="1049" t="str">
        <f>IF(Triagem!C36="","Não indicou na TRIAGEM se esta folha se adequa ao projeto",IF(Triagem!C36="Não","Não necessita de preencher esta folha","Folha a ser preenchida"))</f>
        <v>Não indicou na TRIAGEM se esta folha se adequa ao projeto</v>
      </c>
      <c r="E8" s="1049"/>
      <c r="F8" s="1049"/>
      <c r="G8" s="1049"/>
      <c r="H8" s="1049"/>
      <c r="I8" s="1049"/>
      <c r="J8" s="1049"/>
      <c r="K8" s="375"/>
    </row>
    <row r="9" spans="2:17" x14ac:dyDescent="0.35"/>
    <row r="10" spans="2:17" x14ac:dyDescent="0.35"/>
    <row r="11" spans="2:17" ht="18.5" x14ac:dyDescent="0.45">
      <c r="B11" s="375" t="s">
        <v>1255</v>
      </c>
    </row>
    <row r="12" spans="2:17" x14ac:dyDescent="0.35"/>
    <row r="13" spans="2:17" ht="54" customHeight="1" x14ac:dyDescent="0.35">
      <c r="B13" s="1265" t="s">
        <v>1287</v>
      </c>
      <c r="C13" s="1265"/>
      <c r="D13" s="1265"/>
      <c r="E13" s="1265"/>
      <c r="F13" s="1265"/>
      <c r="G13" s="1265"/>
      <c r="H13" s="1265"/>
      <c r="I13" s="1265"/>
      <c r="J13" s="1265"/>
      <c r="K13" s="1265"/>
      <c r="L13" s="311"/>
      <c r="M13" s="306"/>
      <c r="N13" s="306"/>
      <c r="O13" s="306"/>
      <c r="P13" s="306"/>
      <c r="Q13" s="306"/>
    </row>
    <row r="14" spans="2:17" ht="19.899999999999999" customHeight="1" x14ac:dyDescent="0.35">
      <c r="B14" s="306"/>
      <c r="C14" s="306"/>
      <c r="D14" s="306"/>
      <c r="E14" s="306"/>
      <c r="F14" s="306"/>
      <c r="G14" s="306"/>
      <c r="H14" s="306"/>
      <c r="I14" s="306"/>
      <c r="J14" s="306"/>
      <c r="K14" s="306"/>
      <c r="L14" s="306"/>
      <c r="M14" s="306"/>
      <c r="N14" s="306"/>
      <c r="O14" s="306"/>
      <c r="P14" s="306"/>
      <c r="Q14" s="306"/>
    </row>
    <row r="15" spans="2:17" x14ac:dyDescent="0.35">
      <c r="B15" s="167" t="s">
        <v>0</v>
      </c>
      <c r="C15" s="172"/>
      <c r="D15" s="172"/>
      <c r="E15" s="172"/>
      <c r="F15" s="172"/>
      <c r="G15" s="172"/>
      <c r="H15" s="172"/>
      <c r="I15" s="172"/>
      <c r="J15" s="172"/>
      <c r="K15" s="172"/>
    </row>
    <row r="16" spans="2:17" x14ac:dyDescent="0.35">
      <c r="B16" s="345" t="s">
        <v>1104</v>
      </c>
      <c r="C16" s="172"/>
      <c r="D16" s="172"/>
      <c r="E16" s="172"/>
      <c r="F16" s="172"/>
      <c r="G16" s="172"/>
      <c r="H16" s="172"/>
      <c r="I16" s="172"/>
      <c r="J16" s="172"/>
      <c r="K16" s="172"/>
    </row>
    <row r="17" spans="1:27" ht="19.899999999999999" customHeight="1" x14ac:dyDescent="0.35">
      <c r="B17" s="172" t="s">
        <v>1105</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1:27" ht="19.899999999999999" customHeight="1" x14ac:dyDescent="0.35">
      <c r="B18" s="172" t="s">
        <v>1250</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1:27" x14ac:dyDescent="0.35">
      <c r="B19" s="172" t="s">
        <v>1501</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1:27" ht="19.899999999999999" customHeight="1" x14ac:dyDescent="0.35">
      <c r="B20" s="172" t="s">
        <v>1253</v>
      </c>
      <c r="C20" s="229"/>
      <c r="D20" s="229"/>
      <c r="E20" s="229"/>
      <c r="F20" s="229"/>
      <c r="G20" s="229"/>
      <c r="H20" s="229"/>
      <c r="I20" s="229"/>
      <c r="J20" s="229"/>
      <c r="K20" s="229"/>
      <c r="L20" s="343"/>
      <c r="M20" s="343"/>
      <c r="N20" s="343"/>
      <c r="O20" s="343"/>
      <c r="P20" s="343"/>
      <c r="Q20" s="234"/>
      <c r="R20" s="234"/>
      <c r="S20" s="234"/>
      <c r="T20" s="234"/>
      <c r="U20" s="234"/>
      <c r="V20" s="234"/>
      <c r="W20" s="234"/>
      <c r="X20" s="234"/>
      <c r="Y20" s="234"/>
      <c r="Z20" s="234"/>
      <c r="AA20" s="234"/>
    </row>
    <row r="21" spans="1:27" ht="21" customHeight="1" x14ac:dyDescent="0.35">
      <c r="B21" s="1162" t="s">
        <v>1254</v>
      </c>
      <c r="C21" s="1162"/>
      <c r="D21" s="1162"/>
      <c r="E21" s="1162"/>
      <c r="F21" s="1162"/>
      <c r="G21" s="1162"/>
      <c r="H21" s="1162"/>
      <c r="I21" s="1162"/>
      <c r="J21" s="1162"/>
      <c r="K21" s="1162"/>
      <c r="L21" s="234"/>
      <c r="M21" s="234"/>
      <c r="N21" s="234"/>
      <c r="O21" s="234"/>
      <c r="P21" s="234"/>
      <c r="Q21" s="234"/>
      <c r="R21" s="232"/>
      <c r="S21" s="232"/>
      <c r="T21" s="232"/>
      <c r="U21" s="232"/>
      <c r="V21" s="232"/>
      <c r="W21" s="232"/>
      <c r="X21" s="232"/>
      <c r="Y21" s="232"/>
      <c r="Z21" s="232"/>
      <c r="AA21" s="233"/>
    </row>
    <row r="22" spans="1:27" ht="34.15" customHeight="1" x14ac:dyDescent="0.35">
      <c r="B22" s="1162" t="s">
        <v>1550</v>
      </c>
      <c r="C22" s="1162"/>
      <c r="D22" s="1162"/>
      <c r="E22" s="1162"/>
      <c r="F22" s="1162"/>
      <c r="G22" s="1162"/>
      <c r="H22" s="1162"/>
      <c r="I22" s="1162"/>
      <c r="J22" s="1162"/>
      <c r="K22" s="1162"/>
      <c r="L22" s="234"/>
      <c r="M22" s="234"/>
      <c r="N22" s="234"/>
      <c r="O22" s="234"/>
      <c r="P22" s="234"/>
      <c r="Q22" s="234"/>
      <c r="R22" s="232"/>
      <c r="S22" s="232"/>
      <c r="T22" s="232"/>
      <c r="U22" s="232"/>
      <c r="V22" s="232"/>
      <c r="W22" s="232"/>
      <c r="X22" s="232"/>
      <c r="Y22" s="232"/>
      <c r="Z22" s="232"/>
      <c r="AA22" s="233"/>
    </row>
    <row r="23" spans="1:27" x14ac:dyDescent="0.35"/>
    <row r="24" spans="1:27" x14ac:dyDescent="0.35">
      <c r="I24" s="183"/>
    </row>
    <row r="25" spans="1:27" x14ac:dyDescent="0.35">
      <c r="B25" s="236" t="s">
        <v>1289</v>
      </c>
    </row>
    <row r="26" spans="1:27" ht="38.5" customHeight="1" x14ac:dyDescent="0.35">
      <c r="B26" s="1089" t="s">
        <v>1242</v>
      </c>
      <c r="C26" s="1089" t="s">
        <v>1288</v>
      </c>
      <c r="D26" s="1089" t="s">
        <v>1243</v>
      </c>
      <c r="E26" s="1157" t="s">
        <v>1251</v>
      </c>
      <c r="F26" s="1157"/>
      <c r="G26" s="1157"/>
      <c r="H26" s="1158" t="s">
        <v>1252</v>
      </c>
      <c r="I26" s="1158"/>
      <c r="J26" s="1158"/>
      <c r="K26" s="1089" t="s">
        <v>1247</v>
      </c>
    </row>
    <row r="27" spans="1:27" ht="105" customHeight="1" x14ac:dyDescent="0.35">
      <c r="B27" s="1100"/>
      <c r="C27" s="1100"/>
      <c r="D27" s="1100"/>
      <c r="E27" s="237" t="s">
        <v>762</v>
      </c>
      <c r="F27" s="237" t="s">
        <v>29</v>
      </c>
      <c r="G27" s="237" t="s">
        <v>29</v>
      </c>
      <c r="H27" s="237" t="s">
        <v>729</v>
      </c>
      <c r="I27" s="238" t="s">
        <v>1229</v>
      </c>
      <c r="J27" s="238" t="s">
        <v>908</v>
      </c>
      <c r="K27" s="1100"/>
    </row>
    <row r="28" spans="1:27" s="248" customFormat="1" x14ac:dyDescent="0.35">
      <c r="A28" s="189" t="s">
        <v>39</v>
      </c>
      <c r="B28" s="579" t="s">
        <v>36</v>
      </c>
      <c r="C28" s="579" t="s">
        <v>1233</v>
      </c>
      <c r="D28" s="579"/>
      <c r="E28" s="844">
        <v>100</v>
      </c>
      <c r="F28" s="580" t="s">
        <v>877</v>
      </c>
      <c r="G28" s="580"/>
      <c r="H28" s="1003">
        <v>8.8304228737939222E-2</v>
      </c>
      <c r="I28" s="845">
        <v>10</v>
      </c>
      <c r="J28" s="246" t="s">
        <v>1246</v>
      </c>
      <c r="K28" s="1005">
        <v>1</v>
      </c>
    </row>
    <row r="29" spans="1:27" x14ac:dyDescent="0.35">
      <c r="B29" s="269"/>
      <c r="C29" s="250"/>
      <c r="D29" s="941"/>
      <c r="E29" s="952"/>
      <c r="F29" s="562" t="str">
        <f>IFERROR(VLOOKUP(C29,FABCC!$E$9:$F$20,2,FALSE),"")</f>
        <v/>
      </c>
      <c r="G29" s="941"/>
      <c r="H29" s="1004" t="str">
        <f>IFERROR(IF(VLOOKUP($C29,FABCC!$E$9:$H$20,3,FALSE)=0,"",VLOOKUP($C29,FABCC!$E$9:$H$20,3,FALSE)),"")</f>
        <v/>
      </c>
      <c r="I29" s="950"/>
      <c r="J29" s="953"/>
      <c r="K29" s="1006" t="str">
        <f>IFERROR(IF(I29="",H29*E29/1000,I29*E29/1000),"")</f>
        <v/>
      </c>
      <c r="L29" s="212"/>
    </row>
    <row r="30" spans="1:27" x14ac:dyDescent="0.35">
      <c r="B30" s="269"/>
      <c r="C30" s="250"/>
      <c r="D30" s="941"/>
      <c r="E30" s="952"/>
      <c r="F30" s="562" t="str">
        <f>IFERROR(VLOOKUP(C30,FABCC!$E$9:$F$20,2,FALSE),"")</f>
        <v/>
      </c>
      <c r="G30" s="941"/>
      <c r="H30" s="1004" t="str">
        <f>IFERROR(IF(VLOOKUP($C30,FABCC!$E$9:$H$20,3,FALSE)=0,"",VLOOKUP($C30,FABCC!$E$9:$H$20,3,FALSE)),"")</f>
        <v/>
      </c>
      <c r="I30" s="950"/>
      <c r="J30" s="953"/>
      <c r="K30" s="1006" t="str">
        <f t="shared" ref="K30:K93" si="0">IFERROR(IF(I30="",H30*E30/1000,I30*E30/1000),"")</f>
        <v/>
      </c>
      <c r="L30" s="212"/>
    </row>
    <row r="31" spans="1:27" x14ac:dyDescent="0.35">
      <c r="B31" s="269"/>
      <c r="C31" s="250"/>
      <c r="D31" s="941"/>
      <c r="E31" s="952"/>
      <c r="F31" s="562" t="str">
        <f>IFERROR(VLOOKUP(C31,FABCC!$E$9:$F$20,2,FALSE),"")</f>
        <v/>
      </c>
      <c r="G31" s="941"/>
      <c r="H31" s="1004" t="str">
        <f>IFERROR(IF(VLOOKUP($C31,FABCC!$E$9:$H$20,3,FALSE)=0,"",VLOOKUP($C31,FABCC!$E$9:$H$20,3,FALSE)),"")</f>
        <v/>
      </c>
      <c r="I31" s="950"/>
      <c r="J31" s="953"/>
      <c r="K31" s="1006" t="str">
        <f t="shared" si="0"/>
        <v/>
      </c>
      <c r="L31" s="212"/>
    </row>
    <row r="32" spans="1:27" x14ac:dyDescent="0.35">
      <c r="B32" s="269"/>
      <c r="C32" s="250"/>
      <c r="D32" s="941"/>
      <c r="E32" s="952"/>
      <c r="F32" s="562" t="str">
        <f>IFERROR(VLOOKUP(C32,FABCC!$E$9:$F$20,2,FALSE),"")</f>
        <v/>
      </c>
      <c r="G32" s="941"/>
      <c r="H32" s="1004" t="str">
        <f>IFERROR(IF(VLOOKUP($C32,FABCC!$E$9:$H$20,3,FALSE)=0,"",VLOOKUP($C32,FABCC!$E$9:$H$20,3,FALSE)),"")</f>
        <v/>
      </c>
      <c r="I32" s="950"/>
      <c r="J32" s="953"/>
      <c r="K32" s="1006" t="str">
        <f t="shared" si="0"/>
        <v/>
      </c>
      <c r="L32" s="212"/>
    </row>
    <row r="33" spans="2:13" x14ac:dyDescent="0.35">
      <c r="B33" s="269"/>
      <c r="C33" s="250"/>
      <c r="D33" s="941"/>
      <c r="E33" s="952"/>
      <c r="F33" s="562" t="str">
        <f>IFERROR(VLOOKUP(C33,FABCC!$E$9:$F$20,2,FALSE),"")</f>
        <v/>
      </c>
      <c r="G33" s="941"/>
      <c r="H33" s="1004" t="str">
        <f>IFERROR(IF(VLOOKUP($C33,FABCC!$E$9:$H$20,3,FALSE)=0,"",VLOOKUP($C33,FABCC!$E$9:$H$20,3,FALSE)),"")</f>
        <v/>
      </c>
      <c r="I33" s="950"/>
      <c r="J33" s="953"/>
      <c r="K33" s="1006" t="str">
        <f t="shared" si="0"/>
        <v/>
      </c>
      <c r="L33" s="212"/>
      <c r="M33" s="368"/>
    </row>
    <row r="34" spans="2:13" x14ac:dyDescent="0.35">
      <c r="B34" s="269"/>
      <c r="C34" s="250"/>
      <c r="D34" s="941"/>
      <c r="E34" s="952"/>
      <c r="F34" s="562" t="str">
        <f>IFERROR(VLOOKUP(C34,FABCC!$E$9:$F$20,2,FALSE),"")</f>
        <v/>
      </c>
      <c r="G34" s="941"/>
      <c r="H34" s="1004" t="str">
        <f>IFERROR(IF(VLOOKUP($C34,FABCC!$E$9:$H$20,3,FALSE)=0,"",VLOOKUP($C34,FABCC!$E$9:$H$20,3,FALSE)),"")</f>
        <v/>
      </c>
      <c r="I34" s="950"/>
      <c r="J34" s="953"/>
      <c r="K34" s="1006" t="str">
        <f t="shared" si="0"/>
        <v/>
      </c>
      <c r="L34" s="212"/>
      <c r="M34" s="369"/>
    </row>
    <row r="35" spans="2:13" x14ac:dyDescent="0.35">
      <c r="B35" s="269"/>
      <c r="C35" s="250"/>
      <c r="D35" s="941"/>
      <c r="E35" s="952"/>
      <c r="F35" s="562" t="str">
        <f>IFERROR(VLOOKUP(C35,FABCC!$E$9:$F$20,2,FALSE),"")</f>
        <v/>
      </c>
      <c r="G35" s="941"/>
      <c r="H35" s="1004" t="str">
        <f>IFERROR(IF(VLOOKUP($C35,FABCC!$E$9:$H$20,3,FALSE)=0,"",VLOOKUP($C35,FABCC!$E$9:$H$20,3,FALSE)),"")</f>
        <v/>
      </c>
      <c r="I35" s="950"/>
      <c r="J35" s="953"/>
      <c r="K35" s="1006" t="str">
        <f t="shared" si="0"/>
        <v/>
      </c>
      <c r="L35" s="212"/>
    </row>
    <row r="36" spans="2:13" x14ac:dyDescent="0.35">
      <c r="B36" s="269"/>
      <c r="C36" s="250"/>
      <c r="D36" s="941"/>
      <c r="E36" s="952"/>
      <c r="F36" s="562" t="str">
        <f>IFERROR(VLOOKUP(C36,FABCC!$E$9:$F$20,2,FALSE),"")</f>
        <v/>
      </c>
      <c r="G36" s="941"/>
      <c r="H36" s="1004" t="str">
        <f>IFERROR(IF(VLOOKUP($C36,FABCC!$E$9:$H$20,3,FALSE)=0,"",VLOOKUP($C36,FABCC!$E$9:$H$20,3,FALSE)),"")</f>
        <v/>
      </c>
      <c r="I36" s="950"/>
      <c r="J36" s="953"/>
      <c r="K36" s="1006" t="str">
        <f t="shared" si="0"/>
        <v/>
      </c>
      <c r="L36" s="212"/>
    </row>
    <row r="37" spans="2:13" x14ac:dyDescent="0.35">
      <c r="B37" s="269"/>
      <c r="C37" s="250"/>
      <c r="D37" s="941"/>
      <c r="E37" s="952"/>
      <c r="F37" s="562" t="str">
        <f>IFERROR(VLOOKUP(C37,FABCC!$E$9:$F$20,2,FALSE),"")</f>
        <v/>
      </c>
      <c r="G37" s="941"/>
      <c r="H37" s="1004" t="str">
        <f>IFERROR(IF(VLOOKUP($C37,FABCC!$E$9:$H$20,3,FALSE)=0,"",VLOOKUP($C37,FABCC!$E$9:$H$20,3,FALSE)),"")</f>
        <v/>
      </c>
      <c r="I37" s="950"/>
      <c r="J37" s="953"/>
      <c r="K37" s="1006" t="str">
        <f t="shared" si="0"/>
        <v/>
      </c>
      <c r="L37" s="212"/>
    </row>
    <row r="38" spans="2:13" x14ac:dyDescent="0.35">
      <c r="B38" s="269"/>
      <c r="C38" s="250"/>
      <c r="D38" s="941"/>
      <c r="E38" s="952"/>
      <c r="F38" s="562" t="str">
        <f>IFERROR(VLOOKUP(C38,FABCC!$E$9:$F$20,2,FALSE),"")</f>
        <v/>
      </c>
      <c r="G38" s="941"/>
      <c r="H38" s="1004" t="str">
        <f>IFERROR(IF(VLOOKUP($C38,FABCC!$E$9:$H$20,3,FALSE)=0,"",VLOOKUP($C38,FABCC!$E$9:$H$20,3,FALSE)),"")</f>
        <v/>
      </c>
      <c r="I38" s="950"/>
      <c r="J38" s="953"/>
      <c r="K38" s="1006" t="str">
        <f t="shared" si="0"/>
        <v/>
      </c>
      <c r="L38" s="212"/>
    </row>
    <row r="39" spans="2:13" x14ac:dyDescent="0.35">
      <c r="B39" s="269"/>
      <c r="C39" s="250"/>
      <c r="D39" s="941"/>
      <c r="E39" s="952"/>
      <c r="F39" s="562" t="str">
        <f>IFERROR(VLOOKUP(C39,FABCC!$E$9:$F$20,2,FALSE),"")</f>
        <v/>
      </c>
      <c r="G39" s="941"/>
      <c r="H39" s="1004" t="str">
        <f>IFERROR(IF(VLOOKUP($C39,FABCC!$E$9:$H$20,3,FALSE)=0,"",VLOOKUP($C39,FABCC!$E$9:$H$20,3,FALSE)),"")</f>
        <v/>
      </c>
      <c r="I39" s="950"/>
      <c r="J39" s="953"/>
      <c r="K39" s="1006" t="str">
        <f t="shared" si="0"/>
        <v/>
      </c>
      <c r="L39" s="212"/>
    </row>
    <row r="40" spans="2:13" hidden="1" outlineLevel="1" x14ac:dyDescent="0.35">
      <c r="B40" s="269"/>
      <c r="C40" s="250"/>
      <c r="D40" s="941"/>
      <c r="E40" s="952"/>
      <c r="F40" s="562" t="str">
        <f>IFERROR(VLOOKUP(C40,FABCC!$E$9:$F$20,2,FALSE),"")</f>
        <v/>
      </c>
      <c r="G40" s="941"/>
      <c r="H40" s="1004" t="str">
        <f>IFERROR(IF(VLOOKUP($C40,FABCC!$E$9:$H$20,3,FALSE)=0,"",VLOOKUP($C40,FABCC!$E$9:$H$20,3,FALSE)),"")</f>
        <v/>
      </c>
      <c r="I40" s="950"/>
      <c r="J40" s="953"/>
      <c r="K40" s="1006" t="str">
        <f t="shared" si="0"/>
        <v/>
      </c>
      <c r="L40" s="212"/>
    </row>
    <row r="41" spans="2:13" hidden="1" outlineLevel="1" x14ac:dyDescent="0.35">
      <c r="B41" s="269"/>
      <c r="C41" s="250"/>
      <c r="D41" s="941"/>
      <c r="E41" s="952"/>
      <c r="F41" s="562" t="str">
        <f>IFERROR(VLOOKUP(C41,FABCC!$E$9:$F$20,2,FALSE),"")</f>
        <v/>
      </c>
      <c r="G41" s="941"/>
      <c r="H41" s="1004" t="str">
        <f>IFERROR(IF(VLOOKUP($C41,FABCC!$E$9:$H$20,3,FALSE)=0,"",VLOOKUP($C41,FABCC!$E$9:$H$20,3,FALSE)),"")</f>
        <v/>
      </c>
      <c r="I41" s="950"/>
      <c r="J41" s="953"/>
      <c r="K41" s="1006" t="str">
        <f t="shared" si="0"/>
        <v/>
      </c>
      <c r="L41" s="212"/>
    </row>
    <row r="42" spans="2:13" hidden="1" outlineLevel="1" x14ac:dyDescent="0.35">
      <c r="B42" s="269"/>
      <c r="C42" s="250"/>
      <c r="D42" s="941"/>
      <c r="E42" s="952"/>
      <c r="F42" s="562" t="str">
        <f>IFERROR(VLOOKUP(C42,FABCC!$E$9:$F$20,2,FALSE),"")</f>
        <v/>
      </c>
      <c r="G42" s="941"/>
      <c r="H42" s="1004" t="str">
        <f>IFERROR(IF(VLOOKUP($C42,FABCC!$E$9:$H$20,3,FALSE)=0,"",VLOOKUP($C42,FABCC!$E$9:$H$20,3,FALSE)),"")</f>
        <v/>
      </c>
      <c r="I42" s="950"/>
      <c r="J42" s="953"/>
      <c r="K42" s="1006" t="str">
        <f t="shared" si="0"/>
        <v/>
      </c>
      <c r="L42" s="212"/>
    </row>
    <row r="43" spans="2:13" hidden="1" outlineLevel="1" x14ac:dyDescent="0.35">
      <c r="B43" s="269"/>
      <c r="C43" s="250"/>
      <c r="D43" s="941"/>
      <c r="E43" s="952"/>
      <c r="F43" s="562" t="str">
        <f>IFERROR(VLOOKUP(C43,FABCC!$E$9:$F$20,2,FALSE),"")</f>
        <v/>
      </c>
      <c r="G43" s="941"/>
      <c r="H43" s="1004" t="str">
        <f>IFERROR(IF(VLOOKUP($C43,FABCC!$E$9:$H$20,3,FALSE)=0,"",VLOOKUP($C43,FABCC!$E$9:$H$20,3,FALSE)),"")</f>
        <v/>
      </c>
      <c r="I43" s="950"/>
      <c r="J43" s="953"/>
      <c r="K43" s="1006" t="str">
        <f t="shared" si="0"/>
        <v/>
      </c>
      <c r="L43" s="212"/>
    </row>
    <row r="44" spans="2:13" hidden="1" outlineLevel="1" x14ac:dyDescent="0.35">
      <c r="B44" s="269"/>
      <c r="C44" s="250"/>
      <c r="D44" s="941"/>
      <c r="E44" s="952"/>
      <c r="F44" s="562" t="str">
        <f>IFERROR(VLOOKUP(C44,FABCC!$E$9:$F$20,2,FALSE),"")</f>
        <v/>
      </c>
      <c r="G44" s="941"/>
      <c r="H44" s="1004" t="str">
        <f>IFERROR(IF(VLOOKUP($C44,FABCC!$E$9:$H$20,3,FALSE)=0,"",VLOOKUP($C44,FABCC!$E$9:$H$20,3,FALSE)),"")</f>
        <v/>
      </c>
      <c r="I44" s="950"/>
      <c r="J44" s="953"/>
      <c r="K44" s="1006" t="str">
        <f t="shared" si="0"/>
        <v/>
      </c>
      <c r="L44" s="212"/>
    </row>
    <row r="45" spans="2:13" hidden="1" outlineLevel="1" x14ac:dyDescent="0.35">
      <c r="B45" s="269"/>
      <c r="C45" s="250"/>
      <c r="D45" s="941"/>
      <c r="E45" s="952"/>
      <c r="F45" s="562" t="str">
        <f>IFERROR(VLOOKUP(C45,FABCC!$E$9:$F$20,2,FALSE),"")</f>
        <v/>
      </c>
      <c r="G45" s="941"/>
      <c r="H45" s="1004" t="str">
        <f>IFERROR(IF(VLOOKUP($C45,FABCC!$E$9:$H$20,3,FALSE)=0,"",VLOOKUP($C45,FABCC!$E$9:$H$20,3,FALSE)),"")</f>
        <v/>
      </c>
      <c r="I45" s="950"/>
      <c r="J45" s="953"/>
      <c r="K45" s="1006" t="str">
        <f t="shared" si="0"/>
        <v/>
      </c>
      <c r="L45" s="212"/>
    </row>
    <row r="46" spans="2:13" hidden="1" outlineLevel="1" x14ac:dyDescent="0.35">
      <c r="B46" s="269"/>
      <c r="C46" s="250"/>
      <c r="D46" s="941"/>
      <c r="E46" s="952"/>
      <c r="F46" s="562" t="str">
        <f>IFERROR(VLOOKUP(C46,FABCC!$E$9:$F$20,2,FALSE),"")</f>
        <v/>
      </c>
      <c r="G46" s="941"/>
      <c r="H46" s="1004" t="str">
        <f>IFERROR(IF(VLOOKUP($C46,FABCC!$E$9:$H$20,3,FALSE)=0,"",VLOOKUP($C46,FABCC!$E$9:$H$20,3,FALSE)),"")</f>
        <v/>
      </c>
      <c r="I46" s="950"/>
      <c r="J46" s="953"/>
      <c r="K46" s="1006" t="str">
        <f t="shared" si="0"/>
        <v/>
      </c>
      <c r="L46" s="212"/>
    </row>
    <row r="47" spans="2:13" hidden="1" outlineLevel="1" x14ac:dyDescent="0.35">
      <c r="B47" s="269"/>
      <c r="C47" s="250"/>
      <c r="D47" s="941"/>
      <c r="E47" s="952"/>
      <c r="F47" s="562" t="str">
        <f>IFERROR(VLOOKUP(C47,FABCC!$E$9:$F$20,2,FALSE),"")</f>
        <v/>
      </c>
      <c r="G47" s="941"/>
      <c r="H47" s="1004" t="str">
        <f>IFERROR(IF(VLOOKUP($C47,FABCC!$E$9:$H$20,3,FALSE)=0,"",VLOOKUP($C47,FABCC!$E$9:$H$20,3,FALSE)),"")</f>
        <v/>
      </c>
      <c r="I47" s="950"/>
      <c r="J47" s="953"/>
      <c r="K47" s="1006" t="str">
        <f t="shared" si="0"/>
        <v/>
      </c>
      <c r="L47" s="212"/>
    </row>
    <row r="48" spans="2:13" hidden="1" outlineLevel="1" x14ac:dyDescent="0.35">
      <c r="B48" s="269"/>
      <c r="C48" s="250"/>
      <c r="D48" s="941"/>
      <c r="E48" s="952"/>
      <c r="F48" s="562" t="str">
        <f>IFERROR(VLOOKUP(C48,FABCC!$E$9:$F$20,2,FALSE),"")</f>
        <v/>
      </c>
      <c r="G48" s="941"/>
      <c r="H48" s="1004" t="str">
        <f>IFERROR(IF(VLOOKUP($C48,FABCC!$E$9:$H$20,3,FALSE)=0,"",VLOOKUP($C48,FABCC!$E$9:$H$20,3,FALSE)),"")</f>
        <v/>
      </c>
      <c r="I48" s="950"/>
      <c r="J48" s="953"/>
      <c r="K48" s="1006" t="str">
        <f t="shared" si="0"/>
        <v/>
      </c>
      <c r="L48" s="212"/>
    </row>
    <row r="49" spans="2:12" hidden="1" outlineLevel="1" x14ac:dyDescent="0.35">
      <c r="B49" s="269"/>
      <c r="C49" s="250"/>
      <c r="D49" s="941"/>
      <c r="E49" s="952"/>
      <c r="F49" s="562" t="str">
        <f>IFERROR(VLOOKUP(C49,FABCC!$E$9:$F$20,2,FALSE),"")</f>
        <v/>
      </c>
      <c r="G49" s="941"/>
      <c r="H49" s="1004" t="str">
        <f>IFERROR(IF(VLOOKUP($C49,FABCC!$E$9:$H$20,3,FALSE)=0,"",VLOOKUP($C49,FABCC!$E$9:$H$20,3,FALSE)),"")</f>
        <v/>
      </c>
      <c r="I49" s="950"/>
      <c r="J49" s="953"/>
      <c r="K49" s="1006" t="str">
        <f t="shared" si="0"/>
        <v/>
      </c>
      <c r="L49" s="212"/>
    </row>
    <row r="50" spans="2:12" hidden="1" outlineLevel="1" x14ac:dyDescent="0.35">
      <c r="B50" s="269"/>
      <c r="C50" s="250"/>
      <c r="D50" s="941"/>
      <c r="E50" s="952"/>
      <c r="F50" s="562" t="str">
        <f>IFERROR(VLOOKUP(C50,FABCC!$E$9:$F$20,2,FALSE),"")</f>
        <v/>
      </c>
      <c r="G50" s="941"/>
      <c r="H50" s="1004" t="str">
        <f>IFERROR(IF(VLOOKUP($C50,FABCC!$E$9:$H$20,3,FALSE)=0,"",VLOOKUP($C50,FABCC!$E$9:$H$20,3,FALSE)),"")</f>
        <v/>
      </c>
      <c r="I50" s="950"/>
      <c r="J50" s="953"/>
      <c r="K50" s="1006" t="str">
        <f t="shared" si="0"/>
        <v/>
      </c>
      <c r="L50" s="212"/>
    </row>
    <row r="51" spans="2:12" hidden="1" outlineLevel="1" x14ac:dyDescent="0.35">
      <c r="B51" s="269"/>
      <c r="C51" s="250"/>
      <c r="D51" s="941"/>
      <c r="E51" s="952"/>
      <c r="F51" s="562" t="str">
        <f>IFERROR(VLOOKUP(C51,FABCC!$E$9:$F$20,2,FALSE),"")</f>
        <v/>
      </c>
      <c r="G51" s="941"/>
      <c r="H51" s="1004" t="str">
        <f>IFERROR(IF(VLOOKUP($C51,FABCC!$E$9:$H$20,3,FALSE)=0,"",VLOOKUP($C51,FABCC!$E$9:$H$20,3,FALSE)),"")</f>
        <v/>
      </c>
      <c r="I51" s="950"/>
      <c r="J51" s="953"/>
      <c r="K51" s="1006" t="str">
        <f t="shared" si="0"/>
        <v/>
      </c>
      <c r="L51" s="212"/>
    </row>
    <row r="52" spans="2:12" hidden="1" outlineLevel="1" x14ac:dyDescent="0.35">
      <c r="B52" s="269"/>
      <c r="C52" s="250"/>
      <c r="D52" s="941"/>
      <c r="E52" s="952"/>
      <c r="F52" s="562" t="str">
        <f>IFERROR(VLOOKUP(C52,FABCC!$E$9:$F$20,2,FALSE),"")</f>
        <v/>
      </c>
      <c r="G52" s="941"/>
      <c r="H52" s="1004" t="str">
        <f>IFERROR(IF(VLOOKUP($C52,FABCC!$E$9:$H$20,3,FALSE)=0,"",VLOOKUP($C52,FABCC!$E$9:$H$20,3,FALSE)),"")</f>
        <v/>
      </c>
      <c r="I52" s="950"/>
      <c r="J52" s="953"/>
      <c r="K52" s="1006" t="str">
        <f t="shared" si="0"/>
        <v/>
      </c>
      <c r="L52" s="212"/>
    </row>
    <row r="53" spans="2:12" hidden="1" outlineLevel="1" x14ac:dyDescent="0.35">
      <c r="B53" s="269"/>
      <c r="C53" s="250"/>
      <c r="D53" s="941"/>
      <c r="E53" s="952"/>
      <c r="F53" s="562" t="str">
        <f>IFERROR(VLOOKUP(C53,FABCC!$E$9:$F$20,2,FALSE),"")</f>
        <v/>
      </c>
      <c r="G53" s="941"/>
      <c r="H53" s="1004" t="str">
        <f>IFERROR(IF(VLOOKUP($C53,FABCC!$E$9:$H$20,3,FALSE)=0,"",VLOOKUP($C53,FABCC!$E$9:$H$20,3,FALSE)),"")</f>
        <v/>
      </c>
      <c r="I53" s="950"/>
      <c r="J53" s="953"/>
      <c r="K53" s="1006" t="str">
        <f t="shared" si="0"/>
        <v/>
      </c>
      <c r="L53" s="212"/>
    </row>
    <row r="54" spans="2:12" hidden="1" outlineLevel="1" x14ac:dyDescent="0.35">
      <c r="B54" s="269"/>
      <c r="C54" s="250"/>
      <c r="D54" s="941"/>
      <c r="E54" s="952"/>
      <c r="F54" s="562" t="str">
        <f>IFERROR(VLOOKUP(C54,FABCC!$E$9:$F$20,2,FALSE),"")</f>
        <v/>
      </c>
      <c r="G54" s="941"/>
      <c r="H54" s="1004" t="str">
        <f>IFERROR(IF(VLOOKUP($C54,FABCC!$E$9:$H$20,3,FALSE)=0,"",VLOOKUP($C54,FABCC!$E$9:$H$20,3,FALSE)),"")</f>
        <v/>
      </c>
      <c r="I54" s="950"/>
      <c r="J54" s="953"/>
      <c r="K54" s="1006" t="str">
        <f t="shared" si="0"/>
        <v/>
      </c>
      <c r="L54" s="212"/>
    </row>
    <row r="55" spans="2:12" hidden="1" outlineLevel="1" x14ac:dyDescent="0.35">
      <c r="B55" s="269"/>
      <c r="C55" s="250"/>
      <c r="D55" s="941"/>
      <c r="E55" s="952"/>
      <c r="F55" s="562" t="str">
        <f>IFERROR(VLOOKUP(C55,FABCC!$E$9:$F$20,2,FALSE),"")</f>
        <v/>
      </c>
      <c r="G55" s="941"/>
      <c r="H55" s="1004" t="str">
        <f>IFERROR(IF(VLOOKUP($C55,FABCC!$E$9:$H$20,3,FALSE)=0,"",VLOOKUP($C55,FABCC!$E$9:$H$20,3,FALSE)),"")</f>
        <v/>
      </c>
      <c r="I55" s="950"/>
      <c r="J55" s="953"/>
      <c r="K55" s="1006" t="str">
        <f t="shared" si="0"/>
        <v/>
      </c>
      <c r="L55" s="212"/>
    </row>
    <row r="56" spans="2:12" hidden="1" outlineLevel="1" x14ac:dyDescent="0.35">
      <c r="B56" s="269"/>
      <c r="C56" s="250"/>
      <c r="D56" s="941"/>
      <c r="E56" s="952"/>
      <c r="F56" s="562" t="str">
        <f>IFERROR(VLOOKUP(C56,FABCC!$E$9:$F$20,2,FALSE),"")</f>
        <v/>
      </c>
      <c r="G56" s="941"/>
      <c r="H56" s="1004" t="str">
        <f>IFERROR(IF(VLOOKUP($C56,FABCC!$E$9:$H$20,3,FALSE)=0,"",VLOOKUP($C56,FABCC!$E$9:$H$20,3,FALSE)),"")</f>
        <v/>
      </c>
      <c r="I56" s="950"/>
      <c r="J56" s="953"/>
      <c r="K56" s="1006" t="str">
        <f t="shared" si="0"/>
        <v/>
      </c>
      <c r="L56" s="212"/>
    </row>
    <row r="57" spans="2:12" hidden="1" outlineLevel="1" x14ac:dyDescent="0.35">
      <c r="B57" s="269"/>
      <c r="C57" s="250"/>
      <c r="D57" s="941"/>
      <c r="E57" s="952"/>
      <c r="F57" s="562" t="str">
        <f>IFERROR(VLOOKUP(C57,FABCC!$E$9:$F$20,2,FALSE),"")</f>
        <v/>
      </c>
      <c r="G57" s="941"/>
      <c r="H57" s="1004" t="str">
        <f>IFERROR(IF(VLOOKUP($C57,FABCC!$E$9:$H$20,3,FALSE)=0,"",VLOOKUP($C57,FABCC!$E$9:$H$20,3,FALSE)),"")</f>
        <v/>
      </c>
      <c r="I57" s="950"/>
      <c r="J57" s="953"/>
      <c r="K57" s="1006" t="str">
        <f t="shared" si="0"/>
        <v/>
      </c>
      <c r="L57" s="212"/>
    </row>
    <row r="58" spans="2:12" hidden="1" outlineLevel="1" x14ac:dyDescent="0.35">
      <c r="B58" s="269"/>
      <c r="C58" s="250"/>
      <c r="D58" s="941"/>
      <c r="E58" s="952"/>
      <c r="F58" s="562" t="str">
        <f>IFERROR(VLOOKUP(C58,FABCC!$E$9:$F$20,2,FALSE),"")</f>
        <v/>
      </c>
      <c r="G58" s="941"/>
      <c r="H58" s="1004" t="str">
        <f>IFERROR(IF(VLOOKUP($C58,FABCC!$E$9:$H$20,3,FALSE)=0,"",VLOOKUP($C58,FABCC!$E$9:$H$20,3,FALSE)),"")</f>
        <v/>
      </c>
      <c r="I58" s="950"/>
      <c r="J58" s="953"/>
      <c r="K58" s="1006" t="str">
        <f t="shared" si="0"/>
        <v/>
      </c>
      <c r="L58" s="212"/>
    </row>
    <row r="59" spans="2:12" hidden="1" outlineLevel="1" x14ac:dyDescent="0.35">
      <c r="B59" s="269"/>
      <c r="C59" s="250"/>
      <c r="D59" s="941"/>
      <c r="E59" s="952"/>
      <c r="F59" s="562" t="str">
        <f>IFERROR(VLOOKUP(C59,FABCC!$E$9:$F$20,2,FALSE),"")</f>
        <v/>
      </c>
      <c r="G59" s="941"/>
      <c r="H59" s="1004" t="str">
        <f>IFERROR(IF(VLOOKUP($C59,FABCC!$E$9:$H$20,3,FALSE)=0,"",VLOOKUP($C59,FABCC!$E$9:$H$20,3,FALSE)),"")</f>
        <v/>
      </c>
      <c r="I59" s="950"/>
      <c r="J59" s="953"/>
      <c r="K59" s="1006" t="str">
        <f t="shared" si="0"/>
        <v/>
      </c>
      <c r="L59" s="212"/>
    </row>
    <row r="60" spans="2:12" hidden="1" outlineLevel="1" x14ac:dyDescent="0.35">
      <c r="B60" s="269"/>
      <c r="C60" s="250"/>
      <c r="D60" s="941"/>
      <c r="E60" s="952"/>
      <c r="F60" s="562" t="str">
        <f>IFERROR(VLOOKUP(C60,FABCC!$E$9:$F$20,2,FALSE),"")</f>
        <v/>
      </c>
      <c r="G60" s="941"/>
      <c r="H60" s="1004" t="str">
        <f>IFERROR(IF(VLOOKUP($C60,FABCC!$E$9:$H$20,3,FALSE)=0,"",VLOOKUP($C60,FABCC!$E$9:$H$20,3,FALSE)),"")</f>
        <v/>
      </c>
      <c r="I60" s="950"/>
      <c r="J60" s="953"/>
      <c r="K60" s="1006" t="str">
        <f t="shared" si="0"/>
        <v/>
      </c>
      <c r="L60" s="212"/>
    </row>
    <row r="61" spans="2:12" hidden="1" outlineLevel="1" x14ac:dyDescent="0.35">
      <c r="B61" s="269"/>
      <c r="C61" s="250"/>
      <c r="D61" s="941"/>
      <c r="E61" s="952"/>
      <c r="F61" s="562" t="str">
        <f>IFERROR(VLOOKUP(C61,FABCC!$E$9:$F$20,2,FALSE),"")</f>
        <v/>
      </c>
      <c r="G61" s="941"/>
      <c r="H61" s="1004" t="str">
        <f>IFERROR(IF(VLOOKUP($C61,FABCC!$E$9:$H$20,3,FALSE)=0,"",VLOOKUP($C61,FABCC!$E$9:$H$20,3,FALSE)),"")</f>
        <v/>
      </c>
      <c r="I61" s="950"/>
      <c r="J61" s="953"/>
      <c r="K61" s="1006" t="str">
        <f t="shared" si="0"/>
        <v/>
      </c>
      <c r="L61" s="212"/>
    </row>
    <row r="62" spans="2:12" hidden="1" outlineLevel="1" x14ac:dyDescent="0.35">
      <c r="B62" s="269"/>
      <c r="C62" s="250"/>
      <c r="D62" s="941"/>
      <c r="E62" s="952"/>
      <c r="F62" s="562" t="str">
        <f>IFERROR(VLOOKUP(C62,FABCC!$E$9:$F$20,2,FALSE),"")</f>
        <v/>
      </c>
      <c r="G62" s="941"/>
      <c r="H62" s="1004" t="str">
        <f>IFERROR(IF(VLOOKUP($C62,FABCC!$E$9:$H$20,3,FALSE)=0,"",VLOOKUP($C62,FABCC!$E$9:$H$20,3,FALSE)),"")</f>
        <v/>
      </c>
      <c r="I62" s="950"/>
      <c r="J62" s="953"/>
      <c r="K62" s="1006" t="str">
        <f t="shared" si="0"/>
        <v/>
      </c>
      <c r="L62" s="212"/>
    </row>
    <row r="63" spans="2:12" hidden="1" outlineLevel="1" x14ac:dyDescent="0.35">
      <c r="B63" s="269"/>
      <c r="C63" s="250"/>
      <c r="D63" s="941"/>
      <c r="E63" s="952"/>
      <c r="F63" s="562" t="str">
        <f>IFERROR(VLOOKUP(C63,FABCC!$E$9:$F$20,2,FALSE),"")</f>
        <v/>
      </c>
      <c r="G63" s="941"/>
      <c r="H63" s="1004" t="str">
        <f>IFERROR(IF(VLOOKUP($C63,FABCC!$E$9:$H$20,3,FALSE)=0,"",VLOOKUP($C63,FABCC!$E$9:$H$20,3,FALSE)),"")</f>
        <v/>
      </c>
      <c r="I63" s="950"/>
      <c r="J63" s="953"/>
      <c r="K63" s="1006" t="str">
        <f t="shared" si="0"/>
        <v/>
      </c>
      <c r="L63" s="212"/>
    </row>
    <row r="64" spans="2:12" hidden="1" outlineLevel="1" x14ac:dyDescent="0.35">
      <c r="B64" s="269"/>
      <c r="C64" s="250"/>
      <c r="D64" s="941"/>
      <c r="E64" s="952"/>
      <c r="F64" s="562" t="str">
        <f>IFERROR(VLOOKUP(C64,FABCC!$E$9:$F$20,2,FALSE),"")</f>
        <v/>
      </c>
      <c r="G64" s="941"/>
      <c r="H64" s="1004" t="str">
        <f>IFERROR(IF(VLOOKUP($C64,FABCC!$E$9:$H$20,3,FALSE)=0,"",VLOOKUP($C64,FABCC!$E$9:$H$20,3,FALSE)),"")</f>
        <v/>
      </c>
      <c r="I64" s="950"/>
      <c r="J64" s="953"/>
      <c r="K64" s="1006" t="str">
        <f t="shared" si="0"/>
        <v/>
      </c>
      <c r="L64" s="212"/>
    </row>
    <row r="65" spans="2:12" hidden="1" outlineLevel="1" x14ac:dyDescent="0.35">
      <c r="B65" s="269"/>
      <c r="C65" s="250"/>
      <c r="D65" s="941"/>
      <c r="E65" s="952"/>
      <c r="F65" s="562" t="str">
        <f>IFERROR(VLOOKUP(C65,FABCC!$E$9:$F$20,2,FALSE),"")</f>
        <v/>
      </c>
      <c r="G65" s="941"/>
      <c r="H65" s="1004" t="str">
        <f>IFERROR(IF(VLOOKUP($C65,FABCC!$E$9:$H$20,3,FALSE)=0,"",VLOOKUP($C65,FABCC!$E$9:$H$20,3,FALSE)),"")</f>
        <v/>
      </c>
      <c r="I65" s="950"/>
      <c r="J65" s="953"/>
      <c r="K65" s="1006" t="str">
        <f t="shared" si="0"/>
        <v/>
      </c>
      <c r="L65" s="212"/>
    </row>
    <row r="66" spans="2:12" hidden="1" outlineLevel="1" x14ac:dyDescent="0.35">
      <c r="B66" s="269"/>
      <c r="C66" s="250"/>
      <c r="D66" s="941"/>
      <c r="E66" s="952"/>
      <c r="F66" s="562" t="str">
        <f>IFERROR(VLOOKUP(C66,FABCC!$E$9:$F$20,2,FALSE),"")</f>
        <v/>
      </c>
      <c r="G66" s="941"/>
      <c r="H66" s="1004" t="str">
        <f>IFERROR(IF(VLOOKUP($C66,FABCC!$E$9:$H$20,3,FALSE)=0,"",VLOOKUP($C66,FABCC!$E$9:$H$20,3,FALSE)),"")</f>
        <v/>
      </c>
      <c r="I66" s="950"/>
      <c r="J66" s="953"/>
      <c r="K66" s="1006" t="str">
        <f t="shared" si="0"/>
        <v/>
      </c>
      <c r="L66" s="212"/>
    </row>
    <row r="67" spans="2:12" hidden="1" outlineLevel="1" x14ac:dyDescent="0.35">
      <c r="B67" s="269"/>
      <c r="C67" s="250"/>
      <c r="D67" s="941"/>
      <c r="E67" s="952"/>
      <c r="F67" s="562" t="str">
        <f>IFERROR(VLOOKUP(C67,FABCC!$E$9:$F$20,2,FALSE),"")</f>
        <v/>
      </c>
      <c r="G67" s="941"/>
      <c r="H67" s="1004" t="str">
        <f>IFERROR(IF(VLOOKUP($C67,FABCC!$E$9:$H$20,3,FALSE)=0,"",VLOOKUP($C67,FABCC!$E$9:$H$20,3,FALSE)),"")</f>
        <v/>
      </c>
      <c r="I67" s="950"/>
      <c r="J67" s="953"/>
      <c r="K67" s="1006" t="str">
        <f t="shared" si="0"/>
        <v/>
      </c>
      <c r="L67" s="212"/>
    </row>
    <row r="68" spans="2:12" hidden="1" outlineLevel="1" x14ac:dyDescent="0.35">
      <c r="B68" s="269"/>
      <c r="C68" s="250"/>
      <c r="D68" s="941"/>
      <c r="E68" s="952"/>
      <c r="F68" s="562" t="str">
        <f>IFERROR(VLOOKUP(C68,FABCC!$E$9:$F$20,2,FALSE),"")</f>
        <v/>
      </c>
      <c r="G68" s="941"/>
      <c r="H68" s="1004" t="str">
        <f>IFERROR(IF(VLOOKUP($C68,FABCC!$E$9:$H$20,3,FALSE)=0,"",VLOOKUP($C68,FABCC!$E$9:$H$20,3,FALSE)),"")</f>
        <v/>
      </c>
      <c r="I68" s="950"/>
      <c r="J68" s="953"/>
      <c r="K68" s="1006" t="str">
        <f t="shared" si="0"/>
        <v/>
      </c>
      <c r="L68" s="212"/>
    </row>
    <row r="69" spans="2:12" hidden="1" outlineLevel="1" x14ac:dyDescent="0.35">
      <c r="B69" s="269"/>
      <c r="C69" s="250"/>
      <c r="D69" s="941"/>
      <c r="E69" s="952"/>
      <c r="F69" s="562" t="str">
        <f>IFERROR(VLOOKUP(C69,FABCC!$E$9:$F$20,2,FALSE),"")</f>
        <v/>
      </c>
      <c r="G69" s="941"/>
      <c r="H69" s="1004" t="str">
        <f>IFERROR(IF(VLOOKUP($C69,FABCC!$E$9:$H$20,3,FALSE)=0,"",VLOOKUP($C69,FABCC!$E$9:$H$20,3,FALSE)),"")</f>
        <v/>
      </c>
      <c r="I69" s="950"/>
      <c r="J69" s="953"/>
      <c r="K69" s="1006" t="str">
        <f t="shared" si="0"/>
        <v/>
      </c>
      <c r="L69" s="212"/>
    </row>
    <row r="70" spans="2:12" hidden="1" outlineLevel="1" x14ac:dyDescent="0.35">
      <c r="B70" s="269"/>
      <c r="C70" s="250"/>
      <c r="D70" s="941"/>
      <c r="E70" s="952"/>
      <c r="F70" s="562" t="str">
        <f>IFERROR(VLOOKUP(C70,FABCC!$E$9:$F$20,2,FALSE),"")</f>
        <v/>
      </c>
      <c r="G70" s="941"/>
      <c r="H70" s="1004" t="str">
        <f>IFERROR(IF(VLOOKUP($C70,FABCC!$E$9:$H$20,3,FALSE)=0,"",VLOOKUP($C70,FABCC!$E$9:$H$20,3,FALSE)),"")</f>
        <v/>
      </c>
      <c r="I70" s="950"/>
      <c r="J70" s="953"/>
      <c r="K70" s="1006" t="str">
        <f t="shared" si="0"/>
        <v/>
      </c>
      <c r="L70" s="212"/>
    </row>
    <row r="71" spans="2:12" hidden="1" outlineLevel="1" x14ac:dyDescent="0.35">
      <c r="B71" s="269"/>
      <c r="C71" s="250"/>
      <c r="D71" s="941"/>
      <c r="E71" s="952"/>
      <c r="F71" s="562" t="str">
        <f>IFERROR(VLOOKUP(C71,FABCC!$E$9:$F$20,2,FALSE),"")</f>
        <v/>
      </c>
      <c r="G71" s="941"/>
      <c r="H71" s="1004" t="str">
        <f>IFERROR(IF(VLOOKUP($C71,FABCC!$E$9:$H$20,3,FALSE)=0,"",VLOOKUP($C71,FABCC!$E$9:$H$20,3,FALSE)),"")</f>
        <v/>
      </c>
      <c r="I71" s="950"/>
      <c r="J71" s="953"/>
      <c r="K71" s="1006" t="str">
        <f t="shared" si="0"/>
        <v/>
      </c>
      <c r="L71" s="212"/>
    </row>
    <row r="72" spans="2:12" hidden="1" outlineLevel="1" x14ac:dyDescent="0.35">
      <c r="B72" s="269"/>
      <c r="C72" s="250"/>
      <c r="D72" s="941"/>
      <c r="E72" s="952"/>
      <c r="F72" s="562" t="str">
        <f>IFERROR(VLOOKUP(C72,FABCC!$E$9:$F$20,2,FALSE),"")</f>
        <v/>
      </c>
      <c r="G72" s="941"/>
      <c r="H72" s="1004" t="str">
        <f>IFERROR(IF(VLOOKUP($C72,FABCC!$E$9:$H$20,3,FALSE)=0,"",VLOOKUP($C72,FABCC!$E$9:$H$20,3,FALSE)),"")</f>
        <v/>
      </c>
      <c r="I72" s="950"/>
      <c r="J72" s="953"/>
      <c r="K72" s="1006" t="str">
        <f t="shared" si="0"/>
        <v/>
      </c>
      <c r="L72" s="212"/>
    </row>
    <row r="73" spans="2:12" hidden="1" outlineLevel="1" x14ac:dyDescent="0.35">
      <c r="B73" s="269"/>
      <c r="C73" s="250"/>
      <c r="D73" s="941"/>
      <c r="E73" s="952"/>
      <c r="F73" s="562" t="str">
        <f>IFERROR(VLOOKUP(C73,FABCC!$E$9:$F$20,2,FALSE),"")</f>
        <v/>
      </c>
      <c r="G73" s="941"/>
      <c r="H73" s="1004" t="str">
        <f>IFERROR(IF(VLOOKUP($C73,FABCC!$E$9:$H$20,3,FALSE)=0,"",VLOOKUP($C73,FABCC!$E$9:$H$20,3,FALSE)),"")</f>
        <v/>
      </c>
      <c r="I73" s="950"/>
      <c r="J73" s="953"/>
      <c r="K73" s="1006" t="str">
        <f t="shared" si="0"/>
        <v/>
      </c>
      <c r="L73" s="212"/>
    </row>
    <row r="74" spans="2:12" hidden="1" outlineLevel="1" x14ac:dyDescent="0.35">
      <c r="B74" s="269"/>
      <c r="C74" s="250"/>
      <c r="D74" s="941"/>
      <c r="E74" s="952"/>
      <c r="F74" s="562" t="str">
        <f>IFERROR(VLOOKUP(C74,FABCC!$E$9:$F$20,2,FALSE),"")</f>
        <v/>
      </c>
      <c r="G74" s="941"/>
      <c r="H74" s="1004" t="str">
        <f>IFERROR(IF(VLOOKUP($C74,FABCC!$E$9:$H$20,3,FALSE)=0,"",VLOOKUP($C74,FABCC!$E$9:$H$20,3,FALSE)),"")</f>
        <v/>
      </c>
      <c r="I74" s="950"/>
      <c r="J74" s="953"/>
      <c r="K74" s="1006" t="str">
        <f t="shared" si="0"/>
        <v/>
      </c>
      <c r="L74" s="212"/>
    </row>
    <row r="75" spans="2:12" hidden="1" outlineLevel="1" x14ac:dyDescent="0.35">
      <c r="B75" s="269"/>
      <c r="C75" s="250"/>
      <c r="D75" s="941"/>
      <c r="E75" s="952"/>
      <c r="F75" s="562" t="str">
        <f>IFERROR(VLOOKUP(C75,FABCC!$E$9:$F$20,2,FALSE),"")</f>
        <v/>
      </c>
      <c r="G75" s="941"/>
      <c r="H75" s="1004" t="str">
        <f>IFERROR(IF(VLOOKUP($C75,FABCC!$E$9:$H$20,3,FALSE)=0,"",VLOOKUP($C75,FABCC!$E$9:$H$20,3,FALSE)),"")</f>
        <v/>
      </c>
      <c r="I75" s="950"/>
      <c r="J75" s="953"/>
      <c r="K75" s="1006" t="str">
        <f t="shared" si="0"/>
        <v/>
      </c>
      <c r="L75" s="212"/>
    </row>
    <row r="76" spans="2:12" hidden="1" outlineLevel="1" x14ac:dyDescent="0.35">
      <c r="B76" s="269"/>
      <c r="C76" s="250"/>
      <c r="D76" s="941"/>
      <c r="E76" s="952"/>
      <c r="F76" s="562" t="str">
        <f>IFERROR(VLOOKUP(C76,FABCC!$E$9:$F$20,2,FALSE),"")</f>
        <v/>
      </c>
      <c r="G76" s="941"/>
      <c r="H76" s="1004" t="str">
        <f>IFERROR(IF(VLOOKUP($C76,FABCC!$E$9:$H$20,3,FALSE)=0,"",VLOOKUP($C76,FABCC!$E$9:$H$20,3,FALSE)),"")</f>
        <v/>
      </c>
      <c r="I76" s="950"/>
      <c r="J76" s="953"/>
      <c r="K76" s="1006" t="str">
        <f t="shared" si="0"/>
        <v/>
      </c>
      <c r="L76" s="212"/>
    </row>
    <row r="77" spans="2:12" hidden="1" outlineLevel="1" x14ac:dyDescent="0.35">
      <c r="B77" s="269"/>
      <c r="C77" s="250"/>
      <c r="D77" s="941"/>
      <c r="E77" s="952"/>
      <c r="F77" s="562" t="str">
        <f>IFERROR(VLOOKUP(C77,FABCC!$E$9:$F$20,2,FALSE),"")</f>
        <v/>
      </c>
      <c r="G77" s="941"/>
      <c r="H77" s="1004" t="str">
        <f>IFERROR(IF(VLOOKUP($C77,FABCC!$E$9:$H$20,3,FALSE)=0,"",VLOOKUP($C77,FABCC!$E$9:$H$20,3,FALSE)),"")</f>
        <v/>
      </c>
      <c r="I77" s="950"/>
      <c r="J77" s="953"/>
      <c r="K77" s="1006" t="str">
        <f t="shared" si="0"/>
        <v/>
      </c>
      <c r="L77" s="212"/>
    </row>
    <row r="78" spans="2:12" hidden="1" outlineLevel="1" x14ac:dyDescent="0.35">
      <c r="B78" s="269"/>
      <c r="C78" s="250"/>
      <c r="D78" s="941"/>
      <c r="E78" s="952"/>
      <c r="F78" s="562" t="str">
        <f>IFERROR(VLOOKUP(C78,FABCC!$E$9:$F$20,2,FALSE),"")</f>
        <v/>
      </c>
      <c r="G78" s="941"/>
      <c r="H78" s="1004" t="str">
        <f>IFERROR(IF(VLOOKUP($C78,FABCC!$E$9:$H$20,3,FALSE)=0,"",VLOOKUP($C78,FABCC!$E$9:$H$20,3,FALSE)),"")</f>
        <v/>
      </c>
      <c r="I78" s="950"/>
      <c r="J78" s="953"/>
      <c r="K78" s="1006" t="str">
        <f t="shared" si="0"/>
        <v/>
      </c>
      <c r="L78" s="212"/>
    </row>
    <row r="79" spans="2:12" hidden="1" outlineLevel="1" x14ac:dyDescent="0.35">
      <c r="B79" s="269"/>
      <c r="C79" s="250"/>
      <c r="D79" s="941"/>
      <c r="E79" s="952"/>
      <c r="F79" s="562" t="str">
        <f>IFERROR(VLOOKUP(C79,FABCC!$E$9:$F$20,2,FALSE),"")</f>
        <v/>
      </c>
      <c r="G79" s="941"/>
      <c r="H79" s="1004" t="str">
        <f>IFERROR(IF(VLOOKUP($C79,FABCC!$E$9:$H$20,3,FALSE)=0,"",VLOOKUP($C79,FABCC!$E$9:$H$20,3,FALSE)),"")</f>
        <v/>
      </c>
      <c r="I79" s="950"/>
      <c r="J79" s="953"/>
      <c r="K79" s="1006" t="str">
        <f t="shared" si="0"/>
        <v/>
      </c>
      <c r="L79" s="212"/>
    </row>
    <row r="80" spans="2:12" hidden="1" outlineLevel="1" x14ac:dyDescent="0.35">
      <c r="B80" s="269"/>
      <c r="C80" s="250"/>
      <c r="D80" s="941"/>
      <c r="E80" s="952"/>
      <c r="F80" s="562" t="str">
        <f>IFERROR(VLOOKUP(C80,FABCC!$E$9:$F$20,2,FALSE),"")</f>
        <v/>
      </c>
      <c r="G80" s="941"/>
      <c r="H80" s="1004" t="str">
        <f>IFERROR(IF(VLOOKUP($C80,FABCC!$E$9:$H$20,3,FALSE)=0,"",VLOOKUP($C80,FABCC!$E$9:$H$20,3,FALSE)),"")</f>
        <v/>
      </c>
      <c r="I80" s="950"/>
      <c r="J80" s="953"/>
      <c r="K80" s="1006" t="str">
        <f t="shared" si="0"/>
        <v/>
      </c>
      <c r="L80" s="212"/>
    </row>
    <row r="81" spans="2:12" hidden="1" outlineLevel="1" x14ac:dyDescent="0.35">
      <c r="B81" s="269"/>
      <c r="C81" s="250"/>
      <c r="D81" s="941"/>
      <c r="E81" s="952"/>
      <c r="F81" s="562" t="str">
        <f>IFERROR(VLOOKUP(C81,FABCC!$E$9:$F$20,2,FALSE),"")</f>
        <v/>
      </c>
      <c r="G81" s="941"/>
      <c r="H81" s="1004" t="str">
        <f>IFERROR(IF(VLOOKUP($C81,FABCC!$E$9:$H$20,3,FALSE)=0,"",VLOOKUP($C81,FABCC!$E$9:$H$20,3,FALSE)),"")</f>
        <v/>
      </c>
      <c r="I81" s="950"/>
      <c r="J81" s="953"/>
      <c r="K81" s="1006" t="str">
        <f t="shared" si="0"/>
        <v/>
      </c>
      <c r="L81" s="212"/>
    </row>
    <row r="82" spans="2:12" hidden="1" outlineLevel="1" x14ac:dyDescent="0.35">
      <c r="B82" s="269"/>
      <c r="C82" s="250"/>
      <c r="D82" s="941"/>
      <c r="E82" s="952"/>
      <c r="F82" s="562" t="str">
        <f>IFERROR(VLOOKUP(C82,FABCC!$E$9:$F$20,2,FALSE),"")</f>
        <v/>
      </c>
      <c r="G82" s="941"/>
      <c r="H82" s="1004" t="str">
        <f>IFERROR(IF(VLOOKUP($C82,FABCC!$E$9:$H$20,3,FALSE)=0,"",VLOOKUP($C82,FABCC!$E$9:$H$20,3,FALSE)),"")</f>
        <v/>
      </c>
      <c r="I82" s="950"/>
      <c r="J82" s="953"/>
      <c r="K82" s="1006" t="str">
        <f t="shared" si="0"/>
        <v/>
      </c>
      <c r="L82" s="212"/>
    </row>
    <row r="83" spans="2:12" hidden="1" outlineLevel="1" x14ac:dyDescent="0.35">
      <c r="B83" s="269"/>
      <c r="C83" s="250"/>
      <c r="D83" s="941"/>
      <c r="E83" s="952"/>
      <c r="F83" s="562" t="str">
        <f>IFERROR(VLOOKUP(C83,FABCC!$E$9:$F$20,2,FALSE),"")</f>
        <v/>
      </c>
      <c r="G83" s="941"/>
      <c r="H83" s="1004" t="str">
        <f>IFERROR(IF(VLOOKUP($C83,FABCC!$E$9:$H$20,3,FALSE)=0,"",VLOOKUP($C83,FABCC!$E$9:$H$20,3,FALSE)),"")</f>
        <v/>
      </c>
      <c r="I83" s="950"/>
      <c r="J83" s="953"/>
      <c r="K83" s="1006" t="str">
        <f t="shared" si="0"/>
        <v/>
      </c>
      <c r="L83" s="212"/>
    </row>
    <row r="84" spans="2:12" hidden="1" outlineLevel="1" x14ac:dyDescent="0.35">
      <c r="B84" s="269"/>
      <c r="C84" s="250"/>
      <c r="D84" s="941"/>
      <c r="E84" s="952"/>
      <c r="F84" s="562" t="str">
        <f>IFERROR(VLOOKUP(C84,FABCC!$E$9:$F$20,2,FALSE),"")</f>
        <v/>
      </c>
      <c r="G84" s="941"/>
      <c r="H84" s="1004" t="str">
        <f>IFERROR(IF(VLOOKUP($C84,FABCC!$E$9:$H$20,3,FALSE)=0,"",VLOOKUP($C84,FABCC!$E$9:$H$20,3,FALSE)),"")</f>
        <v/>
      </c>
      <c r="I84" s="950"/>
      <c r="J84" s="953"/>
      <c r="K84" s="1006" t="str">
        <f t="shared" si="0"/>
        <v/>
      </c>
      <c r="L84" s="212"/>
    </row>
    <row r="85" spans="2:12" hidden="1" outlineLevel="1" x14ac:dyDescent="0.35">
      <c r="B85" s="269"/>
      <c r="C85" s="250"/>
      <c r="D85" s="941"/>
      <c r="E85" s="952"/>
      <c r="F85" s="562" t="str">
        <f>IFERROR(VLOOKUP(C85,FABCC!$E$9:$F$20,2,FALSE),"")</f>
        <v/>
      </c>
      <c r="G85" s="941"/>
      <c r="H85" s="1004" t="str">
        <f>IFERROR(IF(VLOOKUP($C85,FABCC!$E$9:$H$20,3,FALSE)=0,"",VLOOKUP($C85,FABCC!$E$9:$H$20,3,FALSE)),"")</f>
        <v/>
      </c>
      <c r="I85" s="950"/>
      <c r="J85" s="953"/>
      <c r="K85" s="1006" t="str">
        <f t="shared" si="0"/>
        <v/>
      </c>
      <c r="L85" s="212"/>
    </row>
    <row r="86" spans="2:12" hidden="1" outlineLevel="1" x14ac:dyDescent="0.35">
      <c r="B86" s="269"/>
      <c r="C86" s="250"/>
      <c r="D86" s="941"/>
      <c r="E86" s="952"/>
      <c r="F86" s="562" t="str">
        <f>IFERROR(VLOOKUP(C86,FABCC!$E$9:$F$20,2,FALSE),"")</f>
        <v/>
      </c>
      <c r="G86" s="941"/>
      <c r="H86" s="1004" t="str">
        <f>IFERROR(IF(VLOOKUP($C86,FABCC!$E$9:$H$20,3,FALSE)=0,"",VLOOKUP($C86,FABCC!$E$9:$H$20,3,FALSE)),"")</f>
        <v/>
      </c>
      <c r="I86" s="950"/>
      <c r="J86" s="953"/>
      <c r="K86" s="1006" t="str">
        <f t="shared" si="0"/>
        <v/>
      </c>
      <c r="L86" s="212"/>
    </row>
    <row r="87" spans="2:12" hidden="1" outlineLevel="1" x14ac:dyDescent="0.35">
      <c r="B87" s="269"/>
      <c r="C87" s="250"/>
      <c r="D87" s="941"/>
      <c r="E87" s="952"/>
      <c r="F87" s="562" t="str">
        <f>IFERROR(VLOOKUP(C87,FABCC!$E$9:$F$20,2,FALSE),"")</f>
        <v/>
      </c>
      <c r="G87" s="941"/>
      <c r="H87" s="1004" t="str">
        <f>IFERROR(IF(VLOOKUP($C87,FABCC!$E$9:$H$20,3,FALSE)=0,"",VLOOKUP($C87,FABCC!$E$9:$H$20,3,FALSE)),"")</f>
        <v/>
      </c>
      <c r="I87" s="950"/>
      <c r="J87" s="953"/>
      <c r="K87" s="1006" t="str">
        <f t="shared" si="0"/>
        <v/>
      </c>
      <c r="L87" s="212"/>
    </row>
    <row r="88" spans="2:12" hidden="1" outlineLevel="1" x14ac:dyDescent="0.35">
      <c r="B88" s="269"/>
      <c r="C88" s="250"/>
      <c r="D88" s="941"/>
      <c r="E88" s="952"/>
      <c r="F88" s="562" t="str">
        <f>IFERROR(VLOOKUP(C88,FABCC!$E$9:$F$20,2,FALSE),"")</f>
        <v/>
      </c>
      <c r="G88" s="941"/>
      <c r="H88" s="1004" t="str">
        <f>IFERROR(IF(VLOOKUP($C88,FABCC!$E$9:$H$20,3,FALSE)=0,"",VLOOKUP($C88,FABCC!$E$9:$H$20,3,FALSE)),"")</f>
        <v/>
      </c>
      <c r="I88" s="950"/>
      <c r="J88" s="953"/>
      <c r="K88" s="1006" t="str">
        <f t="shared" si="0"/>
        <v/>
      </c>
      <c r="L88" s="212"/>
    </row>
    <row r="89" spans="2:12" hidden="1" outlineLevel="1" x14ac:dyDescent="0.35">
      <c r="B89" s="269"/>
      <c r="C89" s="250"/>
      <c r="D89" s="941"/>
      <c r="E89" s="952"/>
      <c r="F89" s="562" t="str">
        <f>IFERROR(VLOOKUP(C89,FABCC!$E$9:$F$20,2,FALSE),"")</f>
        <v/>
      </c>
      <c r="G89" s="941"/>
      <c r="H89" s="1004" t="str">
        <f>IFERROR(IF(VLOOKUP($C89,FABCC!$E$9:$H$20,3,FALSE)=0,"",VLOOKUP($C89,FABCC!$E$9:$H$20,3,FALSE)),"")</f>
        <v/>
      </c>
      <c r="I89" s="950"/>
      <c r="J89" s="953"/>
      <c r="K89" s="1006" t="str">
        <f t="shared" si="0"/>
        <v/>
      </c>
      <c r="L89" s="212"/>
    </row>
    <row r="90" spans="2:12" hidden="1" outlineLevel="1" x14ac:dyDescent="0.35">
      <c r="B90" s="269"/>
      <c r="C90" s="250"/>
      <c r="D90" s="941"/>
      <c r="E90" s="952"/>
      <c r="F90" s="562" t="str">
        <f>IFERROR(VLOOKUP(C90,FABCC!$E$9:$F$20,2,FALSE),"")</f>
        <v/>
      </c>
      <c r="G90" s="941"/>
      <c r="H90" s="1004" t="str">
        <f>IFERROR(IF(VLOOKUP($C90,FABCC!$E$9:$H$20,3,FALSE)=0,"",VLOOKUP($C90,FABCC!$E$9:$H$20,3,FALSE)),"")</f>
        <v/>
      </c>
      <c r="I90" s="950"/>
      <c r="J90" s="953"/>
      <c r="K90" s="1006" t="str">
        <f t="shared" si="0"/>
        <v/>
      </c>
      <c r="L90" s="212"/>
    </row>
    <row r="91" spans="2:12" hidden="1" outlineLevel="1" x14ac:dyDescent="0.35">
      <c r="B91" s="269"/>
      <c r="C91" s="250"/>
      <c r="D91" s="941"/>
      <c r="E91" s="952"/>
      <c r="F91" s="562" t="str">
        <f>IFERROR(VLOOKUP(C91,FABCC!$E$9:$F$20,2,FALSE),"")</f>
        <v/>
      </c>
      <c r="G91" s="941"/>
      <c r="H91" s="1004" t="str">
        <f>IFERROR(IF(VLOOKUP($C91,FABCC!$E$9:$H$20,3,FALSE)=0,"",VLOOKUP($C91,FABCC!$E$9:$H$20,3,FALSE)),"")</f>
        <v/>
      </c>
      <c r="I91" s="950"/>
      <c r="J91" s="953"/>
      <c r="K91" s="1006" t="str">
        <f t="shared" si="0"/>
        <v/>
      </c>
      <c r="L91" s="212"/>
    </row>
    <row r="92" spans="2:12" hidden="1" outlineLevel="1" x14ac:dyDescent="0.35">
      <c r="B92" s="269"/>
      <c r="C92" s="250"/>
      <c r="D92" s="941"/>
      <c r="E92" s="952"/>
      <c r="F92" s="562" t="str">
        <f>IFERROR(VLOOKUP(C92,FABCC!$E$9:$F$20,2,FALSE),"")</f>
        <v/>
      </c>
      <c r="G92" s="941"/>
      <c r="H92" s="1004" t="str">
        <f>IFERROR(IF(VLOOKUP($C92,FABCC!$E$9:$H$20,3,FALSE)=0,"",VLOOKUP($C92,FABCC!$E$9:$H$20,3,FALSE)),"")</f>
        <v/>
      </c>
      <c r="I92" s="950"/>
      <c r="J92" s="953"/>
      <c r="K92" s="1006" t="str">
        <f t="shared" si="0"/>
        <v/>
      </c>
      <c r="L92" s="212"/>
    </row>
    <row r="93" spans="2:12" hidden="1" outlineLevel="1" x14ac:dyDescent="0.35">
      <c r="B93" s="269"/>
      <c r="C93" s="250"/>
      <c r="D93" s="941"/>
      <c r="E93" s="952"/>
      <c r="F93" s="562" t="str">
        <f>IFERROR(VLOOKUP(C93,FABCC!$E$9:$F$20,2,FALSE),"")</f>
        <v/>
      </c>
      <c r="G93" s="941"/>
      <c r="H93" s="1004" t="str">
        <f>IFERROR(IF(VLOOKUP($C93,FABCC!$E$9:$H$20,3,FALSE)=0,"",VLOOKUP($C93,FABCC!$E$9:$H$20,3,FALSE)),"")</f>
        <v/>
      </c>
      <c r="I93" s="950"/>
      <c r="J93" s="953"/>
      <c r="K93" s="1006" t="str">
        <f t="shared" si="0"/>
        <v/>
      </c>
      <c r="L93" s="212"/>
    </row>
    <row r="94" spans="2:12" hidden="1" outlineLevel="1" x14ac:dyDescent="0.35">
      <c r="B94" s="269"/>
      <c r="C94" s="250"/>
      <c r="D94" s="941"/>
      <c r="E94" s="952"/>
      <c r="F94" s="562" t="str">
        <f>IFERROR(VLOOKUP(C94,FABCC!$E$9:$F$20,2,FALSE),"")</f>
        <v/>
      </c>
      <c r="G94" s="941"/>
      <c r="H94" s="1004" t="str">
        <f>IFERROR(IF(VLOOKUP($C94,FABCC!$E$9:$H$20,3,FALSE)=0,"",VLOOKUP($C94,FABCC!$E$9:$H$20,3,FALSE)),"")</f>
        <v/>
      </c>
      <c r="I94" s="950"/>
      <c r="J94" s="953"/>
      <c r="K94" s="1006" t="str">
        <f t="shared" ref="K94:K128" si="1">IFERROR(IF(I94="",H94*E94/1000,I94*E94/1000),"")</f>
        <v/>
      </c>
      <c r="L94" s="212"/>
    </row>
    <row r="95" spans="2:12" hidden="1" outlineLevel="1" x14ac:dyDescent="0.35">
      <c r="B95" s="269"/>
      <c r="C95" s="250"/>
      <c r="D95" s="941"/>
      <c r="E95" s="952"/>
      <c r="F95" s="562" t="str">
        <f>IFERROR(VLOOKUP(C95,FABCC!$E$9:$F$20,2,FALSE),"")</f>
        <v/>
      </c>
      <c r="G95" s="941"/>
      <c r="H95" s="1004" t="str">
        <f>IFERROR(IF(VLOOKUP($C95,FABCC!$E$9:$H$20,3,FALSE)=0,"",VLOOKUP($C95,FABCC!$E$9:$H$20,3,FALSE)),"")</f>
        <v/>
      </c>
      <c r="I95" s="950"/>
      <c r="J95" s="953"/>
      <c r="K95" s="1006" t="str">
        <f t="shared" si="1"/>
        <v/>
      </c>
      <c r="L95" s="212"/>
    </row>
    <row r="96" spans="2:12" hidden="1" outlineLevel="1" x14ac:dyDescent="0.35">
      <c r="B96" s="269"/>
      <c r="C96" s="250"/>
      <c r="D96" s="941"/>
      <c r="E96" s="952"/>
      <c r="F96" s="562" t="str">
        <f>IFERROR(VLOOKUP(C96,FABCC!$E$9:$F$20,2,FALSE),"")</f>
        <v/>
      </c>
      <c r="G96" s="941"/>
      <c r="H96" s="1004" t="str">
        <f>IFERROR(IF(VLOOKUP($C96,FABCC!$E$9:$H$20,3,FALSE)=0,"",VLOOKUP($C96,FABCC!$E$9:$H$20,3,FALSE)),"")</f>
        <v/>
      </c>
      <c r="I96" s="950"/>
      <c r="J96" s="953"/>
      <c r="K96" s="1006" t="str">
        <f t="shared" si="1"/>
        <v/>
      </c>
      <c r="L96" s="212"/>
    </row>
    <row r="97" spans="2:12" hidden="1" outlineLevel="1" x14ac:dyDescent="0.35">
      <c r="B97" s="269"/>
      <c r="C97" s="250"/>
      <c r="D97" s="941"/>
      <c r="E97" s="952"/>
      <c r="F97" s="562" t="str">
        <f>IFERROR(VLOOKUP(C97,FABCC!$E$9:$F$20,2,FALSE),"")</f>
        <v/>
      </c>
      <c r="G97" s="941"/>
      <c r="H97" s="1004" t="str">
        <f>IFERROR(IF(VLOOKUP($C97,FABCC!$E$9:$H$20,3,FALSE)=0,"",VLOOKUP($C97,FABCC!$E$9:$H$20,3,FALSE)),"")</f>
        <v/>
      </c>
      <c r="I97" s="950"/>
      <c r="J97" s="953"/>
      <c r="K97" s="1006" t="str">
        <f t="shared" si="1"/>
        <v/>
      </c>
      <c r="L97" s="212"/>
    </row>
    <row r="98" spans="2:12" hidden="1" outlineLevel="1" x14ac:dyDescent="0.35">
      <c r="B98" s="269"/>
      <c r="C98" s="250"/>
      <c r="D98" s="941"/>
      <c r="E98" s="952"/>
      <c r="F98" s="562" t="str">
        <f>IFERROR(VLOOKUP(C98,FABCC!$E$9:$F$20,2,FALSE),"")</f>
        <v/>
      </c>
      <c r="G98" s="941"/>
      <c r="H98" s="1004" t="str">
        <f>IFERROR(IF(VLOOKUP($C98,FABCC!$E$9:$H$20,3,FALSE)=0,"",VLOOKUP($C98,FABCC!$E$9:$H$20,3,FALSE)),"")</f>
        <v/>
      </c>
      <c r="I98" s="950"/>
      <c r="J98" s="953"/>
      <c r="K98" s="1006" t="str">
        <f t="shared" si="1"/>
        <v/>
      </c>
      <c r="L98" s="212"/>
    </row>
    <row r="99" spans="2:12" hidden="1" outlineLevel="1" x14ac:dyDescent="0.35">
      <c r="B99" s="269"/>
      <c r="C99" s="250"/>
      <c r="D99" s="941"/>
      <c r="E99" s="952"/>
      <c r="F99" s="562" t="str">
        <f>IFERROR(VLOOKUP(C99,FABCC!$E$9:$F$20,2,FALSE),"")</f>
        <v/>
      </c>
      <c r="G99" s="941"/>
      <c r="H99" s="1004" t="str">
        <f>IFERROR(IF(VLOOKUP($C99,FABCC!$E$9:$H$20,3,FALSE)=0,"",VLOOKUP($C99,FABCC!$E$9:$H$20,3,FALSE)),"")</f>
        <v/>
      </c>
      <c r="I99" s="950"/>
      <c r="J99" s="953"/>
      <c r="K99" s="1006" t="str">
        <f t="shared" si="1"/>
        <v/>
      </c>
      <c r="L99" s="212"/>
    </row>
    <row r="100" spans="2:12" hidden="1" outlineLevel="1" x14ac:dyDescent="0.35">
      <c r="B100" s="269"/>
      <c r="C100" s="250"/>
      <c r="D100" s="941"/>
      <c r="E100" s="952"/>
      <c r="F100" s="562" t="str">
        <f>IFERROR(VLOOKUP(C100,FABCC!$E$9:$F$20,2,FALSE),"")</f>
        <v/>
      </c>
      <c r="G100" s="941"/>
      <c r="H100" s="1004" t="str">
        <f>IFERROR(IF(VLOOKUP($C100,FABCC!$E$9:$H$20,3,FALSE)=0,"",VLOOKUP($C100,FABCC!$E$9:$H$20,3,FALSE)),"")</f>
        <v/>
      </c>
      <c r="I100" s="950"/>
      <c r="J100" s="953"/>
      <c r="K100" s="1006" t="str">
        <f t="shared" si="1"/>
        <v/>
      </c>
      <c r="L100" s="212"/>
    </row>
    <row r="101" spans="2:12" hidden="1" outlineLevel="1" x14ac:dyDescent="0.35">
      <c r="B101" s="269"/>
      <c r="C101" s="250"/>
      <c r="D101" s="941"/>
      <c r="E101" s="952"/>
      <c r="F101" s="562" t="str">
        <f>IFERROR(VLOOKUP(C101,FABCC!$E$9:$F$20,2,FALSE),"")</f>
        <v/>
      </c>
      <c r="G101" s="941"/>
      <c r="H101" s="1004" t="str">
        <f>IFERROR(IF(VLOOKUP($C101,FABCC!$E$9:$H$20,3,FALSE)=0,"",VLOOKUP($C101,FABCC!$E$9:$H$20,3,FALSE)),"")</f>
        <v/>
      </c>
      <c r="I101" s="950"/>
      <c r="J101" s="953"/>
      <c r="K101" s="1006" t="str">
        <f t="shared" si="1"/>
        <v/>
      </c>
      <c r="L101" s="212"/>
    </row>
    <row r="102" spans="2:12" hidden="1" outlineLevel="1" x14ac:dyDescent="0.35">
      <c r="B102" s="269"/>
      <c r="C102" s="250"/>
      <c r="D102" s="941"/>
      <c r="E102" s="952"/>
      <c r="F102" s="562" t="str">
        <f>IFERROR(VLOOKUP(C102,FABCC!$E$9:$F$20,2,FALSE),"")</f>
        <v/>
      </c>
      <c r="G102" s="941"/>
      <c r="H102" s="1004" t="str">
        <f>IFERROR(IF(VLOOKUP($C102,FABCC!$E$9:$H$20,3,FALSE)=0,"",VLOOKUP($C102,FABCC!$E$9:$H$20,3,FALSE)),"")</f>
        <v/>
      </c>
      <c r="I102" s="950"/>
      <c r="J102" s="953"/>
      <c r="K102" s="1006" t="str">
        <f t="shared" si="1"/>
        <v/>
      </c>
      <c r="L102" s="212"/>
    </row>
    <row r="103" spans="2:12" hidden="1" outlineLevel="1" x14ac:dyDescent="0.35">
      <c r="B103" s="269"/>
      <c r="C103" s="250"/>
      <c r="D103" s="941"/>
      <c r="E103" s="952"/>
      <c r="F103" s="562" t="str">
        <f>IFERROR(VLOOKUP(C103,FABCC!$E$9:$F$20,2,FALSE),"")</f>
        <v/>
      </c>
      <c r="G103" s="941"/>
      <c r="H103" s="1004" t="str">
        <f>IFERROR(IF(VLOOKUP($C103,FABCC!$E$9:$H$20,3,FALSE)=0,"",VLOOKUP($C103,FABCC!$E$9:$H$20,3,FALSE)),"")</f>
        <v/>
      </c>
      <c r="I103" s="950"/>
      <c r="J103" s="953"/>
      <c r="K103" s="1006" t="str">
        <f t="shared" si="1"/>
        <v/>
      </c>
      <c r="L103" s="212"/>
    </row>
    <row r="104" spans="2:12" hidden="1" outlineLevel="1" x14ac:dyDescent="0.35">
      <c r="B104" s="269"/>
      <c r="C104" s="250"/>
      <c r="D104" s="941"/>
      <c r="E104" s="952"/>
      <c r="F104" s="562" t="str">
        <f>IFERROR(VLOOKUP(C104,FABCC!$E$9:$F$20,2,FALSE),"")</f>
        <v/>
      </c>
      <c r="G104" s="941"/>
      <c r="H104" s="1004" t="str">
        <f>IFERROR(IF(VLOOKUP($C104,FABCC!$E$9:$H$20,3,FALSE)=0,"",VLOOKUP($C104,FABCC!$E$9:$H$20,3,FALSE)),"")</f>
        <v/>
      </c>
      <c r="I104" s="950"/>
      <c r="J104" s="953"/>
      <c r="K104" s="1006" t="str">
        <f t="shared" si="1"/>
        <v/>
      </c>
      <c r="L104" s="212"/>
    </row>
    <row r="105" spans="2:12" hidden="1" outlineLevel="1" x14ac:dyDescent="0.35">
      <c r="B105" s="269"/>
      <c r="C105" s="250"/>
      <c r="D105" s="941"/>
      <c r="E105" s="952"/>
      <c r="F105" s="562" t="str">
        <f>IFERROR(VLOOKUP(C105,FABCC!$E$9:$F$20,2,FALSE),"")</f>
        <v/>
      </c>
      <c r="G105" s="941"/>
      <c r="H105" s="1004" t="str">
        <f>IFERROR(IF(VLOOKUP($C105,FABCC!$E$9:$H$20,3,FALSE)=0,"",VLOOKUP($C105,FABCC!$E$9:$H$20,3,FALSE)),"")</f>
        <v/>
      </c>
      <c r="I105" s="950"/>
      <c r="J105" s="953"/>
      <c r="K105" s="1006" t="str">
        <f t="shared" si="1"/>
        <v/>
      </c>
      <c r="L105" s="212"/>
    </row>
    <row r="106" spans="2:12" hidden="1" outlineLevel="1" x14ac:dyDescent="0.35">
      <c r="B106" s="269"/>
      <c r="C106" s="250"/>
      <c r="D106" s="941"/>
      <c r="E106" s="952"/>
      <c r="F106" s="562" t="str">
        <f>IFERROR(VLOOKUP(C106,FABCC!$E$9:$F$20,2,FALSE),"")</f>
        <v/>
      </c>
      <c r="G106" s="941"/>
      <c r="H106" s="1004" t="str">
        <f>IFERROR(IF(VLOOKUP($C106,FABCC!$E$9:$H$20,3,FALSE)=0,"",VLOOKUP($C106,FABCC!$E$9:$H$20,3,FALSE)),"")</f>
        <v/>
      </c>
      <c r="I106" s="950"/>
      <c r="J106" s="953"/>
      <c r="K106" s="1006" t="str">
        <f t="shared" si="1"/>
        <v/>
      </c>
      <c r="L106" s="212"/>
    </row>
    <row r="107" spans="2:12" hidden="1" outlineLevel="1" x14ac:dyDescent="0.35">
      <c r="B107" s="269"/>
      <c r="C107" s="250"/>
      <c r="D107" s="941"/>
      <c r="E107" s="952"/>
      <c r="F107" s="562" t="str">
        <f>IFERROR(VLOOKUP(C107,FABCC!$E$9:$F$20,2,FALSE),"")</f>
        <v/>
      </c>
      <c r="G107" s="941"/>
      <c r="H107" s="1004" t="str">
        <f>IFERROR(IF(VLOOKUP($C107,FABCC!$E$9:$H$20,3,FALSE)=0,"",VLOOKUP($C107,FABCC!$E$9:$H$20,3,FALSE)),"")</f>
        <v/>
      </c>
      <c r="I107" s="950"/>
      <c r="J107" s="953"/>
      <c r="K107" s="1006" t="str">
        <f t="shared" si="1"/>
        <v/>
      </c>
      <c r="L107" s="212"/>
    </row>
    <row r="108" spans="2:12" hidden="1" outlineLevel="1" x14ac:dyDescent="0.35">
      <c r="B108" s="269"/>
      <c r="C108" s="250"/>
      <c r="D108" s="941"/>
      <c r="E108" s="952"/>
      <c r="F108" s="562" t="str">
        <f>IFERROR(VLOOKUP(C108,FABCC!$E$9:$F$20,2,FALSE),"")</f>
        <v/>
      </c>
      <c r="G108" s="941"/>
      <c r="H108" s="1004" t="str">
        <f>IFERROR(IF(VLOOKUP($C108,FABCC!$E$9:$H$20,3,FALSE)=0,"",VLOOKUP($C108,FABCC!$E$9:$H$20,3,FALSE)),"")</f>
        <v/>
      </c>
      <c r="I108" s="950"/>
      <c r="J108" s="953"/>
      <c r="K108" s="1006" t="str">
        <f t="shared" si="1"/>
        <v/>
      </c>
      <c r="L108" s="212"/>
    </row>
    <row r="109" spans="2:12" hidden="1" outlineLevel="1" x14ac:dyDescent="0.35">
      <c r="B109" s="269"/>
      <c r="C109" s="250"/>
      <c r="D109" s="941"/>
      <c r="E109" s="952"/>
      <c r="F109" s="562" t="str">
        <f>IFERROR(VLOOKUP(C109,FABCC!$E$9:$F$20,2,FALSE),"")</f>
        <v/>
      </c>
      <c r="G109" s="941"/>
      <c r="H109" s="1004" t="str">
        <f>IFERROR(IF(VLOOKUP($C109,FABCC!$E$9:$H$20,3,FALSE)=0,"",VLOOKUP($C109,FABCC!$E$9:$H$20,3,FALSE)),"")</f>
        <v/>
      </c>
      <c r="I109" s="950"/>
      <c r="J109" s="953"/>
      <c r="K109" s="1006" t="str">
        <f t="shared" si="1"/>
        <v/>
      </c>
      <c r="L109" s="212"/>
    </row>
    <row r="110" spans="2:12" hidden="1" outlineLevel="1" x14ac:dyDescent="0.35">
      <c r="B110" s="269"/>
      <c r="C110" s="250"/>
      <c r="D110" s="941"/>
      <c r="E110" s="952"/>
      <c r="F110" s="562" t="str">
        <f>IFERROR(VLOOKUP(C110,FABCC!$E$9:$F$20,2,FALSE),"")</f>
        <v/>
      </c>
      <c r="G110" s="941"/>
      <c r="H110" s="1004" t="str">
        <f>IFERROR(IF(VLOOKUP($C110,FABCC!$E$9:$H$20,3,FALSE)=0,"",VLOOKUP($C110,FABCC!$E$9:$H$20,3,FALSE)),"")</f>
        <v/>
      </c>
      <c r="I110" s="950"/>
      <c r="J110" s="953"/>
      <c r="K110" s="1006" t="str">
        <f t="shared" si="1"/>
        <v/>
      </c>
      <c r="L110" s="212"/>
    </row>
    <row r="111" spans="2:12" hidden="1" outlineLevel="1" x14ac:dyDescent="0.35">
      <c r="B111" s="269"/>
      <c r="C111" s="250"/>
      <c r="D111" s="941"/>
      <c r="E111" s="952"/>
      <c r="F111" s="562" t="str">
        <f>IFERROR(VLOOKUP(C111,FABCC!$E$9:$F$20,2,FALSE),"")</f>
        <v/>
      </c>
      <c r="G111" s="941"/>
      <c r="H111" s="1004" t="str">
        <f>IFERROR(IF(VLOOKUP($C111,FABCC!$E$9:$H$20,3,FALSE)=0,"",VLOOKUP($C111,FABCC!$E$9:$H$20,3,FALSE)),"")</f>
        <v/>
      </c>
      <c r="I111" s="950"/>
      <c r="J111" s="953"/>
      <c r="K111" s="1006" t="str">
        <f t="shared" si="1"/>
        <v/>
      </c>
      <c r="L111" s="212"/>
    </row>
    <row r="112" spans="2:12" hidden="1" outlineLevel="1" x14ac:dyDescent="0.35">
      <c r="B112" s="269"/>
      <c r="C112" s="250"/>
      <c r="D112" s="941"/>
      <c r="E112" s="952"/>
      <c r="F112" s="562" t="str">
        <f>IFERROR(VLOOKUP(C112,FABCC!$E$9:$F$20,2,FALSE),"")</f>
        <v/>
      </c>
      <c r="G112" s="941"/>
      <c r="H112" s="1004" t="str">
        <f>IFERROR(IF(VLOOKUP($C112,FABCC!$E$9:$H$20,3,FALSE)=0,"",VLOOKUP($C112,FABCC!$E$9:$H$20,3,FALSE)),"")</f>
        <v/>
      </c>
      <c r="I112" s="950"/>
      <c r="J112" s="953"/>
      <c r="K112" s="1006" t="str">
        <f t="shared" si="1"/>
        <v/>
      </c>
      <c r="L112" s="212"/>
    </row>
    <row r="113" spans="2:12" hidden="1" outlineLevel="1" x14ac:dyDescent="0.35">
      <c r="B113" s="269"/>
      <c r="C113" s="250"/>
      <c r="D113" s="941"/>
      <c r="E113" s="952"/>
      <c r="F113" s="562" t="str">
        <f>IFERROR(VLOOKUP(C113,FABCC!$E$9:$F$20,2,FALSE),"")</f>
        <v/>
      </c>
      <c r="G113" s="941"/>
      <c r="H113" s="1004" t="str">
        <f>IFERROR(IF(VLOOKUP($C113,FABCC!$E$9:$H$20,3,FALSE)=0,"",VLOOKUP($C113,FABCC!$E$9:$H$20,3,FALSE)),"")</f>
        <v/>
      </c>
      <c r="I113" s="950"/>
      <c r="J113" s="953"/>
      <c r="K113" s="1006" t="str">
        <f t="shared" si="1"/>
        <v/>
      </c>
      <c r="L113" s="212"/>
    </row>
    <row r="114" spans="2:12" hidden="1" outlineLevel="1" x14ac:dyDescent="0.35">
      <c r="B114" s="269"/>
      <c r="C114" s="250"/>
      <c r="D114" s="941"/>
      <c r="E114" s="952"/>
      <c r="F114" s="562" t="str">
        <f>IFERROR(VLOOKUP(C114,FABCC!$E$9:$F$20,2,FALSE),"")</f>
        <v/>
      </c>
      <c r="G114" s="941"/>
      <c r="H114" s="1004" t="str">
        <f>IFERROR(IF(VLOOKUP($C114,FABCC!$E$9:$H$20,3,FALSE)=0,"",VLOOKUP($C114,FABCC!$E$9:$H$20,3,FALSE)),"")</f>
        <v/>
      </c>
      <c r="I114" s="950"/>
      <c r="J114" s="953"/>
      <c r="K114" s="1006" t="str">
        <f t="shared" si="1"/>
        <v/>
      </c>
      <c r="L114" s="212"/>
    </row>
    <row r="115" spans="2:12" hidden="1" outlineLevel="1" x14ac:dyDescent="0.35">
      <c r="B115" s="269"/>
      <c r="C115" s="250"/>
      <c r="D115" s="941"/>
      <c r="E115" s="952"/>
      <c r="F115" s="562" t="str">
        <f>IFERROR(VLOOKUP(C115,FABCC!$E$9:$F$20,2,FALSE),"")</f>
        <v/>
      </c>
      <c r="G115" s="941"/>
      <c r="H115" s="1004" t="str">
        <f>IFERROR(IF(VLOOKUP($C115,FABCC!$E$9:$H$20,3,FALSE)=0,"",VLOOKUP($C115,FABCC!$E$9:$H$20,3,FALSE)),"")</f>
        <v/>
      </c>
      <c r="I115" s="950"/>
      <c r="J115" s="953"/>
      <c r="K115" s="1006" t="str">
        <f t="shared" si="1"/>
        <v/>
      </c>
      <c r="L115" s="212"/>
    </row>
    <row r="116" spans="2:12" hidden="1" outlineLevel="1" x14ac:dyDescent="0.35">
      <c r="B116" s="269"/>
      <c r="C116" s="250"/>
      <c r="D116" s="941"/>
      <c r="E116" s="952"/>
      <c r="F116" s="562" t="str">
        <f>IFERROR(VLOOKUP(C116,FABCC!$E$9:$F$20,2,FALSE),"")</f>
        <v/>
      </c>
      <c r="G116" s="941"/>
      <c r="H116" s="1004" t="str">
        <f>IFERROR(IF(VLOOKUP($C116,FABCC!$E$9:$H$20,3,FALSE)=0,"",VLOOKUP($C116,FABCC!$E$9:$H$20,3,FALSE)),"")</f>
        <v/>
      </c>
      <c r="I116" s="950"/>
      <c r="J116" s="953"/>
      <c r="K116" s="1006" t="str">
        <f t="shared" si="1"/>
        <v/>
      </c>
      <c r="L116" s="212"/>
    </row>
    <row r="117" spans="2:12" hidden="1" outlineLevel="1" x14ac:dyDescent="0.35">
      <c r="B117" s="269"/>
      <c r="C117" s="250"/>
      <c r="D117" s="941"/>
      <c r="E117" s="952"/>
      <c r="F117" s="562" t="str">
        <f>IFERROR(VLOOKUP(C117,FABCC!$E$9:$F$20,2,FALSE),"")</f>
        <v/>
      </c>
      <c r="G117" s="941"/>
      <c r="H117" s="1004" t="str">
        <f>IFERROR(IF(VLOOKUP($C117,FABCC!$E$9:$H$20,3,FALSE)=0,"",VLOOKUP($C117,FABCC!$E$9:$H$20,3,FALSE)),"")</f>
        <v/>
      </c>
      <c r="I117" s="950"/>
      <c r="J117" s="953"/>
      <c r="K117" s="1006" t="str">
        <f t="shared" si="1"/>
        <v/>
      </c>
      <c r="L117" s="212"/>
    </row>
    <row r="118" spans="2:12" hidden="1" outlineLevel="1" x14ac:dyDescent="0.35">
      <c r="B118" s="269"/>
      <c r="C118" s="250"/>
      <c r="D118" s="941"/>
      <c r="E118" s="952"/>
      <c r="F118" s="562" t="str">
        <f>IFERROR(VLOOKUP(C118,FABCC!$E$9:$F$20,2,FALSE),"")</f>
        <v/>
      </c>
      <c r="G118" s="941"/>
      <c r="H118" s="1004" t="str">
        <f>IFERROR(IF(VLOOKUP($C118,FABCC!$E$9:$H$20,3,FALSE)=0,"",VLOOKUP($C118,FABCC!$E$9:$H$20,3,FALSE)),"")</f>
        <v/>
      </c>
      <c r="I118" s="950"/>
      <c r="J118" s="953"/>
      <c r="K118" s="1006" t="str">
        <f t="shared" si="1"/>
        <v/>
      </c>
      <c r="L118" s="212"/>
    </row>
    <row r="119" spans="2:12" hidden="1" outlineLevel="1" x14ac:dyDescent="0.35">
      <c r="B119" s="269"/>
      <c r="C119" s="250"/>
      <c r="D119" s="941"/>
      <c r="E119" s="952"/>
      <c r="F119" s="562" t="str">
        <f>IFERROR(VLOOKUP(C119,FABCC!$E$9:$F$20,2,FALSE),"")</f>
        <v/>
      </c>
      <c r="G119" s="941"/>
      <c r="H119" s="1004" t="str">
        <f>IFERROR(IF(VLOOKUP($C119,FABCC!$E$9:$H$20,3,FALSE)=0,"",VLOOKUP($C119,FABCC!$E$9:$H$20,3,FALSE)),"")</f>
        <v/>
      </c>
      <c r="I119" s="950"/>
      <c r="J119" s="953"/>
      <c r="K119" s="1006" t="str">
        <f t="shared" si="1"/>
        <v/>
      </c>
      <c r="L119" s="212"/>
    </row>
    <row r="120" spans="2:12" hidden="1" outlineLevel="1" x14ac:dyDescent="0.35">
      <c r="B120" s="269"/>
      <c r="C120" s="250"/>
      <c r="D120" s="941"/>
      <c r="E120" s="952"/>
      <c r="F120" s="562" t="str">
        <f>IFERROR(VLOOKUP(C120,FABCC!$E$9:$F$20,2,FALSE),"")</f>
        <v/>
      </c>
      <c r="G120" s="941"/>
      <c r="H120" s="1004" t="str">
        <f>IFERROR(IF(VLOOKUP($C120,FABCC!$E$9:$H$20,3,FALSE)=0,"",VLOOKUP($C120,FABCC!$E$9:$H$20,3,FALSE)),"")</f>
        <v/>
      </c>
      <c r="I120" s="950"/>
      <c r="J120" s="953"/>
      <c r="K120" s="1006" t="str">
        <f t="shared" si="1"/>
        <v/>
      </c>
      <c r="L120" s="212"/>
    </row>
    <row r="121" spans="2:12" hidden="1" outlineLevel="1" x14ac:dyDescent="0.35">
      <c r="B121" s="269"/>
      <c r="C121" s="250"/>
      <c r="D121" s="941"/>
      <c r="E121" s="952"/>
      <c r="F121" s="562" t="str">
        <f>IFERROR(VLOOKUP(C121,FABCC!$E$9:$F$20,2,FALSE),"")</f>
        <v/>
      </c>
      <c r="G121" s="941"/>
      <c r="H121" s="1004" t="str">
        <f>IFERROR(IF(VLOOKUP($C121,FABCC!$E$9:$H$20,3,FALSE)=0,"",VLOOKUP($C121,FABCC!$E$9:$H$20,3,FALSE)),"")</f>
        <v/>
      </c>
      <c r="I121" s="950"/>
      <c r="J121" s="953"/>
      <c r="K121" s="1006" t="str">
        <f t="shared" si="1"/>
        <v/>
      </c>
      <c r="L121" s="212"/>
    </row>
    <row r="122" spans="2:12" hidden="1" outlineLevel="1" x14ac:dyDescent="0.35">
      <c r="B122" s="269"/>
      <c r="C122" s="250"/>
      <c r="D122" s="941"/>
      <c r="E122" s="952"/>
      <c r="F122" s="562" t="str">
        <f>IFERROR(VLOOKUP(C122,FABCC!$E$9:$F$20,2,FALSE),"")</f>
        <v/>
      </c>
      <c r="G122" s="941"/>
      <c r="H122" s="1004" t="str">
        <f>IFERROR(IF(VLOOKUP($C122,FABCC!$E$9:$H$20,3,FALSE)=0,"",VLOOKUP($C122,FABCC!$E$9:$H$20,3,FALSE)),"")</f>
        <v/>
      </c>
      <c r="I122" s="950"/>
      <c r="J122" s="953"/>
      <c r="K122" s="1006" t="str">
        <f t="shared" si="1"/>
        <v/>
      </c>
      <c r="L122" s="212"/>
    </row>
    <row r="123" spans="2:12" hidden="1" outlineLevel="1" x14ac:dyDescent="0.35">
      <c r="B123" s="269"/>
      <c r="C123" s="250"/>
      <c r="D123" s="941"/>
      <c r="E123" s="952"/>
      <c r="F123" s="562" t="str">
        <f>IFERROR(VLOOKUP(C123,FABCC!$E$9:$F$20,2,FALSE),"")</f>
        <v/>
      </c>
      <c r="G123" s="941"/>
      <c r="H123" s="1004" t="str">
        <f>IFERROR(IF(VLOOKUP($C123,FABCC!$E$9:$H$20,3,FALSE)=0,"",VLOOKUP($C123,FABCC!$E$9:$H$20,3,FALSE)),"")</f>
        <v/>
      </c>
      <c r="I123" s="950"/>
      <c r="J123" s="953"/>
      <c r="K123" s="1006" t="str">
        <f t="shared" si="1"/>
        <v/>
      </c>
      <c r="L123" s="212"/>
    </row>
    <row r="124" spans="2:12" hidden="1" outlineLevel="1" x14ac:dyDescent="0.35">
      <c r="B124" s="269"/>
      <c r="C124" s="250"/>
      <c r="D124" s="941"/>
      <c r="E124" s="952"/>
      <c r="F124" s="562" t="str">
        <f>IFERROR(VLOOKUP(C124,FABCC!$E$9:$F$20,2,FALSE),"")</f>
        <v/>
      </c>
      <c r="G124" s="941"/>
      <c r="H124" s="1004" t="str">
        <f>IFERROR(IF(VLOOKUP($C124,FABCC!$E$9:$H$20,3,FALSE)=0,"",VLOOKUP($C124,FABCC!$E$9:$H$20,3,FALSE)),"")</f>
        <v/>
      </c>
      <c r="I124" s="950"/>
      <c r="J124" s="953"/>
      <c r="K124" s="1006" t="str">
        <f t="shared" si="1"/>
        <v/>
      </c>
      <c r="L124" s="212"/>
    </row>
    <row r="125" spans="2:12" hidden="1" outlineLevel="1" x14ac:dyDescent="0.35">
      <c r="B125" s="269"/>
      <c r="C125" s="250"/>
      <c r="D125" s="941"/>
      <c r="E125" s="952"/>
      <c r="F125" s="562" t="str">
        <f>IFERROR(VLOOKUP(C125,FABCC!$E$9:$F$20,2,FALSE),"")</f>
        <v/>
      </c>
      <c r="G125" s="941"/>
      <c r="H125" s="1004" t="str">
        <f>IFERROR(IF(VLOOKUP($C125,FABCC!$E$9:$H$20,3,FALSE)=0,"",VLOOKUP($C125,FABCC!$E$9:$H$20,3,FALSE)),"")</f>
        <v/>
      </c>
      <c r="I125" s="950"/>
      <c r="J125" s="953"/>
      <c r="K125" s="1006" t="str">
        <f t="shared" si="1"/>
        <v/>
      </c>
      <c r="L125" s="212"/>
    </row>
    <row r="126" spans="2:12" hidden="1" outlineLevel="1" x14ac:dyDescent="0.35">
      <c r="B126" s="269"/>
      <c r="C126" s="250"/>
      <c r="D126" s="941"/>
      <c r="E126" s="952"/>
      <c r="F126" s="562" t="str">
        <f>IFERROR(VLOOKUP(C126,FABCC!$E$9:$F$20,2,FALSE),"")</f>
        <v/>
      </c>
      <c r="G126" s="941"/>
      <c r="H126" s="1004" t="str">
        <f>IFERROR(IF(VLOOKUP($C126,FABCC!$E$9:$H$20,3,FALSE)=0,"",VLOOKUP($C126,FABCC!$E$9:$H$20,3,FALSE)),"")</f>
        <v/>
      </c>
      <c r="I126" s="950"/>
      <c r="J126" s="953"/>
      <c r="K126" s="1006" t="str">
        <f t="shared" si="1"/>
        <v/>
      </c>
      <c r="L126" s="212"/>
    </row>
    <row r="127" spans="2:12" hidden="1" outlineLevel="1" x14ac:dyDescent="0.35">
      <c r="B127" s="269"/>
      <c r="C127" s="250"/>
      <c r="D127" s="941"/>
      <c r="E127" s="952"/>
      <c r="F127" s="562" t="str">
        <f>IFERROR(VLOOKUP(C127,FABCC!$E$9:$F$20,2,FALSE),"")</f>
        <v/>
      </c>
      <c r="G127" s="941"/>
      <c r="H127" s="1004" t="str">
        <f>IFERROR(IF(VLOOKUP($C127,FABCC!$E$9:$H$20,3,FALSE)=0,"",VLOOKUP($C127,FABCC!$E$9:$H$20,3,FALSE)),"")</f>
        <v/>
      </c>
      <c r="I127" s="950"/>
      <c r="J127" s="953"/>
      <c r="K127" s="1006" t="str">
        <f t="shared" si="1"/>
        <v/>
      </c>
      <c r="L127" s="212"/>
    </row>
    <row r="128" spans="2:12" hidden="1" outlineLevel="1" x14ac:dyDescent="0.35">
      <c r="B128" s="269"/>
      <c r="C128" s="250"/>
      <c r="D128" s="941"/>
      <c r="E128" s="952"/>
      <c r="F128" s="562" t="str">
        <f>IFERROR(VLOOKUP(C128,FABCC!$E$9:$F$20,2,FALSE),"")</f>
        <v/>
      </c>
      <c r="G128" s="941"/>
      <c r="H128" s="1004" t="str">
        <f>IFERROR(IF(VLOOKUP($C128,FABCC!$E$9:$H$20,3,FALSE)=0,"",VLOOKUP($C128,FABCC!$E$9:$H$20,3,FALSE)),"")</f>
        <v/>
      </c>
      <c r="I128" s="950"/>
      <c r="J128" s="953"/>
      <c r="K128" s="1006" t="str">
        <f t="shared" si="1"/>
        <v/>
      </c>
      <c r="L128" s="212"/>
    </row>
    <row r="129" spans="2:17" ht="24.65" customHeight="1" collapsed="1" x14ac:dyDescent="0.35">
      <c r="B129" s="278" t="s">
        <v>40</v>
      </c>
      <c r="C129" s="279"/>
      <c r="D129" s="279"/>
      <c r="E129" s="823"/>
      <c r="F129" s="279"/>
      <c r="G129" s="279"/>
      <c r="H129" s="984"/>
      <c r="I129" s="828"/>
      <c r="J129" s="297"/>
      <c r="K129" s="1006">
        <f>SUM(K29:K128)</f>
        <v>0</v>
      </c>
    </row>
    <row r="130" spans="2:17" s="171" customFormat="1" ht="24.65" customHeight="1" x14ac:dyDescent="0.35">
      <c r="B130" s="253"/>
      <c r="C130" s="254"/>
      <c r="D130" s="254"/>
      <c r="E130" s="254"/>
      <c r="F130" s="254"/>
      <c r="G130" s="254"/>
      <c r="H130" s="255"/>
      <c r="I130" s="255"/>
      <c r="J130" s="255"/>
    </row>
    <row r="131" spans="2:17" x14ac:dyDescent="0.35"/>
    <row r="132" spans="2:17" x14ac:dyDescent="0.35"/>
    <row r="133" spans="2:17" s="538" customFormat="1" ht="30" customHeight="1" x14ac:dyDescent="0.35">
      <c r="B133" s="296" t="s">
        <v>671</v>
      </c>
    </row>
    <row r="134" spans="2:17" x14ac:dyDescent="0.35"/>
    <row r="135" spans="2:17" x14ac:dyDescent="0.35">
      <c r="F135" s="1050" t="s">
        <v>598</v>
      </c>
      <c r="G135" s="1051"/>
      <c r="H135" s="1052"/>
    </row>
    <row r="136" spans="2:17" s="357" customFormat="1" ht="31" x14ac:dyDescent="0.35">
      <c r="F136" s="370" t="str">
        <f>'Emissões Fugitivas'!E188</f>
        <v>Construção ou fase preparatória</v>
      </c>
      <c r="G136" s="371" t="s">
        <v>36</v>
      </c>
      <c r="H136" s="372" t="s">
        <v>255</v>
      </c>
    </row>
    <row r="137" spans="2:17" ht="17.5" x14ac:dyDescent="0.35">
      <c r="C137" s="1050" t="s">
        <v>1248</v>
      </c>
      <c r="D137" s="1051"/>
      <c r="E137" s="1052"/>
      <c r="F137" s="807">
        <f>SUMIF($B$29:$B$128,F$136,$K$29:$K$128)</f>
        <v>0</v>
      </c>
      <c r="G137" s="807">
        <f>SUMIF($B$29:$B$128,G$136,$K$29:$K$128)</f>
        <v>0</v>
      </c>
      <c r="H137" s="807">
        <f>SUMIF($B$29:$B$128,H$136,$K$29:$K$128)</f>
        <v>0</v>
      </c>
      <c r="I137" s="285" t="s">
        <v>40</v>
      </c>
    </row>
    <row r="138" spans="2:17" ht="17.5" x14ac:dyDescent="0.35">
      <c r="C138" s="1050" t="s">
        <v>1249</v>
      </c>
      <c r="D138" s="1051"/>
      <c r="E138" s="1052"/>
      <c r="F138" s="807">
        <f>IF('Dados gerais'!$F$33="", F137*'Fatores de Emissão'!$E$12, 'Dados gerais'!$F$33*F137)</f>
        <v>0</v>
      </c>
      <c r="G138" s="807">
        <f>IF('Dados gerais'!$F$34="", G137*'Fatores de Emissão'!$E$13, 'Dados gerais'!$F$34*G137)</f>
        <v>0</v>
      </c>
      <c r="H138" s="807">
        <f>IF('Dados gerais'!$F$34="", H137*'Fatores de Emissão'!$E$14, 'Dados gerais'!$F$34*H137)</f>
        <v>0</v>
      </c>
      <c r="I138" s="807">
        <f>SUM(F138:H138)</f>
        <v>0</v>
      </c>
    </row>
    <row r="139" spans="2:17" x14ac:dyDescent="0.35"/>
    <row r="140" spans="2:17" x14ac:dyDescent="0.35"/>
    <row r="141" spans="2:17" ht="19.899999999999999" customHeight="1" x14ac:dyDescent="0.35">
      <c r="B141" s="306"/>
      <c r="C141" s="306"/>
      <c r="D141" s="306"/>
      <c r="E141" s="306"/>
      <c r="F141" s="306"/>
      <c r="G141" s="306"/>
      <c r="H141" s="306"/>
      <c r="I141" s="306"/>
      <c r="J141" s="306"/>
      <c r="K141" s="306"/>
      <c r="L141" s="306"/>
      <c r="M141" s="306"/>
      <c r="N141" s="306"/>
      <c r="O141" s="306"/>
      <c r="P141" s="306"/>
      <c r="Q141" s="306"/>
    </row>
    <row r="142" spans="2:17" ht="19.899999999999999" customHeight="1" x14ac:dyDescent="0.35">
      <c r="B142" s="306"/>
      <c r="C142" s="306"/>
      <c r="D142" s="306"/>
      <c r="E142" s="306"/>
      <c r="F142" s="306"/>
      <c r="G142" s="306"/>
      <c r="H142" s="306"/>
      <c r="I142" s="306"/>
      <c r="J142" s="306"/>
      <c r="K142" s="306"/>
      <c r="L142" s="306"/>
      <c r="M142" s="306"/>
      <c r="N142" s="306"/>
      <c r="O142" s="306"/>
      <c r="P142" s="306"/>
      <c r="Q142" s="306"/>
    </row>
    <row r="143" spans="2:17" x14ac:dyDescent="0.35"/>
    <row r="144" spans="2:17"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sheetData>
  <sheetProtection algorithmName="SHA-512" hashValue="zxPvCO6SSE25BWlDt2kdyGDaqHhNYfYgaixobmswR4WMPxnI6aftUm+ou3WEJe5uCC8Vy6GrLc/AWueRSzvKpw==" saltValue="EBRPXHK8PmJDOzT5ZOJMdg==" spinCount="100000" sheet="1" formatRows="0" selectLockedCells="1"/>
  <protectedRanges>
    <protectedRange sqref="G29:G128 I29:I128 B29:E128" name="PI1"/>
  </protectedRanges>
  <mergeCells count="13">
    <mergeCell ref="F135:H135"/>
    <mergeCell ref="K26:K27"/>
    <mergeCell ref="C137:E137"/>
    <mergeCell ref="C138:E138"/>
    <mergeCell ref="D8:J8"/>
    <mergeCell ref="B21:K21"/>
    <mergeCell ref="B22:K22"/>
    <mergeCell ref="B13:K13"/>
    <mergeCell ref="B26:B27"/>
    <mergeCell ref="C26:C27"/>
    <mergeCell ref="D26:D27"/>
    <mergeCell ref="E26:G26"/>
    <mergeCell ref="H26:J26"/>
  </mergeCells>
  <conditionalFormatting sqref="I29:I128">
    <cfRule type="expression" dxfId="6" priority="158">
      <formula>OR(#REF!&gt;0, #REF!&gt;0, #REF!&gt;0, #REF!&gt;0)</formula>
    </cfRule>
  </conditionalFormatting>
  <conditionalFormatting sqref="J29:J128">
    <cfRule type="expression" dxfId="5" priority="6">
      <formula>$I29=""</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95971B12-1DB0-4722-AD48-59FF4177B565}">
            <xm:f>Triagem!$C$32=""</xm:f>
            <x14:dxf>
              <font>
                <color rgb="FFFF0000"/>
              </font>
              <fill>
                <patternFill>
                  <bgColor theme="7" tint="0.79998168889431442"/>
                </patternFill>
              </fill>
            </x14:dxf>
          </x14:cfRule>
          <x14:cfRule type="expression" priority="2" id="{C6442929-C9BF-4149-B98F-5EA03FFEE5D2}">
            <xm:f>Triagem!$C$32="Sim"</xm:f>
            <x14:dxf/>
          </x14:cfRule>
          <x14:cfRule type="expression" priority="3" id="{69028A69-4D59-4BEF-90D5-5C8BDCE0FB55}">
            <xm:f>Triagem!$C$32="Não"</xm:f>
            <x14:dxf>
              <font>
                <color theme="2" tint="-0.24994659260841701"/>
              </font>
            </x14:dxf>
          </x14:cfRule>
          <xm:sqref>D8</xm:sqref>
        </x14:conditionalFormatting>
        <x14:conditionalFormatting xmlns:xm="http://schemas.microsoft.com/office/excel/2006/main">
          <x14:cfRule type="expression" priority="159" id="{42FA4F16-AED7-4D4A-B172-F4BE9CBC35D9}">
            <xm:f>VLOOKUP(C29, FABCC!$E$9:$F$20, 2, FALSE)=FABCC!$F$17</xm:f>
            <x14:dxf>
              <font>
                <color auto="1"/>
              </font>
              <fill>
                <patternFill>
                  <bgColor theme="8" tint="0.59996337778862885"/>
                </patternFill>
              </fill>
            </x14:dxf>
          </x14:cfRule>
          <xm:sqref>D29:D128</xm:sqref>
        </x14:conditionalFormatting>
        <x14:conditionalFormatting xmlns:xm="http://schemas.microsoft.com/office/excel/2006/main">
          <x14:cfRule type="expression" priority="156" id="{E0DD231B-DF86-436F-92E5-504DA097B5ED}">
            <xm:f>F29=FABCC!$F$17</xm:f>
            <x14:dxf>
              <fill>
                <patternFill>
                  <bgColor theme="8" tint="0.59996337778862885"/>
                </patternFill>
              </fill>
            </x14:dxf>
          </x14:cfRule>
          <xm:sqref>G29:G128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74E1798-08CA-41CF-83A1-98E774493FC0}">
          <x14:formula1>
            <xm:f>'Fatores de Emissão'!$C$248:$C$281</xm:f>
          </x14:formula1>
          <xm:sqref>Y28:Y39</xm:sqref>
        </x14:dataValidation>
        <x14:dataValidation type="list" allowBlank="1" showInputMessage="1" showErrorMessage="1" xr:uid="{1EBD6C00-112E-4474-A041-691F2823F779}">
          <x14:formula1>
            <xm:f>FAEI!$A$10:$A$12</xm:f>
          </x14:formula1>
          <xm:sqref>B28:B128</xm:sqref>
        </x14:dataValidation>
        <x14:dataValidation type="list" allowBlank="1" showInputMessage="1" showErrorMessage="1" xr:uid="{5BFF3DDA-7576-46DB-B4CD-7B5431799977}">
          <x14:formula1>
            <xm:f>FABCC!$E$9:$E$20</xm:f>
          </x14:formula1>
          <xm:sqref>C29:C128</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434F-EC6B-4F63-B749-26AD78F8E8A3}">
  <sheetPr codeName="Folha23"/>
  <dimension ref="D7:I20"/>
  <sheetViews>
    <sheetView showGridLines="0" zoomScale="70" zoomScaleNormal="70" workbookViewId="0">
      <selection activeCell="G10" sqref="G10"/>
    </sheetView>
  </sheetViews>
  <sheetFormatPr defaultRowHeight="14.5" x14ac:dyDescent="0.35"/>
  <cols>
    <col min="1" max="1" width="5.453125" customWidth="1"/>
    <col min="2" max="2" width="15.7265625" bestFit="1" customWidth="1"/>
    <col min="3" max="3" width="12" bestFit="1" customWidth="1"/>
    <col min="4" max="4" width="32" bestFit="1" customWidth="1"/>
    <col min="5" max="5" width="32.90625" customWidth="1"/>
    <col min="8" max="8" width="31.36328125" customWidth="1"/>
  </cols>
  <sheetData>
    <row r="7" spans="4:9" x14ac:dyDescent="0.35">
      <c r="D7" s="51" t="s">
        <v>893</v>
      </c>
    </row>
    <row r="8" spans="4:9" x14ac:dyDescent="0.35">
      <c r="D8" s="800" t="s">
        <v>871</v>
      </c>
      <c r="E8" s="800" t="s">
        <v>1230</v>
      </c>
      <c r="F8" s="800" t="s">
        <v>29</v>
      </c>
      <c r="G8" s="800" t="s">
        <v>800</v>
      </c>
      <c r="H8" s="800" t="s">
        <v>887</v>
      </c>
      <c r="I8" s="51"/>
    </row>
    <row r="9" spans="4:9" x14ac:dyDescent="0.35">
      <c r="D9" s="22" t="str">
        <f>FAEI!K13</f>
        <v>1. Produção de cimento</v>
      </c>
      <c r="E9" s="22" t="str">
        <f>'Fatores de Emissão'!E209</f>
        <v>Clínquer</v>
      </c>
      <c r="F9" s="22" t="str">
        <f>FAEI!L13</f>
        <v>t clínquer</v>
      </c>
      <c r="G9" s="22">
        <f>FAEI!M13</f>
        <v>510.64400013059742</v>
      </c>
      <c r="H9" s="22" t="str">
        <f>FAEI!N13</f>
        <v>kg CO2e / t clínquer</v>
      </c>
    </row>
    <row r="10" spans="4:9" x14ac:dyDescent="0.35">
      <c r="D10" s="22" t="str">
        <f>FAEI!K14</f>
        <v>2. Produção de cal</v>
      </c>
      <c r="E10" s="22" t="str">
        <f>'Fatores de Emissão'!E210</f>
        <v>Cal</v>
      </c>
      <c r="F10" s="22" t="str">
        <f>FAEI!L14</f>
        <v>t cal</v>
      </c>
      <c r="G10" s="22">
        <f>FAEI!M14</f>
        <v>683.82051204099218</v>
      </c>
      <c r="H10" s="22" t="str">
        <f>FAEI!N14</f>
        <v>kg CO2e / t cal</v>
      </c>
    </row>
    <row r="11" spans="4:9" x14ac:dyDescent="0.35">
      <c r="D11" s="22" t="str">
        <f>FAEI!K15</f>
        <v>3. Produção de vidro</v>
      </c>
      <c r="E11" s="22" t="str">
        <f>'Fatores de Emissão'!E211</f>
        <v>Vidro</v>
      </c>
      <c r="F11" s="22" t="str">
        <f>FAEI!L15</f>
        <v>t vidro</v>
      </c>
      <c r="G11" s="22">
        <f>FAEI!M15</f>
        <v>89.208332324399436</v>
      </c>
      <c r="H11" s="22" t="str">
        <f>FAEI!N15</f>
        <v>kg CO2e / t vidro</v>
      </c>
    </row>
    <row r="12" spans="4:9" x14ac:dyDescent="0.35">
      <c r="D12" s="22" t="str">
        <f>FAEI!K16</f>
        <v>4. Produção cerâmica</v>
      </c>
      <c r="E12" s="22" t="str">
        <f>'Fatores de Emissão'!E212</f>
        <v>Carbonatos consumidos</v>
      </c>
      <c r="F12" s="22" t="str">
        <f>FAEI!L16</f>
        <v>t carbonatos consumidos</v>
      </c>
      <c r="G12" s="22">
        <f>FAEI!M16</f>
        <v>21.896543813572944</v>
      </c>
      <c r="H12" s="22" t="str">
        <f>FAEI!N16</f>
        <v>kg CO2e / t carbonatos consumidos</v>
      </c>
    </row>
    <row r="13" spans="4:9" x14ac:dyDescent="0.35">
      <c r="D13" s="22" t="str">
        <f>FAEI!K17</f>
        <v>5. Produção de ácido nítrico</v>
      </c>
      <c r="E13" s="22" t="str">
        <f>'Fatores de Emissão'!E213</f>
        <v>Ácido nítrico</v>
      </c>
      <c r="F13" s="22" t="str">
        <f>FAEI!L17</f>
        <v>t ácido nítrico</v>
      </c>
      <c r="G13" s="22">
        <f>FAEI!M17</f>
        <v>75.134848369877133</v>
      </c>
      <c r="H13" s="22" t="str">
        <f>FAEI!N17</f>
        <v>kg CO2e / t ácido nítrico</v>
      </c>
    </row>
    <row r="14" spans="4:9" x14ac:dyDescent="0.35">
      <c r="D14" s="22" t="str">
        <f>FAEI!K18</f>
        <v>6. Produção de etileno</v>
      </c>
      <c r="E14" s="22" t="str">
        <f>'Fatores de Emissão'!E214</f>
        <v>Etileno</v>
      </c>
      <c r="F14" s="22" t="str">
        <f>FAEI!L18</f>
        <v>t etileno</v>
      </c>
      <c r="G14" s="22">
        <f>FAEI!M18</f>
        <v>1730</v>
      </c>
      <c r="H14" s="22" t="str">
        <f>FAEI!N18</f>
        <v>kg CO2e / t etileno</v>
      </c>
    </row>
    <row r="15" spans="4:9" x14ac:dyDescent="0.35">
      <c r="D15" s="22" t="str">
        <f>FAEI!K19</f>
        <v>7. Produção de aço</v>
      </c>
      <c r="E15" s="22" t="str">
        <f>'Fatores de Emissão'!E215</f>
        <v>Aço</v>
      </c>
      <c r="F15" s="22" t="str">
        <f>FAEI!L19</f>
        <v>t aço</v>
      </c>
      <c r="G15" s="22">
        <f>FAEI!M19</f>
        <v>34.10331661918017</v>
      </c>
      <c r="H15" s="22" t="str">
        <f>FAEI!N19</f>
        <v>kg CO2e / t aço</v>
      </c>
    </row>
    <row r="16" spans="4:9" x14ac:dyDescent="0.35">
      <c r="D16" s="22" t="str">
        <f>FAEI!K20</f>
        <v>8. Produção de chumbo</v>
      </c>
      <c r="E16" s="22" t="str">
        <f>'Fatores de Emissão'!E216</f>
        <v>Chumbo</v>
      </c>
      <c r="F16" s="22" t="str">
        <f>FAEI!L20</f>
        <v>t chumbo</v>
      </c>
      <c r="G16" s="22">
        <f>FAEI!M20</f>
        <v>520</v>
      </c>
      <c r="H16" s="22" t="str">
        <f>FAEI!N20</f>
        <v>kg CO2e / t chumbo</v>
      </c>
    </row>
    <row r="17" spans="4:8" ht="16.5" x14ac:dyDescent="0.45">
      <c r="D17" s="22" t="str">
        <f>FAEI!K21</f>
        <v>9. Outros</v>
      </c>
      <c r="E17" s="294" t="s">
        <v>1238</v>
      </c>
      <c r="F17" s="294" t="str">
        <f>FAEI!L21</f>
        <v>(indique a unidade no campo ao lado)</v>
      </c>
      <c r="G17" s="22"/>
      <c r="H17" s="22" t="s">
        <v>1241</v>
      </c>
    </row>
    <row r="18" spans="4:8" x14ac:dyDescent="0.35">
      <c r="D18" s="22">
        <f>FAEI!P22</f>
        <v>0</v>
      </c>
      <c r="E18" s="294" t="s">
        <v>1239</v>
      </c>
      <c r="F18" s="294" t="str">
        <f>F17</f>
        <v>(indique a unidade no campo ao lado)</v>
      </c>
      <c r="G18" s="22"/>
      <c r="H18" s="22">
        <f>FAEI!S22</f>
        <v>0</v>
      </c>
    </row>
    <row r="19" spans="4:8" x14ac:dyDescent="0.35">
      <c r="D19" s="22">
        <f>FAEI!P23</f>
        <v>0</v>
      </c>
      <c r="E19" s="294" t="s">
        <v>1240</v>
      </c>
      <c r="F19" s="294" t="str">
        <f>F18</f>
        <v>(indique a unidade no campo ao lado)</v>
      </c>
      <c r="G19" s="22"/>
      <c r="H19" s="22">
        <f>FAEI!S23</f>
        <v>0</v>
      </c>
    </row>
    <row r="20" spans="4:8" x14ac:dyDescent="0.35">
      <c r="D20" s="22" t="str">
        <f>FAEI!K21</f>
        <v>9. Outros</v>
      </c>
      <c r="E20" s="294" t="s">
        <v>314</v>
      </c>
      <c r="F20" s="22" t="str">
        <f>FAEI!L21</f>
        <v>(indique a unidade no campo ao lado)</v>
      </c>
      <c r="G20" s="22"/>
      <c r="H20" s="22">
        <f>FAEI!N21</f>
        <v>0</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D7EA0-A11D-4498-B068-E5782536973B}">
  <sheetPr codeName="Folha24">
    <tabColor rgb="FF02A39C"/>
  </sheetPr>
  <dimension ref="A1:AE235"/>
  <sheetViews>
    <sheetView showGridLines="0" zoomScale="70" zoomScaleNormal="70" workbookViewId="0">
      <selection activeCell="F36" sqref="F36"/>
    </sheetView>
  </sheetViews>
  <sheetFormatPr defaultColWidth="0" defaultRowHeight="15.65" customHeight="1" zeroHeight="1" outlineLevelRow="1" x14ac:dyDescent="0.35"/>
  <cols>
    <col min="1" max="1" width="9.7265625" style="169" bestFit="1" customWidth="1"/>
    <col min="2" max="2" width="14.7265625" style="169" customWidth="1"/>
    <col min="3" max="3" width="22.1796875" style="169" customWidth="1"/>
    <col min="4" max="4" width="31.1796875" style="169" customWidth="1"/>
    <col min="5" max="5" width="17.7265625" style="169" customWidth="1"/>
    <col min="6" max="6" width="24.7265625" style="169" customWidth="1"/>
    <col min="7" max="7" width="28.26953125" style="169" customWidth="1"/>
    <col min="8" max="9" width="30.7265625" style="169" customWidth="1"/>
    <col min="10" max="10" width="37.453125" style="169" customWidth="1"/>
    <col min="11" max="11" width="34" style="169" customWidth="1"/>
    <col min="12" max="12" width="15.7265625" style="169" customWidth="1"/>
    <col min="13" max="13" width="12.26953125" style="169" customWidth="1"/>
    <col min="14" max="14" width="13.26953125" style="169" customWidth="1"/>
    <col min="15" max="15" width="30.7265625" style="169" customWidth="1"/>
    <col min="16" max="16" width="38.26953125" style="169" customWidth="1"/>
    <col min="17" max="17" width="22.7265625" style="169" customWidth="1"/>
    <col min="18" max="27" width="8.7265625" style="169" customWidth="1"/>
    <col min="28" max="31" width="0" style="169" hidden="1" customWidth="1"/>
    <col min="32" max="16384" width="8.7265625" style="169" hidden="1"/>
  </cols>
  <sheetData>
    <row r="1" spans="2:17" ht="15.5" x14ac:dyDescent="0.35"/>
    <row r="2" spans="2:17" ht="15.5" x14ac:dyDescent="0.35"/>
    <row r="3" spans="2:17" ht="15.5" x14ac:dyDescent="0.35"/>
    <row r="4" spans="2:17" ht="15.5" x14ac:dyDescent="0.35"/>
    <row r="5" spans="2:17" ht="15.5" x14ac:dyDescent="0.35"/>
    <row r="6" spans="2:17" ht="15.5" x14ac:dyDescent="0.35"/>
    <row r="7" spans="2:17" ht="15.5" x14ac:dyDescent="0.35"/>
    <row r="8" spans="2:17" ht="18.5" x14ac:dyDescent="0.45">
      <c r="D8" s="1049" t="str">
        <f>IF(Triagem!C37="","Não indicou na TRIAGEM se esta folha se adequa ao projeto",IF(Triagem!C37="Não","Não necessita de preencher esta folha","Folha a ser preenchida"))</f>
        <v>Não indicou na TRIAGEM se esta folha se adequa ao projeto</v>
      </c>
      <c r="E8" s="1049"/>
      <c r="F8" s="1049"/>
      <c r="G8" s="1049"/>
      <c r="H8" s="1049"/>
      <c r="I8" s="1049"/>
      <c r="J8" s="1049"/>
      <c r="K8" s="375"/>
    </row>
    <row r="9" spans="2:17" ht="15.5" x14ac:dyDescent="0.35"/>
    <row r="10" spans="2:17" ht="15.5" x14ac:dyDescent="0.35"/>
    <row r="11" spans="2:17" ht="18.5" x14ac:dyDescent="0.45">
      <c r="B11" s="375" t="s">
        <v>1278</v>
      </c>
    </row>
    <row r="12" spans="2:17" ht="15.5" x14ac:dyDescent="0.35"/>
    <row r="13" spans="2:17" ht="51.65" customHeight="1" x14ac:dyDescent="0.35">
      <c r="B13" s="1265" t="s">
        <v>1502</v>
      </c>
      <c r="C13" s="1265"/>
      <c r="D13" s="1265"/>
      <c r="E13" s="1265"/>
      <c r="F13" s="1265"/>
      <c r="G13" s="1265"/>
      <c r="H13" s="1265"/>
      <c r="I13" s="1265"/>
      <c r="J13" s="1265"/>
      <c r="K13" s="1265"/>
      <c r="L13" s="311"/>
      <c r="M13" s="306"/>
      <c r="N13" s="306"/>
      <c r="O13" s="306"/>
      <c r="P13" s="306"/>
      <c r="Q13" s="306"/>
    </row>
    <row r="14" spans="2:17" ht="19.899999999999999" customHeight="1" x14ac:dyDescent="0.35">
      <c r="B14" s="306"/>
      <c r="C14" s="306"/>
      <c r="D14" s="306"/>
      <c r="E14" s="306"/>
      <c r="F14" s="306"/>
      <c r="G14" s="306"/>
      <c r="H14" s="306"/>
      <c r="I14" s="306"/>
      <c r="J14" s="306"/>
      <c r="K14" s="306"/>
      <c r="L14" s="306"/>
      <c r="M14" s="306"/>
      <c r="N14" s="306"/>
      <c r="O14" s="306"/>
      <c r="P14" s="306"/>
      <c r="Q14" s="306"/>
    </row>
    <row r="15" spans="2:17" ht="15.5" x14ac:dyDescent="0.35">
      <c r="B15" s="167" t="s">
        <v>0</v>
      </c>
      <c r="C15" s="172"/>
      <c r="D15" s="172"/>
      <c r="E15" s="172"/>
      <c r="F15" s="172"/>
      <c r="G15" s="172"/>
      <c r="H15" s="172"/>
      <c r="I15" s="172"/>
      <c r="J15" s="172"/>
      <c r="K15" s="172"/>
    </row>
    <row r="16" spans="2:17" ht="15.5" x14ac:dyDescent="0.35">
      <c r="B16" s="345" t="s">
        <v>1269</v>
      </c>
      <c r="C16" s="172"/>
      <c r="D16" s="172"/>
      <c r="E16" s="172"/>
      <c r="F16" s="172"/>
      <c r="G16" s="172"/>
      <c r="H16" s="172"/>
      <c r="I16" s="172"/>
      <c r="J16" s="172"/>
      <c r="K16" s="172"/>
    </row>
    <row r="17" spans="2:27" ht="19.899999999999999" customHeight="1" x14ac:dyDescent="0.35">
      <c r="B17" s="172" t="s">
        <v>1105</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2:27" ht="19.899999999999999" customHeight="1" x14ac:dyDescent="0.35">
      <c r="B18" s="172" t="s">
        <v>1270</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2:27" ht="15.5" x14ac:dyDescent="0.35">
      <c r="B19" s="172" t="s">
        <v>1271</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2:27" ht="19.899999999999999" customHeight="1" x14ac:dyDescent="0.35">
      <c r="B20" s="1162" t="s">
        <v>1553</v>
      </c>
      <c r="C20" s="1162"/>
      <c r="D20" s="1162"/>
      <c r="E20" s="1162"/>
      <c r="F20" s="1162"/>
      <c r="G20" s="1162"/>
      <c r="H20" s="1162"/>
      <c r="I20" s="1162"/>
      <c r="J20" s="1162"/>
      <c r="K20" s="1162"/>
      <c r="L20" s="343"/>
      <c r="M20" s="343"/>
      <c r="N20" s="343"/>
      <c r="O20" s="343"/>
      <c r="P20" s="343"/>
      <c r="Q20" s="234"/>
      <c r="R20" s="234"/>
      <c r="S20" s="234"/>
      <c r="T20" s="234"/>
      <c r="U20" s="234"/>
      <c r="V20" s="234"/>
      <c r="W20" s="234"/>
      <c r="X20" s="234"/>
      <c r="Y20" s="234"/>
      <c r="Z20" s="234"/>
      <c r="AA20" s="234"/>
    </row>
    <row r="21" spans="2:27" ht="15.65" customHeight="1" x14ac:dyDescent="0.35">
      <c r="B21" s="1162" t="s">
        <v>1274</v>
      </c>
      <c r="C21" s="1162"/>
      <c r="D21" s="1162"/>
      <c r="E21" s="1162"/>
      <c r="F21" s="1162"/>
      <c r="G21" s="1162"/>
      <c r="H21" s="1162"/>
      <c r="I21" s="1162"/>
      <c r="J21" s="1162"/>
      <c r="K21" s="1162"/>
      <c r="L21" s="234"/>
      <c r="M21" s="234"/>
      <c r="N21" s="234"/>
      <c r="O21" s="234"/>
      <c r="P21" s="234"/>
      <c r="Q21" s="234"/>
      <c r="R21" s="232"/>
      <c r="S21" s="232"/>
      <c r="T21" s="232"/>
      <c r="U21" s="232"/>
      <c r="V21" s="232"/>
      <c r="W21" s="232"/>
      <c r="X21" s="232"/>
      <c r="Y21" s="232"/>
      <c r="Z21" s="232"/>
      <c r="AA21" s="233"/>
    </row>
    <row r="22" spans="2:27" ht="15.5" x14ac:dyDescent="0.35">
      <c r="B22" s="231"/>
      <c r="C22" s="231"/>
      <c r="D22" s="231"/>
      <c r="E22" s="231"/>
      <c r="F22" s="231"/>
      <c r="G22" s="231"/>
      <c r="H22" s="231"/>
      <c r="I22" s="231"/>
      <c r="J22" s="231"/>
      <c r="K22" s="231"/>
      <c r="L22" s="232"/>
      <c r="M22" s="234"/>
      <c r="N22" s="234"/>
      <c r="O22" s="234"/>
      <c r="P22" s="234"/>
      <c r="Q22" s="234"/>
      <c r="R22" s="232"/>
      <c r="S22" s="232"/>
      <c r="T22" s="232"/>
      <c r="U22" s="232"/>
      <c r="V22" s="232"/>
      <c r="W22" s="232"/>
      <c r="X22" s="232"/>
      <c r="Y22" s="232"/>
      <c r="Z22" s="232"/>
      <c r="AA22" s="233"/>
    </row>
    <row r="23" spans="2:27" ht="31" x14ac:dyDescent="0.35">
      <c r="B23" s="231"/>
      <c r="C23" s="628" t="s">
        <v>1262</v>
      </c>
      <c r="D23" s="1271" t="s">
        <v>1275</v>
      </c>
      <c r="E23" s="1271"/>
      <c r="F23" s="1271"/>
      <c r="G23" s="231"/>
      <c r="H23" s="231"/>
      <c r="I23" s="231"/>
      <c r="J23" s="231"/>
      <c r="K23" s="231"/>
      <c r="L23" s="232"/>
      <c r="M23" s="234"/>
      <c r="N23" s="234"/>
      <c r="O23" s="234"/>
      <c r="P23" s="234"/>
      <c r="Q23" s="234"/>
      <c r="R23" s="232"/>
      <c r="S23" s="232"/>
      <c r="T23" s="232"/>
      <c r="U23" s="232"/>
      <c r="V23" s="232"/>
      <c r="W23" s="232"/>
      <c r="X23" s="232"/>
      <c r="Y23" s="232"/>
      <c r="Z23" s="232"/>
      <c r="AA23" s="233"/>
    </row>
    <row r="24" spans="2:27" ht="46.5" x14ac:dyDescent="0.35">
      <c r="B24" s="231"/>
      <c r="C24" s="629" t="str">
        <f>FAPr!B12</f>
        <v>Emissões do tratamento final do produto</v>
      </c>
      <c r="D24" s="1272" t="str">
        <f>FAPr!C12</f>
        <v>Emissões do processo de tratamento do produto (efetuado por terceiros)</v>
      </c>
      <c r="E24" s="1272"/>
      <c r="F24" s="1272"/>
      <c r="G24" s="231"/>
      <c r="H24" s="231"/>
      <c r="I24" s="231"/>
      <c r="J24" s="231"/>
      <c r="K24" s="231"/>
      <c r="L24" s="232"/>
      <c r="M24" s="234"/>
      <c r="N24" s="234"/>
      <c r="O24" s="234"/>
      <c r="P24" s="234"/>
      <c r="Q24" s="234"/>
      <c r="R24" s="232"/>
      <c r="S24" s="232"/>
      <c r="T24" s="232"/>
      <c r="U24" s="232"/>
      <c r="V24" s="232"/>
      <c r="W24" s="232"/>
      <c r="X24" s="232"/>
      <c r="Y24" s="232"/>
      <c r="Z24" s="232"/>
      <c r="AA24" s="233"/>
    </row>
    <row r="25" spans="2:27" ht="31" x14ac:dyDescent="0.35">
      <c r="B25" s="231"/>
      <c r="C25" s="629" t="str">
        <f>FAPr!B13</f>
        <v>Emissões do uso do produto</v>
      </c>
      <c r="D25" s="1272" t="str">
        <f>FAPr!C13</f>
        <v>Emissões do uso do produto</v>
      </c>
      <c r="E25" s="1272"/>
      <c r="F25" s="1272"/>
      <c r="G25" s="231"/>
      <c r="H25" s="231"/>
      <c r="I25" s="231"/>
      <c r="J25" s="231"/>
      <c r="K25" s="231"/>
      <c r="L25" s="232"/>
      <c r="M25" s="234"/>
      <c r="N25" s="234"/>
      <c r="O25" s="234"/>
      <c r="P25" s="234"/>
      <c r="Q25" s="234"/>
      <c r="R25" s="232"/>
      <c r="S25" s="232"/>
      <c r="T25" s="232"/>
      <c r="U25" s="232"/>
      <c r="V25" s="232"/>
      <c r="W25" s="232"/>
      <c r="X25" s="232"/>
      <c r="Y25" s="232"/>
      <c r="Z25" s="232"/>
      <c r="AA25" s="233"/>
    </row>
    <row r="26" spans="2:27" ht="31" x14ac:dyDescent="0.35">
      <c r="B26" s="231"/>
      <c r="C26" s="629" t="str">
        <f>FAPr!B14</f>
        <v>Emissões do fim de vida do produto</v>
      </c>
      <c r="D26" s="1272" t="str">
        <f>FAPr!C14</f>
        <v>Emissões do fim de vida do produto (i.e., emissões de GEE do tratamento e destino final)</v>
      </c>
      <c r="E26" s="1272"/>
      <c r="F26" s="1272"/>
      <c r="G26" s="231"/>
      <c r="H26" s="231"/>
      <c r="I26" s="231"/>
      <c r="J26" s="231"/>
      <c r="K26" s="231"/>
      <c r="L26" s="232"/>
      <c r="M26" s="234"/>
      <c r="N26" s="234"/>
      <c r="O26" s="234"/>
      <c r="P26" s="234"/>
      <c r="Q26" s="234"/>
      <c r="R26" s="232"/>
      <c r="S26" s="232"/>
      <c r="T26" s="232"/>
      <c r="U26" s="232"/>
      <c r="V26" s="232"/>
      <c r="W26" s="232"/>
      <c r="X26" s="232"/>
      <c r="Y26" s="232"/>
      <c r="Z26" s="232"/>
      <c r="AA26" s="233"/>
    </row>
    <row r="27" spans="2:27" ht="15.5" x14ac:dyDescent="0.35">
      <c r="B27" s="231"/>
      <c r="C27" s="231"/>
      <c r="D27" s="231"/>
      <c r="E27" s="231"/>
      <c r="F27" s="231"/>
      <c r="G27" s="231"/>
      <c r="H27" s="231"/>
      <c r="I27" s="231"/>
      <c r="J27" s="231"/>
      <c r="K27" s="231"/>
      <c r="L27" s="232"/>
      <c r="M27" s="234"/>
      <c r="N27" s="234"/>
      <c r="O27" s="234"/>
      <c r="P27" s="234"/>
      <c r="Q27" s="234"/>
      <c r="R27" s="232"/>
      <c r="S27" s="232"/>
      <c r="T27" s="232"/>
      <c r="U27" s="232"/>
      <c r="V27" s="232"/>
      <c r="W27" s="232"/>
      <c r="X27" s="232"/>
      <c r="Y27" s="232"/>
      <c r="Z27" s="232"/>
      <c r="AA27" s="233"/>
    </row>
    <row r="28" spans="2:27" ht="27" customHeight="1" x14ac:dyDescent="0.35">
      <c r="B28" s="235" t="s">
        <v>1277</v>
      </c>
      <c r="C28" s="231"/>
      <c r="D28" s="231"/>
      <c r="E28" s="231"/>
      <c r="F28" s="231"/>
      <c r="G28" s="231"/>
      <c r="H28" s="231"/>
      <c r="I28" s="231"/>
      <c r="J28" s="231"/>
      <c r="K28" s="231"/>
      <c r="L28" s="232"/>
      <c r="M28" s="234"/>
      <c r="N28" s="234"/>
      <c r="O28" s="234"/>
      <c r="P28" s="234"/>
      <c r="Q28" s="234"/>
      <c r="R28" s="232"/>
      <c r="S28" s="232"/>
      <c r="T28" s="232"/>
      <c r="U28" s="232"/>
      <c r="V28" s="232"/>
      <c r="W28" s="232"/>
      <c r="X28" s="232"/>
      <c r="Y28" s="232"/>
      <c r="Z28" s="232"/>
      <c r="AA28" s="233"/>
    </row>
    <row r="29" spans="2:27" ht="15.5" x14ac:dyDescent="0.35"/>
    <row r="30" spans="2:27" ht="15.5" x14ac:dyDescent="0.35">
      <c r="I30" s="183"/>
    </row>
    <row r="31" spans="2:27" ht="15.5" x14ac:dyDescent="0.35">
      <c r="B31" s="236" t="s">
        <v>1268</v>
      </c>
    </row>
    <row r="32" spans="2:27" ht="38.5" customHeight="1" x14ac:dyDescent="0.35">
      <c r="B32" s="1089" t="s">
        <v>1242</v>
      </c>
      <c r="C32" s="1089" t="s">
        <v>1256</v>
      </c>
      <c r="D32" s="1089" t="s">
        <v>1257</v>
      </c>
      <c r="E32" s="1206" t="s">
        <v>1263</v>
      </c>
      <c r="F32" s="1207"/>
      <c r="G32" s="1208"/>
      <c r="H32" s="1197" t="s">
        <v>1576</v>
      </c>
      <c r="I32" s="1199"/>
      <c r="J32" s="1101" t="s">
        <v>1264</v>
      </c>
      <c r="K32" s="1089" t="s">
        <v>1265</v>
      </c>
    </row>
    <row r="33" spans="1:13" ht="42.65" customHeight="1" x14ac:dyDescent="0.35">
      <c r="B33" s="1100"/>
      <c r="C33" s="1100"/>
      <c r="D33" s="1100"/>
      <c r="E33" s="237" t="s">
        <v>762</v>
      </c>
      <c r="F33" s="237" t="s">
        <v>29</v>
      </c>
      <c r="G33" s="238" t="s">
        <v>1272</v>
      </c>
      <c r="H33" s="238" t="s">
        <v>563</v>
      </c>
      <c r="I33" s="238" t="s">
        <v>32</v>
      </c>
      <c r="J33" s="1103"/>
      <c r="K33" s="1100"/>
    </row>
    <row r="34" spans="1:13" s="248" customFormat="1" ht="62" x14ac:dyDescent="0.35">
      <c r="A34" s="189" t="s">
        <v>39</v>
      </c>
      <c r="B34" s="581" t="s">
        <v>36</v>
      </c>
      <c r="C34" s="581" t="s">
        <v>1258</v>
      </c>
      <c r="D34" s="581" t="s">
        <v>1259</v>
      </c>
      <c r="E34" s="584">
        <v>100</v>
      </c>
      <c r="F34" s="582" t="s">
        <v>1266</v>
      </c>
      <c r="G34" s="584">
        <v>15</v>
      </c>
      <c r="H34" s="1012">
        <v>10</v>
      </c>
      <c r="I34" s="582" t="s">
        <v>1567</v>
      </c>
      <c r="J34" s="583" t="s">
        <v>1267</v>
      </c>
      <c r="K34" s="1013">
        <v>15</v>
      </c>
    </row>
    <row r="35" spans="1:13" ht="15.5" x14ac:dyDescent="0.35">
      <c r="B35" s="269"/>
      <c r="C35" s="269"/>
      <c r="D35" s="250"/>
      <c r="E35" s="630"/>
      <c r="F35" s="269"/>
      <c r="G35" s="630"/>
      <c r="H35" s="950"/>
      <c r="I35" s="951" t="str">
        <f>"kg CO2e / "&amp;F35</f>
        <v xml:space="preserve">kg CO2e / </v>
      </c>
      <c r="J35" s="631"/>
      <c r="K35" s="1006" t="str">
        <f>IF(H35="","",IFERROR(IF(D35=FAPr!$B$13,'Uso dos produtos do projeto'!H35*'Uso dos produtos do projeto'!G35*'Uso dos produtos do projeto'!E35/1000,'Uso dos produtos do projeto'!H35*'Uso dos produtos do projeto'!E35),""))</f>
        <v/>
      </c>
      <c r="L35" s="212"/>
    </row>
    <row r="36" spans="1:13" ht="15.5" x14ac:dyDescent="0.35">
      <c r="B36" s="269"/>
      <c r="C36" s="269"/>
      <c r="D36" s="250"/>
      <c r="E36" s="630"/>
      <c r="F36" s="269"/>
      <c r="G36" s="630"/>
      <c r="H36" s="950"/>
      <c r="I36" s="951" t="str">
        <f t="shared" ref="I36:I99" si="0">"kg CO2e / "&amp;F36</f>
        <v xml:space="preserve">kg CO2e / </v>
      </c>
      <c r="J36" s="631"/>
      <c r="K36" s="1006" t="str">
        <f>IF(H36="","",IFERROR(IF(D36=FAPr!$B$13,'Uso dos produtos do projeto'!H36*'Uso dos produtos do projeto'!G36*'Uso dos produtos do projeto'!E36/1000,'Uso dos produtos do projeto'!H36*'Uso dos produtos do projeto'!E36),""))</f>
        <v/>
      </c>
      <c r="L36" s="212"/>
    </row>
    <row r="37" spans="1:13" ht="24" customHeight="1" x14ac:dyDescent="0.35">
      <c r="B37" s="269"/>
      <c r="C37" s="269"/>
      <c r="D37" s="250"/>
      <c r="E37" s="630"/>
      <c r="F37" s="269"/>
      <c r="G37" s="630"/>
      <c r="H37" s="950"/>
      <c r="I37" s="951" t="str">
        <f t="shared" si="0"/>
        <v xml:space="preserve">kg CO2e / </v>
      </c>
      <c r="J37" s="631"/>
      <c r="K37" s="1006" t="str">
        <f>IF(H37="","",IFERROR(IF(D37=FAPr!$B$13,'Uso dos produtos do projeto'!H37*'Uso dos produtos do projeto'!G37*'Uso dos produtos do projeto'!E37/1000,'Uso dos produtos do projeto'!H37*'Uso dos produtos do projeto'!E37),""))</f>
        <v/>
      </c>
      <c r="L37" s="212"/>
    </row>
    <row r="38" spans="1:13" ht="15.5" x14ac:dyDescent="0.35">
      <c r="B38" s="269"/>
      <c r="C38" s="269"/>
      <c r="D38" s="250"/>
      <c r="E38" s="630"/>
      <c r="F38" s="269"/>
      <c r="G38" s="630"/>
      <c r="H38" s="950"/>
      <c r="I38" s="951" t="str">
        <f t="shared" si="0"/>
        <v xml:space="preserve">kg CO2e / </v>
      </c>
      <c r="J38" s="631"/>
      <c r="K38" s="1006" t="str">
        <f>IF(H38="","",IFERROR(IF(D38=FAPr!$B$13,'Uso dos produtos do projeto'!H38*'Uso dos produtos do projeto'!G38*'Uso dos produtos do projeto'!E38/1000,'Uso dos produtos do projeto'!H38*'Uso dos produtos do projeto'!E38),""))</f>
        <v/>
      </c>
      <c r="L38" s="212"/>
    </row>
    <row r="39" spans="1:13" ht="15.5" x14ac:dyDescent="0.35">
      <c r="B39" s="269"/>
      <c r="C39" s="269"/>
      <c r="D39" s="250"/>
      <c r="E39" s="630"/>
      <c r="F39" s="269"/>
      <c r="G39" s="630"/>
      <c r="H39" s="950"/>
      <c r="I39" s="951" t="str">
        <f t="shared" si="0"/>
        <v xml:space="preserve">kg CO2e / </v>
      </c>
      <c r="J39" s="631"/>
      <c r="K39" s="1006" t="str">
        <f>IF(H39="","",IFERROR(IF(D39=FAPr!$B$13,'Uso dos produtos do projeto'!H39*'Uso dos produtos do projeto'!G39*'Uso dos produtos do projeto'!E39/1000,'Uso dos produtos do projeto'!H39*'Uso dos produtos do projeto'!E39),""))</f>
        <v/>
      </c>
      <c r="L39" s="212"/>
      <c r="M39" s="368"/>
    </row>
    <row r="40" spans="1:13" ht="15.5" x14ac:dyDescent="0.35">
      <c r="B40" s="269"/>
      <c r="C40" s="269"/>
      <c r="D40" s="250"/>
      <c r="E40" s="630"/>
      <c r="F40" s="269"/>
      <c r="G40" s="630"/>
      <c r="H40" s="950"/>
      <c r="I40" s="951" t="str">
        <f t="shared" si="0"/>
        <v xml:space="preserve">kg CO2e / </v>
      </c>
      <c r="J40" s="631"/>
      <c r="K40" s="1006" t="str">
        <f>IF(H40="","",IFERROR(IF(D40=FAPr!$B$13,'Uso dos produtos do projeto'!H40*'Uso dos produtos do projeto'!G40*'Uso dos produtos do projeto'!E40/1000,'Uso dos produtos do projeto'!H40*'Uso dos produtos do projeto'!E40),""))</f>
        <v/>
      </c>
      <c r="L40" s="212"/>
      <c r="M40" s="369"/>
    </row>
    <row r="41" spans="1:13" ht="15.5" x14ac:dyDescent="0.35">
      <c r="B41" s="269"/>
      <c r="C41" s="269"/>
      <c r="D41" s="250"/>
      <c r="E41" s="630"/>
      <c r="F41" s="269"/>
      <c r="G41" s="630"/>
      <c r="H41" s="950"/>
      <c r="I41" s="951" t="str">
        <f t="shared" si="0"/>
        <v xml:space="preserve">kg CO2e / </v>
      </c>
      <c r="J41" s="631"/>
      <c r="K41" s="1006" t="str">
        <f>IF(H41="","",IFERROR(IF(D41=FAPr!$B$13,'Uso dos produtos do projeto'!H41*'Uso dos produtos do projeto'!G41*'Uso dos produtos do projeto'!E41/1000,'Uso dos produtos do projeto'!H41*'Uso dos produtos do projeto'!E41),""))</f>
        <v/>
      </c>
      <c r="L41" s="212"/>
    </row>
    <row r="42" spans="1:13" ht="15.5" x14ac:dyDescent="0.35">
      <c r="B42" s="269"/>
      <c r="C42" s="269"/>
      <c r="D42" s="250"/>
      <c r="E42" s="630"/>
      <c r="F42" s="269"/>
      <c r="G42" s="630"/>
      <c r="H42" s="950"/>
      <c r="I42" s="951" t="str">
        <f t="shared" si="0"/>
        <v xml:space="preserve">kg CO2e / </v>
      </c>
      <c r="J42" s="631"/>
      <c r="K42" s="1006" t="str">
        <f>IF(H42="","",IFERROR(IF(D42=FAPr!$B$13,'Uso dos produtos do projeto'!H42*'Uso dos produtos do projeto'!G42*'Uso dos produtos do projeto'!E42/1000,'Uso dos produtos do projeto'!H42*'Uso dos produtos do projeto'!E42),""))</f>
        <v/>
      </c>
      <c r="L42" s="212"/>
    </row>
    <row r="43" spans="1:13" ht="15.5" x14ac:dyDescent="0.35">
      <c r="B43" s="269"/>
      <c r="C43" s="269"/>
      <c r="D43" s="250"/>
      <c r="E43" s="630"/>
      <c r="F43" s="269"/>
      <c r="G43" s="630"/>
      <c r="H43" s="950"/>
      <c r="I43" s="951" t="str">
        <f t="shared" si="0"/>
        <v xml:space="preserve">kg CO2e / </v>
      </c>
      <c r="J43" s="631"/>
      <c r="K43" s="1006" t="str">
        <f>IF(H43="","",IFERROR(IF(D43=FAPr!$B$13,'Uso dos produtos do projeto'!H43*'Uso dos produtos do projeto'!G43*'Uso dos produtos do projeto'!E43/1000,'Uso dos produtos do projeto'!H43*'Uso dos produtos do projeto'!E43),""))</f>
        <v/>
      </c>
      <c r="L43" s="212"/>
    </row>
    <row r="44" spans="1:13" ht="15.5" x14ac:dyDescent="0.35">
      <c r="B44" s="269"/>
      <c r="C44" s="269"/>
      <c r="D44" s="250"/>
      <c r="E44" s="630"/>
      <c r="F44" s="269"/>
      <c r="G44" s="630"/>
      <c r="H44" s="950"/>
      <c r="I44" s="951" t="str">
        <f t="shared" si="0"/>
        <v xml:space="preserve">kg CO2e / </v>
      </c>
      <c r="J44" s="631"/>
      <c r="K44" s="1006" t="str">
        <f>IF(H44="","",IFERROR(IF(D44=FAPr!$B$13,'Uso dos produtos do projeto'!H44*'Uso dos produtos do projeto'!G44*'Uso dos produtos do projeto'!E44/1000,'Uso dos produtos do projeto'!H44*'Uso dos produtos do projeto'!E44),""))</f>
        <v/>
      </c>
      <c r="L44" s="212"/>
    </row>
    <row r="45" spans="1:13" ht="15.5" x14ac:dyDescent="0.35">
      <c r="B45" s="269"/>
      <c r="C45" s="269"/>
      <c r="D45" s="250"/>
      <c r="E45" s="630"/>
      <c r="F45" s="269"/>
      <c r="G45" s="630"/>
      <c r="H45" s="950"/>
      <c r="I45" s="951" t="str">
        <f t="shared" si="0"/>
        <v xml:space="preserve">kg CO2e / </v>
      </c>
      <c r="J45" s="631"/>
      <c r="K45" s="1006" t="str">
        <f>IF(H45="","",IFERROR(IF(D45=FAPr!$B$13,'Uso dos produtos do projeto'!H45*'Uso dos produtos do projeto'!G45*'Uso dos produtos do projeto'!E45/1000,'Uso dos produtos do projeto'!H45*'Uso dos produtos do projeto'!E45),""))</f>
        <v/>
      </c>
      <c r="L45" s="212"/>
    </row>
    <row r="46" spans="1:13" ht="15.5" hidden="1" outlineLevel="1" x14ac:dyDescent="0.35">
      <c r="B46" s="269"/>
      <c r="C46" s="269"/>
      <c r="D46" s="250"/>
      <c r="E46" s="630"/>
      <c r="F46" s="269"/>
      <c r="G46" s="630"/>
      <c r="H46" s="950"/>
      <c r="I46" s="951" t="str">
        <f t="shared" si="0"/>
        <v xml:space="preserve">kg CO2e / </v>
      </c>
      <c r="J46" s="631"/>
      <c r="K46" s="1006" t="str">
        <f>IF(H46="","",IFERROR(IF(D46=FAPr!$B$13,'Uso dos produtos do projeto'!H46*'Uso dos produtos do projeto'!G46*'Uso dos produtos do projeto'!E46/1000,'Uso dos produtos do projeto'!H46*'Uso dos produtos do projeto'!E46),""))</f>
        <v/>
      </c>
      <c r="L46" s="212"/>
    </row>
    <row r="47" spans="1:13" ht="15.5" hidden="1" outlineLevel="1" x14ac:dyDescent="0.35">
      <c r="B47" s="269"/>
      <c r="C47" s="269"/>
      <c r="D47" s="250"/>
      <c r="E47" s="630"/>
      <c r="F47" s="269"/>
      <c r="G47" s="630"/>
      <c r="H47" s="950"/>
      <c r="I47" s="951" t="str">
        <f t="shared" si="0"/>
        <v xml:space="preserve">kg CO2e / </v>
      </c>
      <c r="J47" s="631"/>
      <c r="K47" s="1006" t="str">
        <f>IF(H47="","",IFERROR(IF(D47=FAPr!$B$13,'Uso dos produtos do projeto'!H47*'Uso dos produtos do projeto'!G47*'Uso dos produtos do projeto'!E47/1000,'Uso dos produtos do projeto'!H47*'Uso dos produtos do projeto'!E47),""))</f>
        <v/>
      </c>
      <c r="L47" s="212"/>
    </row>
    <row r="48" spans="1:13" ht="15.5" hidden="1" outlineLevel="1" x14ac:dyDescent="0.35">
      <c r="B48" s="269"/>
      <c r="C48" s="269"/>
      <c r="D48" s="250"/>
      <c r="E48" s="630"/>
      <c r="F48" s="269"/>
      <c r="G48" s="630"/>
      <c r="H48" s="950"/>
      <c r="I48" s="951" t="str">
        <f t="shared" si="0"/>
        <v xml:space="preserve">kg CO2e / </v>
      </c>
      <c r="J48" s="631"/>
      <c r="K48" s="1006" t="str">
        <f>IF(H48="","",IFERROR(IF(D48=FAPr!$B$13,'Uso dos produtos do projeto'!H48*'Uso dos produtos do projeto'!G48*'Uso dos produtos do projeto'!E48/1000,'Uso dos produtos do projeto'!H48*'Uso dos produtos do projeto'!E48),""))</f>
        <v/>
      </c>
      <c r="L48" s="212"/>
    </row>
    <row r="49" spans="2:12" ht="15.5" hidden="1" outlineLevel="1" x14ac:dyDescent="0.35">
      <c r="B49" s="269"/>
      <c r="C49" s="269"/>
      <c r="D49" s="250"/>
      <c r="E49" s="630"/>
      <c r="F49" s="269"/>
      <c r="G49" s="630"/>
      <c r="H49" s="950"/>
      <c r="I49" s="951" t="str">
        <f t="shared" si="0"/>
        <v xml:space="preserve">kg CO2e / </v>
      </c>
      <c r="J49" s="631"/>
      <c r="K49" s="1006" t="str">
        <f>IF(H49="","",IFERROR(IF(D49=FAPr!$B$13,'Uso dos produtos do projeto'!H49*'Uso dos produtos do projeto'!G49*'Uso dos produtos do projeto'!E49/1000,'Uso dos produtos do projeto'!H49*'Uso dos produtos do projeto'!E49),""))</f>
        <v/>
      </c>
      <c r="L49" s="212"/>
    </row>
    <row r="50" spans="2:12" ht="15.5" hidden="1" outlineLevel="1" x14ac:dyDescent="0.35">
      <c r="B50" s="269"/>
      <c r="C50" s="269"/>
      <c r="D50" s="250"/>
      <c r="E50" s="630"/>
      <c r="F50" s="269"/>
      <c r="G50" s="630"/>
      <c r="H50" s="950"/>
      <c r="I50" s="951" t="str">
        <f t="shared" si="0"/>
        <v xml:space="preserve">kg CO2e / </v>
      </c>
      <c r="J50" s="631"/>
      <c r="K50" s="1006" t="str">
        <f>IF(H50="","",IFERROR(IF(D50=FAPr!$B$13,'Uso dos produtos do projeto'!H50*'Uso dos produtos do projeto'!G50*'Uso dos produtos do projeto'!E50/1000,'Uso dos produtos do projeto'!H50*'Uso dos produtos do projeto'!E50),""))</f>
        <v/>
      </c>
      <c r="L50" s="212"/>
    </row>
    <row r="51" spans="2:12" ht="15.5" hidden="1" outlineLevel="1" x14ac:dyDescent="0.35">
      <c r="B51" s="269"/>
      <c r="C51" s="269"/>
      <c r="D51" s="250"/>
      <c r="E51" s="630"/>
      <c r="F51" s="269"/>
      <c r="G51" s="630"/>
      <c r="H51" s="950"/>
      <c r="I51" s="951" t="str">
        <f t="shared" si="0"/>
        <v xml:space="preserve">kg CO2e / </v>
      </c>
      <c r="J51" s="631"/>
      <c r="K51" s="1006" t="str">
        <f>IF(H51="","",IFERROR(IF(D51=FAPr!$B$13,'Uso dos produtos do projeto'!H51*'Uso dos produtos do projeto'!G51*'Uso dos produtos do projeto'!E51/1000,'Uso dos produtos do projeto'!H51*'Uso dos produtos do projeto'!E51),""))</f>
        <v/>
      </c>
      <c r="L51" s="212"/>
    </row>
    <row r="52" spans="2:12" ht="15.5" hidden="1" outlineLevel="1" x14ac:dyDescent="0.35">
      <c r="B52" s="269"/>
      <c r="C52" s="269"/>
      <c r="D52" s="250"/>
      <c r="E52" s="630"/>
      <c r="F52" s="269"/>
      <c r="G52" s="630"/>
      <c r="H52" s="950"/>
      <c r="I52" s="951" t="str">
        <f t="shared" si="0"/>
        <v xml:space="preserve">kg CO2e / </v>
      </c>
      <c r="J52" s="631"/>
      <c r="K52" s="1006" t="str">
        <f>IF(H52="","",IFERROR(IF(D52=FAPr!$B$13,'Uso dos produtos do projeto'!H52*'Uso dos produtos do projeto'!G52*'Uso dos produtos do projeto'!E52/1000,'Uso dos produtos do projeto'!H52*'Uso dos produtos do projeto'!E52),""))</f>
        <v/>
      </c>
      <c r="L52" s="212"/>
    </row>
    <row r="53" spans="2:12" ht="15.5" hidden="1" outlineLevel="1" x14ac:dyDescent="0.35">
      <c r="B53" s="269"/>
      <c r="C53" s="269"/>
      <c r="D53" s="250"/>
      <c r="E53" s="630"/>
      <c r="F53" s="269"/>
      <c r="G53" s="630"/>
      <c r="H53" s="950"/>
      <c r="I53" s="951" t="str">
        <f t="shared" si="0"/>
        <v xml:space="preserve">kg CO2e / </v>
      </c>
      <c r="J53" s="631"/>
      <c r="K53" s="1006" t="str">
        <f>IF(H53="","",IFERROR(IF(D53=FAPr!$B$13,'Uso dos produtos do projeto'!H53*'Uso dos produtos do projeto'!G53*'Uso dos produtos do projeto'!E53/1000,'Uso dos produtos do projeto'!H53*'Uso dos produtos do projeto'!E53),""))</f>
        <v/>
      </c>
      <c r="L53" s="212"/>
    </row>
    <row r="54" spans="2:12" ht="15.5" hidden="1" outlineLevel="1" x14ac:dyDescent="0.35">
      <c r="B54" s="269"/>
      <c r="C54" s="269"/>
      <c r="D54" s="250"/>
      <c r="E54" s="630"/>
      <c r="F54" s="269"/>
      <c r="G54" s="630"/>
      <c r="H54" s="950"/>
      <c r="I54" s="951" t="str">
        <f t="shared" si="0"/>
        <v xml:space="preserve">kg CO2e / </v>
      </c>
      <c r="J54" s="631"/>
      <c r="K54" s="1006" t="str">
        <f>IF(H54="","",IFERROR(IF(D54=FAPr!$B$13,'Uso dos produtos do projeto'!H54*'Uso dos produtos do projeto'!G54*'Uso dos produtos do projeto'!E54/1000,'Uso dos produtos do projeto'!H54*'Uso dos produtos do projeto'!E54),""))</f>
        <v/>
      </c>
      <c r="L54" s="212"/>
    </row>
    <row r="55" spans="2:12" ht="15.5" hidden="1" outlineLevel="1" x14ac:dyDescent="0.35">
      <c r="B55" s="269"/>
      <c r="C55" s="269"/>
      <c r="D55" s="250"/>
      <c r="E55" s="630"/>
      <c r="F55" s="269"/>
      <c r="G55" s="630"/>
      <c r="H55" s="950"/>
      <c r="I55" s="951" t="str">
        <f t="shared" si="0"/>
        <v xml:space="preserve">kg CO2e / </v>
      </c>
      <c r="J55" s="631"/>
      <c r="K55" s="1006" t="str">
        <f>IF(H55="","",IFERROR(IF(D55=FAPr!$B$13,'Uso dos produtos do projeto'!H55*'Uso dos produtos do projeto'!G55*'Uso dos produtos do projeto'!E55/1000,'Uso dos produtos do projeto'!H55*'Uso dos produtos do projeto'!E55),""))</f>
        <v/>
      </c>
      <c r="L55" s="212"/>
    </row>
    <row r="56" spans="2:12" ht="15.5" hidden="1" outlineLevel="1" x14ac:dyDescent="0.35">
      <c r="B56" s="269"/>
      <c r="C56" s="269"/>
      <c r="D56" s="250"/>
      <c r="E56" s="630"/>
      <c r="F56" s="269"/>
      <c r="G56" s="630"/>
      <c r="H56" s="950"/>
      <c r="I56" s="951" t="str">
        <f t="shared" si="0"/>
        <v xml:space="preserve">kg CO2e / </v>
      </c>
      <c r="J56" s="631"/>
      <c r="K56" s="1006" t="str">
        <f>IF(H56="","",IFERROR(IF(D56=FAPr!$B$13,'Uso dos produtos do projeto'!H56*'Uso dos produtos do projeto'!G56*'Uso dos produtos do projeto'!E56/1000,'Uso dos produtos do projeto'!H56*'Uso dos produtos do projeto'!E56),""))</f>
        <v/>
      </c>
      <c r="L56" s="212"/>
    </row>
    <row r="57" spans="2:12" ht="15.5" hidden="1" outlineLevel="1" x14ac:dyDescent="0.35">
      <c r="B57" s="269"/>
      <c r="C57" s="269"/>
      <c r="D57" s="250"/>
      <c r="E57" s="630"/>
      <c r="F57" s="269"/>
      <c r="G57" s="630"/>
      <c r="H57" s="950"/>
      <c r="I57" s="951" t="str">
        <f t="shared" si="0"/>
        <v xml:space="preserve">kg CO2e / </v>
      </c>
      <c r="J57" s="631"/>
      <c r="K57" s="1006" t="str">
        <f>IF(H57="","",IFERROR(IF(D57=FAPr!$B$13,'Uso dos produtos do projeto'!H57*'Uso dos produtos do projeto'!G57*'Uso dos produtos do projeto'!E57/1000,'Uso dos produtos do projeto'!H57*'Uso dos produtos do projeto'!E57),""))</f>
        <v/>
      </c>
      <c r="L57" s="212"/>
    </row>
    <row r="58" spans="2:12" ht="15.5" hidden="1" outlineLevel="1" x14ac:dyDescent="0.35">
      <c r="B58" s="269"/>
      <c r="C58" s="269"/>
      <c r="D58" s="250"/>
      <c r="E58" s="630"/>
      <c r="F58" s="269"/>
      <c r="G58" s="630"/>
      <c r="H58" s="950"/>
      <c r="I58" s="951" t="str">
        <f t="shared" si="0"/>
        <v xml:space="preserve">kg CO2e / </v>
      </c>
      <c r="J58" s="631"/>
      <c r="K58" s="1006" t="str">
        <f>IF(H58="","",IFERROR(IF(D58=FAPr!$B$13,'Uso dos produtos do projeto'!H58*'Uso dos produtos do projeto'!G58*'Uso dos produtos do projeto'!E58/1000,'Uso dos produtos do projeto'!H58*'Uso dos produtos do projeto'!E58),""))</f>
        <v/>
      </c>
      <c r="L58" s="212"/>
    </row>
    <row r="59" spans="2:12" ht="15.5" hidden="1" outlineLevel="1" x14ac:dyDescent="0.35">
      <c r="B59" s="269"/>
      <c r="C59" s="269"/>
      <c r="D59" s="250"/>
      <c r="E59" s="630"/>
      <c r="F59" s="269"/>
      <c r="G59" s="630"/>
      <c r="H59" s="950"/>
      <c r="I59" s="951" t="str">
        <f t="shared" si="0"/>
        <v xml:space="preserve">kg CO2e / </v>
      </c>
      <c r="J59" s="631"/>
      <c r="K59" s="1006" t="str">
        <f>IF(H59="","",IFERROR(IF(D59=FAPr!$B$13,'Uso dos produtos do projeto'!H59*'Uso dos produtos do projeto'!G59*'Uso dos produtos do projeto'!E59/1000,'Uso dos produtos do projeto'!H59*'Uso dos produtos do projeto'!E59),""))</f>
        <v/>
      </c>
      <c r="L59" s="212"/>
    </row>
    <row r="60" spans="2:12" ht="15.5" hidden="1" outlineLevel="1" x14ac:dyDescent="0.35">
      <c r="B60" s="269"/>
      <c r="C60" s="269"/>
      <c r="D60" s="250"/>
      <c r="E60" s="630"/>
      <c r="F60" s="269"/>
      <c r="G60" s="630"/>
      <c r="H60" s="950"/>
      <c r="I60" s="951" t="str">
        <f t="shared" si="0"/>
        <v xml:space="preserve">kg CO2e / </v>
      </c>
      <c r="J60" s="631"/>
      <c r="K60" s="1006" t="str">
        <f>IF(H60="","",IFERROR(IF(D60=FAPr!$B$13,'Uso dos produtos do projeto'!H60*'Uso dos produtos do projeto'!G60*'Uso dos produtos do projeto'!E60/1000,'Uso dos produtos do projeto'!H60*'Uso dos produtos do projeto'!E60),""))</f>
        <v/>
      </c>
      <c r="L60" s="212"/>
    </row>
    <row r="61" spans="2:12" ht="15.5" hidden="1" outlineLevel="1" x14ac:dyDescent="0.35">
      <c r="B61" s="269"/>
      <c r="C61" s="269"/>
      <c r="D61" s="250"/>
      <c r="E61" s="630"/>
      <c r="F61" s="269"/>
      <c r="G61" s="630"/>
      <c r="H61" s="950"/>
      <c r="I61" s="951" t="str">
        <f t="shared" si="0"/>
        <v xml:space="preserve">kg CO2e / </v>
      </c>
      <c r="J61" s="631"/>
      <c r="K61" s="1006" t="str">
        <f>IF(H61="","",IFERROR(IF(D61=FAPr!$B$13,'Uso dos produtos do projeto'!H61*'Uso dos produtos do projeto'!G61*'Uso dos produtos do projeto'!E61/1000,'Uso dos produtos do projeto'!H61*'Uso dos produtos do projeto'!E61),""))</f>
        <v/>
      </c>
      <c r="L61" s="212"/>
    </row>
    <row r="62" spans="2:12" ht="15.5" hidden="1" outlineLevel="1" x14ac:dyDescent="0.35">
      <c r="B62" s="269"/>
      <c r="C62" s="269"/>
      <c r="D62" s="250"/>
      <c r="E62" s="630"/>
      <c r="F62" s="269"/>
      <c r="G62" s="630"/>
      <c r="H62" s="950"/>
      <c r="I62" s="951" t="str">
        <f t="shared" si="0"/>
        <v xml:space="preserve">kg CO2e / </v>
      </c>
      <c r="J62" s="631"/>
      <c r="K62" s="1006" t="str">
        <f>IF(H62="","",IFERROR(IF(D62=FAPr!$B$13,'Uso dos produtos do projeto'!H62*'Uso dos produtos do projeto'!G62*'Uso dos produtos do projeto'!E62/1000,'Uso dos produtos do projeto'!H62*'Uso dos produtos do projeto'!E62),""))</f>
        <v/>
      </c>
      <c r="L62" s="212"/>
    </row>
    <row r="63" spans="2:12" ht="15.5" hidden="1" outlineLevel="1" x14ac:dyDescent="0.35">
      <c r="B63" s="269"/>
      <c r="C63" s="269"/>
      <c r="D63" s="250"/>
      <c r="E63" s="630"/>
      <c r="F63" s="269"/>
      <c r="G63" s="630"/>
      <c r="H63" s="950"/>
      <c r="I63" s="951" t="str">
        <f t="shared" si="0"/>
        <v xml:space="preserve">kg CO2e / </v>
      </c>
      <c r="J63" s="631"/>
      <c r="K63" s="1006" t="str">
        <f>IF(H63="","",IFERROR(IF(D63=FAPr!$B$13,'Uso dos produtos do projeto'!H63*'Uso dos produtos do projeto'!G63*'Uso dos produtos do projeto'!E63/1000,'Uso dos produtos do projeto'!H63*'Uso dos produtos do projeto'!E63),""))</f>
        <v/>
      </c>
      <c r="L63" s="212"/>
    </row>
    <row r="64" spans="2:12" ht="15.5" hidden="1" outlineLevel="1" x14ac:dyDescent="0.35">
      <c r="B64" s="269"/>
      <c r="C64" s="269"/>
      <c r="D64" s="250"/>
      <c r="E64" s="630"/>
      <c r="F64" s="269"/>
      <c r="G64" s="630"/>
      <c r="H64" s="950"/>
      <c r="I64" s="951" t="str">
        <f t="shared" si="0"/>
        <v xml:space="preserve">kg CO2e / </v>
      </c>
      <c r="J64" s="631"/>
      <c r="K64" s="1006" t="str">
        <f>IF(H64="","",IFERROR(IF(D64=FAPr!$B$13,'Uso dos produtos do projeto'!H64*'Uso dos produtos do projeto'!G64*'Uso dos produtos do projeto'!E64/1000,'Uso dos produtos do projeto'!H64*'Uso dos produtos do projeto'!E64),""))</f>
        <v/>
      </c>
      <c r="L64" s="212"/>
    </row>
    <row r="65" spans="2:12" ht="15.5" hidden="1" outlineLevel="1" x14ac:dyDescent="0.35">
      <c r="B65" s="269"/>
      <c r="C65" s="269"/>
      <c r="D65" s="250"/>
      <c r="E65" s="630"/>
      <c r="F65" s="269"/>
      <c r="G65" s="630"/>
      <c r="H65" s="950"/>
      <c r="I65" s="951" t="str">
        <f t="shared" si="0"/>
        <v xml:space="preserve">kg CO2e / </v>
      </c>
      <c r="J65" s="631"/>
      <c r="K65" s="1006" t="str">
        <f>IF(H65="","",IFERROR(IF(D65=FAPr!$B$13,'Uso dos produtos do projeto'!H65*'Uso dos produtos do projeto'!G65*'Uso dos produtos do projeto'!E65/1000,'Uso dos produtos do projeto'!H65*'Uso dos produtos do projeto'!E65),""))</f>
        <v/>
      </c>
      <c r="L65" s="212"/>
    </row>
    <row r="66" spans="2:12" ht="15.5" hidden="1" outlineLevel="1" x14ac:dyDescent="0.35">
      <c r="B66" s="269"/>
      <c r="C66" s="269"/>
      <c r="D66" s="250"/>
      <c r="E66" s="630"/>
      <c r="F66" s="269"/>
      <c r="G66" s="630"/>
      <c r="H66" s="950"/>
      <c r="I66" s="951" t="str">
        <f t="shared" si="0"/>
        <v xml:space="preserve">kg CO2e / </v>
      </c>
      <c r="J66" s="631"/>
      <c r="K66" s="1006" t="str">
        <f>IF(H66="","",IFERROR(IF(D66=FAPr!$B$13,'Uso dos produtos do projeto'!H66*'Uso dos produtos do projeto'!G66*'Uso dos produtos do projeto'!E66/1000,'Uso dos produtos do projeto'!H66*'Uso dos produtos do projeto'!E66),""))</f>
        <v/>
      </c>
      <c r="L66" s="212"/>
    </row>
    <row r="67" spans="2:12" ht="15.5" hidden="1" outlineLevel="1" x14ac:dyDescent="0.35">
      <c r="B67" s="269"/>
      <c r="C67" s="269"/>
      <c r="D67" s="250"/>
      <c r="E67" s="630"/>
      <c r="F67" s="269"/>
      <c r="G67" s="630"/>
      <c r="H67" s="950"/>
      <c r="I67" s="951" t="str">
        <f t="shared" si="0"/>
        <v xml:space="preserve">kg CO2e / </v>
      </c>
      <c r="J67" s="631"/>
      <c r="K67" s="1006" t="str">
        <f>IF(H67="","",IFERROR(IF(D67=FAPr!$B$13,'Uso dos produtos do projeto'!H67*'Uso dos produtos do projeto'!G67*'Uso dos produtos do projeto'!E67/1000,'Uso dos produtos do projeto'!H67*'Uso dos produtos do projeto'!E67),""))</f>
        <v/>
      </c>
      <c r="L67" s="212"/>
    </row>
    <row r="68" spans="2:12" ht="15.5" hidden="1" outlineLevel="1" x14ac:dyDescent="0.35">
      <c r="B68" s="269"/>
      <c r="C68" s="269"/>
      <c r="D68" s="250"/>
      <c r="E68" s="630"/>
      <c r="F68" s="269"/>
      <c r="G68" s="630"/>
      <c r="H68" s="950"/>
      <c r="I68" s="951" t="str">
        <f t="shared" si="0"/>
        <v xml:space="preserve">kg CO2e / </v>
      </c>
      <c r="J68" s="631"/>
      <c r="K68" s="1006" t="str">
        <f>IF(H68="","",IFERROR(IF(D68=FAPr!$B$13,'Uso dos produtos do projeto'!H68*'Uso dos produtos do projeto'!G68*'Uso dos produtos do projeto'!E68/1000,'Uso dos produtos do projeto'!H68*'Uso dos produtos do projeto'!E68),""))</f>
        <v/>
      </c>
      <c r="L68" s="212"/>
    </row>
    <row r="69" spans="2:12" ht="15.5" hidden="1" outlineLevel="1" x14ac:dyDescent="0.35">
      <c r="B69" s="269"/>
      <c r="C69" s="269"/>
      <c r="D69" s="250"/>
      <c r="E69" s="630"/>
      <c r="F69" s="269"/>
      <c r="G69" s="630"/>
      <c r="H69" s="950"/>
      <c r="I69" s="951" t="str">
        <f t="shared" si="0"/>
        <v xml:space="preserve">kg CO2e / </v>
      </c>
      <c r="J69" s="631"/>
      <c r="K69" s="1006" t="str">
        <f>IF(H69="","",IFERROR(IF(D69=FAPr!$B$13,'Uso dos produtos do projeto'!H69*'Uso dos produtos do projeto'!G69*'Uso dos produtos do projeto'!E69/1000,'Uso dos produtos do projeto'!H69*'Uso dos produtos do projeto'!E69),""))</f>
        <v/>
      </c>
      <c r="L69" s="212"/>
    </row>
    <row r="70" spans="2:12" ht="15.5" hidden="1" outlineLevel="1" x14ac:dyDescent="0.35">
      <c r="B70" s="269"/>
      <c r="C70" s="269"/>
      <c r="D70" s="250"/>
      <c r="E70" s="630"/>
      <c r="F70" s="269"/>
      <c r="G70" s="630"/>
      <c r="H70" s="950"/>
      <c r="I70" s="951" t="str">
        <f t="shared" si="0"/>
        <v xml:space="preserve">kg CO2e / </v>
      </c>
      <c r="J70" s="631"/>
      <c r="K70" s="1006" t="str">
        <f>IF(H70="","",IFERROR(IF(D70=FAPr!$B$13,'Uso dos produtos do projeto'!H70*'Uso dos produtos do projeto'!G70*'Uso dos produtos do projeto'!E70/1000,'Uso dos produtos do projeto'!H70*'Uso dos produtos do projeto'!E70),""))</f>
        <v/>
      </c>
      <c r="L70" s="212"/>
    </row>
    <row r="71" spans="2:12" ht="15.5" hidden="1" outlineLevel="1" x14ac:dyDescent="0.35">
      <c r="B71" s="269"/>
      <c r="C71" s="269"/>
      <c r="D71" s="250"/>
      <c r="E71" s="630"/>
      <c r="F71" s="269"/>
      <c r="G71" s="630"/>
      <c r="H71" s="950"/>
      <c r="I71" s="951" t="str">
        <f t="shared" si="0"/>
        <v xml:space="preserve">kg CO2e / </v>
      </c>
      <c r="J71" s="631"/>
      <c r="K71" s="1006" t="str">
        <f>IF(H71="","",IFERROR(IF(D71=FAPr!$B$13,'Uso dos produtos do projeto'!H71*'Uso dos produtos do projeto'!G71*'Uso dos produtos do projeto'!E71/1000,'Uso dos produtos do projeto'!H71*'Uso dos produtos do projeto'!E71),""))</f>
        <v/>
      </c>
      <c r="L71" s="212"/>
    </row>
    <row r="72" spans="2:12" ht="15.5" hidden="1" outlineLevel="1" x14ac:dyDescent="0.35">
      <c r="B72" s="269"/>
      <c r="C72" s="269"/>
      <c r="D72" s="250"/>
      <c r="E72" s="630"/>
      <c r="F72" s="269"/>
      <c r="G72" s="630"/>
      <c r="H72" s="950"/>
      <c r="I72" s="951" t="str">
        <f t="shared" si="0"/>
        <v xml:space="preserve">kg CO2e / </v>
      </c>
      <c r="J72" s="631"/>
      <c r="K72" s="1006" t="str">
        <f>IF(H72="","",IFERROR(IF(D72=FAPr!$B$13,'Uso dos produtos do projeto'!H72*'Uso dos produtos do projeto'!G72*'Uso dos produtos do projeto'!E72/1000,'Uso dos produtos do projeto'!H72*'Uso dos produtos do projeto'!E72),""))</f>
        <v/>
      </c>
      <c r="L72" s="212"/>
    </row>
    <row r="73" spans="2:12" ht="15.5" hidden="1" outlineLevel="1" x14ac:dyDescent="0.35">
      <c r="B73" s="269"/>
      <c r="C73" s="269"/>
      <c r="D73" s="250"/>
      <c r="E73" s="630"/>
      <c r="F73" s="269"/>
      <c r="G73" s="630"/>
      <c r="H73" s="950"/>
      <c r="I73" s="951" t="str">
        <f t="shared" si="0"/>
        <v xml:space="preserve">kg CO2e / </v>
      </c>
      <c r="J73" s="631"/>
      <c r="K73" s="1006" t="str">
        <f>IF(H73="","",IFERROR(IF(D73=FAPr!$B$13,'Uso dos produtos do projeto'!H73*'Uso dos produtos do projeto'!G73*'Uso dos produtos do projeto'!E73/1000,'Uso dos produtos do projeto'!H73*'Uso dos produtos do projeto'!E73),""))</f>
        <v/>
      </c>
      <c r="L73" s="212"/>
    </row>
    <row r="74" spans="2:12" ht="15.5" hidden="1" outlineLevel="1" x14ac:dyDescent="0.35">
      <c r="B74" s="269"/>
      <c r="C74" s="269"/>
      <c r="D74" s="250"/>
      <c r="E74" s="630"/>
      <c r="F74" s="269"/>
      <c r="G74" s="630"/>
      <c r="H74" s="950"/>
      <c r="I74" s="951" t="str">
        <f t="shared" si="0"/>
        <v xml:space="preserve">kg CO2e / </v>
      </c>
      <c r="J74" s="631"/>
      <c r="K74" s="1006" t="str">
        <f>IF(H74="","",IFERROR(IF(D74=FAPr!$B$13,'Uso dos produtos do projeto'!H74*'Uso dos produtos do projeto'!G74*'Uso dos produtos do projeto'!E74/1000,'Uso dos produtos do projeto'!H74*'Uso dos produtos do projeto'!E74),""))</f>
        <v/>
      </c>
      <c r="L74" s="212"/>
    </row>
    <row r="75" spans="2:12" ht="15.5" hidden="1" outlineLevel="1" x14ac:dyDescent="0.35">
      <c r="B75" s="269"/>
      <c r="C75" s="269"/>
      <c r="D75" s="250"/>
      <c r="E75" s="630"/>
      <c r="F75" s="269"/>
      <c r="G75" s="630"/>
      <c r="H75" s="950"/>
      <c r="I75" s="951" t="str">
        <f t="shared" si="0"/>
        <v xml:space="preserve">kg CO2e / </v>
      </c>
      <c r="J75" s="631"/>
      <c r="K75" s="1006" t="str">
        <f>IF(H75="","",IFERROR(IF(D75=FAPr!$B$13,'Uso dos produtos do projeto'!H75*'Uso dos produtos do projeto'!G75*'Uso dos produtos do projeto'!E75/1000,'Uso dos produtos do projeto'!H75*'Uso dos produtos do projeto'!E75),""))</f>
        <v/>
      </c>
      <c r="L75" s="212"/>
    </row>
    <row r="76" spans="2:12" ht="15.5" hidden="1" outlineLevel="1" x14ac:dyDescent="0.35">
      <c r="B76" s="269"/>
      <c r="C76" s="269"/>
      <c r="D76" s="250"/>
      <c r="E76" s="630"/>
      <c r="F76" s="269"/>
      <c r="G76" s="630"/>
      <c r="H76" s="950"/>
      <c r="I76" s="951" t="str">
        <f t="shared" si="0"/>
        <v xml:space="preserve">kg CO2e / </v>
      </c>
      <c r="J76" s="631"/>
      <c r="K76" s="1006" t="str">
        <f>IF(H76="","",IFERROR(IF(D76=FAPr!$B$13,'Uso dos produtos do projeto'!H76*'Uso dos produtos do projeto'!G76*'Uso dos produtos do projeto'!E76/1000,'Uso dos produtos do projeto'!H76*'Uso dos produtos do projeto'!E76),""))</f>
        <v/>
      </c>
      <c r="L76" s="212"/>
    </row>
    <row r="77" spans="2:12" ht="15.5" hidden="1" outlineLevel="1" x14ac:dyDescent="0.35">
      <c r="B77" s="269"/>
      <c r="C77" s="269"/>
      <c r="D77" s="250"/>
      <c r="E77" s="630"/>
      <c r="F77" s="269"/>
      <c r="G77" s="630"/>
      <c r="H77" s="950"/>
      <c r="I77" s="951" t="str">
        <f t="shared" si="0"/>
        <v xml:space="preserve">kg CO2e / </v>
      </c>
      <c r="J77" s="631"/>
      <c r="K77" s="1006" t="str">
        <f>IF(H77="","",IFERROR(IF(D77=FAPr!$B$13,'Uso dos produtos do projeto'!H77*'Uso dos produtos do projeto'!G77*'Uso dos produtos do projeto'!E77/1000,'Uso dos produtos do projeto'!H77*'Uso dos produtos do projeto'!E77),""))</f>
        <v/>
      </c>
      <c r="L77" s="212"/>
    </row>
    <row r="78" spans="2:12" ht="15.5" hidden="1" outlineLevel="1" x14ac:dyDescent="0.35">
      <c r="B78" s="269"/>
      <c r="C78" s="269"/>
      <c r="D78" s="250"/>
      <c r="E78" s="630"/>
      <c r="F78" s="269"/>
      <c r="G78" s="630"/>
      <c r="H78" s="950"/>
      <c r="I78" s="951" t="str">
        <f t="shared" si="0"/>
        <v xml:space="preserve">kg CO2e / </v>
      </c>
      <c r="J78" s="631"/>
      <c r="K78" s="1006" t="str">
        <f>IF(H78="","",IFERROR(IF(D78=FAPr!$B$13,'Uso dos produtos do projeto'!H78*'Uso dos produtos do projeto'!G78*'Uso dos produtos do projeto'!E78/1000,'Uso dos produtos do projeto'!H78*'Uso dos produtos do projeto'!E78),""))</f>
        <v/>
      </c>
      <c r="L78" s="212"/>
    </row>
    <row r="79" spans="2:12" ht="15.5" hidden="1" outlineLevel="1" x14ac:dyDescent="0.35">
      <c r="B79" s="269"/>
      <c r="C79" s="269"/>
      <c r="D79" s="250"/>
      <c r="E79" s="630"/>
      <c r="F79" s="269"/>
      <c r="G79" s="630"/>
      <c r="H79" s="950"/>
      <c r="I79" s="951" t="str">
        <f t="shared" si="0"/>
        <v xml:space="preserve">kg CO2e / </v>
      </c>
      <c r="J79" s="631"/>
      <c r="K79" s="1006" t="str">
        <f>IF(H79="","",IFERROR(IF(D79=FAPr!$B$13,'Uso dos produtos do projeto'!H79*'Uso dos produtos do projeto'!G79*'Uso dos produtos do projeto'!E79/1000,'Uso dos produtos do projeto'!H79*'Uso dos produtos do projeto'!E79),""))</f>
        <v/>
      </c>
      <c r="L79" s="212"/>
    </row>
    <row r="80" spans="2:12" ht="15.5" hidden="1" outlineLevel="1" x14ac:dyDescent="0.35">
      <c r="B80" s="269"/>
      <c r="C80" s="269"/>
      <c r="D80" s="250"/>
      <c r="E80" s="630"/>
      <c r="F80" s="269"/>
      <c r="G80" s="630"/>
      <c r="H80" s="950"/>
      <c r="I80" s="951" t="str">
        <f t="shared" si="0"/>
        <v xml:space="preserve">kg CO2e / </v>
      </c>
      <c r="J80" s="631"/>
      <c r="K80" s="1006" t="str">
        <f>IF(H80="","",IFERROR(IF(D80=FAPr!$B$13,'Uso dos produtos do projeto'!H80*'Uso dos produtos do projeto'!G80*'Uso dos produtos do projeto'!E80/1000,'Uso dos produtos do projeto'!H80*'Uso dos produtos do projeto'!E80),""))</f>
        <v/>
      </c>
      <c r="L80" s="212"/>
    </row>
    <row r="81" spans="2:12" ht="15.5" hidden="1" outlineLevel="1" x14ac:dyDescent="0.35">
      <c r="B81" s="269"/>
      <c r="C81" s="269"/>
      <c r="D81" s="250"/>
      <c r="E81" s="630"/>
      <c r="F81" s="269"/>
      <c r="G81" s="630"/>
      <c r="H81" s="950"/>
      <c r="I81" s="951" t="str">
        <f t="shared" si="0"/>
        <v xml:space="preserve">kg CO2e / </v>
      </c>
      <c r="J81" s="631"/>
      <c r="K81" s="1006" t="str">
        <f>IF(H81="","",IFERROR(IF(D81=FAPr!$B$13,'Uso dos produtos do projeto'!H81*'Uso dos produtos do projeto'!G81*'Uso dos produtos do projeto'!E81/1000,'Uso dos produtos do projeto'!H81*'Uso dos produtos do projeto'!E81),""))</f>
        <v/>
      </c>
      <c r="L81" s="212"/>
    </row>
    <row r="82" spans="2:12" ht="15.5" hidden="1" outlineLevel="1" x14ac:dyDescent="0.35">
      <c r="B82" s="269"/>
      <c r="C82" s="269"/>
      <c r="D82" s="250"/>
      <c r="E82" s="630"/>
      <c r="F82" s="269"/>
      <c r="G82" s="630"/>
      <c r="H82" s="950"/>
      <c r="I82" s="951" t="str">
        <f t="shared" si="0"/>
        <v xml:space="preserve">kg CO2e / </v>
      </c>
      <c r="J82" s="631"/>
      <c r="K82" s="1006" t="str">
        <f>IF(H82="","",IFERROR(IF(D82=FAPr!$B$13,'Uso dos produtos do projeto'!H82*'Uso dos produtos do projeto'!G82*'Uso dos produtos do projeto'!E82/1000,'Uso dos produtos do projeto'!H82*'Uso dos produtos do projeto'!E82),""))</f>
        <v/>
      </c>
      <c r="L82" s="212"/>
    </row>
    <row r="83" spans="2:12" ht="15.5" hidden="1" outlineLevel="1" x14ac:dyDescent="0.35">
      <c r="B83" s="269"/>
      <c r="C83" s="269"/>
      <c r="D83" s="250"/>
      <c r="E83" s="630"/>
      <c r="F83" s="269"/>
      <c r="G83" s="630"/>
      <c r="H83" s="950"/>
      <c r="I83" s="951" t="str">
        <f t="shared" si="0"/>
        <v xml:space="preserve">kg CO2e / </v>
      </c>
      <c r="J83" s="631"/>
      <c r="K83" s="1006" t="str">
        <f>IF(H83="","",IFERROR(IF(D83=FAPr!$B$13,'Uso dos produtos do projeto'!H83*'Uso dos produtos do projeto'!G83*'Uso dos produtos do projeto'!E83/1000,'Uso dos produtos do projeto'!H83*'Uso dos produtos do projeto'!E83),""))</f>
        <v/>
      </c>
      <c r="L83" s="212"/>
    </row>
    <row r="84" spans="2:12" ht="15.5" hidden="1" outlineLevel="1" x14ac:dyDescent="0.35">
      <c r="B84" s="269"/>
      <c r="C84" s="269"/>
      <c r="D84" s="250"/>
      <c r="E84" s="630"/>
      <c r="F84" s="269"/>
      <c r="G84" s="630"/>
      <c r="H84" s="950"/>
      <c r="I84" s="951" t="str">
        <f t="shared" si="0"/>
        <v xml:space="preserve">kg CO2e / </v>
      </c>
      <c r="J84" s="631"/>
      <c r="K84" s="1006" t="str">
        <f>IF(H84="","",IFERROR(IF(D84=FAPr!$B$13,'Uso dos produtos do projeto'!H84*'Uso dos produtos do projeto'!G84*'Uso dos produtos do projeto'!E84/1000,'Uso dos produtos do projeto'!H84*'Uso dos produtos do projeto'!E84),""))</f>
        <v/>
      </c>
      <c r="L84" s="212"/>
    </row>
    <row r="85" spans="2:12" ht="15.5" hidden="1" outlineLevel="1" x14ac:dyDescent="0.35">
      <c r="B85" s="269"/>
      <c r="C85" s="269"/>
      <c r="D85" s="250"/>
      <c r="E85" s="630"/>
      <c r="F85" s="269"/>
      <c r="G85" s="630"/>
      <c r="H85" s="950"/>
      <c r="I85" s="951" t="str">
        <f t="shared" si="0"/>
        <v xml:space="preserve">kg CO2e / </v>
      </c>
      <c r="J85" s="631"/>
      <c r="K85" s="1006" t="str">
        <f>IF(H85="","",IFERROR(IF(D85=FAPr!$B$13,'Uso dos produtos do projeto'!H85*'Uso dos produtos do projeto'!G85*'Uso dos produtos do projeto'!E85/1000,'Uso dos produtos do projeto'!H85*'Uso dos produtos do projeto'!E85),""))</f>
        <v/>
      </c>
      <c r="L85" s="212"/>
    </row>
    <row r="86" spans="2:12" ht="15.5" hidden="1" outlineLevel="1" x14ac:dyDescent="0.35">
      <c r="B86" s="269"/>
      <c r="C86" s="269"/>
      <c r="D86" s="250"/>
      <c r="E86" s="630"/>
      <c r="F86" s="269"/>
      <c r="G86" s="630"/>
      <c r="H86" s="950"/>
      <c r="I86" s="951" t="str">
        <f t="shared" si="0"/>
        <v xml:space="preserve">kg CO2e / </v>
      </c>
      <c r="J86" s="631"/>
      <c r="K86" s="1006" t="str">
        <f>IF(H86="","",IFERROR(IF(D86=FAPr!$B$13,'Uso dos produtos do projeto'!H86*'Uso dos produtos do projeto'!G86*'Uso dos produtos do projeto'!E86/1000,'Uso dos produtos do projeto'!H86*'Uso dos produtos do projeto'!E86),""))</f>
        <v/>
      </c>
      <c r="L86" s="212"/>
    </row>
    <row r="87" spans="2:12" ht="15.5" hidden="1" outlineLevel="1" x14ac:dyDescent="0.35">
      <c r="B87" s="269"/>
      <c r="C87" s="269"/>
      <c r="D87" s="250"/>
      <c r="E87" s="630"/>
      <c r="F87" s="269"/>
      <c r="G87" s="630"/>
      <c r="H87" s="950"/>
      <c r="I87" s="951" t="str">
        <f t="shared" si="0"/>
        <v xml:space="preserve">kg CO2e / </v>
      </c>
      <c r="J87" s="631"/>
      <c r="K87" s="1006" t="str">
        <f>IF(H87="","",IFERROR(IF(D87=FAPr!$B$13,'Uso dos produtos do projeto'!H87*'Uso dos produtos do projeto'!G87*'Uso dos produtos do projeto'!E87/1000,'Uso dos produtos do projeto'!H87*'Uso dos produtos do projeto'!E87),""))</f>
        <v/>
      </c>
      <c r="L87" s="212"/>
    </row>
    <row r="88" spans="2:12" ht="15.5" hidden="1" outlineLevel="1" x14ac:dyDescent="0.35">
      <c r="B88" s="269"/>
      <c r="C88" s="269"/>
      <c r="D88" s="250"/>
      <c r="E88" s="630"/>
      <c r="F88" s="269"/>
      <c r="G88" s="630"/>
      <c r="H88" s="950"/>
      <c r="I88" s="951" t="str">
        <f t="shared" si="0"/>
        <v xml:space="preserve">kg CO2e / </v>
      </c>
      <c r="J88" s="631"/>
      <c r="K88" s="1006" t="str">
        <f>IF(H88="","",IFERROR(IF(D88=FAPr!$B$13,'Uso dos produtos do projeto'!H88*'Uso dos produtos do projeto'!G88*'Uso dos produtos do projeto'!E88/1000,'Uso dos produtos do projeto'!H88*'Uso dos produtos do projeto'!E88),""))</f>
        <v/>
      </c>
      <c r="L88" s="212"/>
    </row>
    <row r="89" spans="2:12" ht="15.5" hidden="1" outlineLevel="1" x14ac:dyDescent="0.35">
      <c r="B89" s="269"/>
      <c r="C89" s="269"/>
      <c r="D89" s="250"/>
      <c r="E89" s="630"/>
      <c r="F89" s="269"/>
      <c r="G89" s="630"/>
      <c r="H89" s="950"/>
      <c r="I89" s="951" t="str">
        <f t="shared" si="0"/>
        <v xml:space="preserve">kg CO2e / </v>
      </c>
      <c r="J89" s="631"/>
      <c r="K89" s="1006" t="str">
        <f>IF(H89="","",IFERROR(IF(D89=FAPr!$B$13,'Uso dos produtos do projeto'!H89*'Uso dos produtos do projeto'!G89*'Uso dos produtos do projeto'!E89/1000,'Uso dos produtos do projeto'!H89*'Uso dos produtos do projeto'!E89),""))</f>
        <v/>
      </c>
      <c r="L89" s="212"/>
    </row>
    <row r="90" spans="2:12" ht="15.5" hidden="1" outlineLevel="1" x14ac:dyDescent="0.35">
      <c r="B90" s="269"/>
      <c r="C90" s="269"/>
      <c r="D90" s="250"/>
      <c r="E90" s="630"/>
      <c r="F90" s="269"/>
      <c r="G90" s="630"/>
      <c r="H90" s="950"/>
      <c r="I90" s="951" t="str">
        <f t="shared" si="0"/>
        <v xml:space="preserve">kg CO2e / </v>
      </c>
      <c r="J90" s="631"/>
      <c r="K90" s="1006" t="str">
        <f>IF(H90="","",IFERROR(IF(D90=FAPr!$B$13,'Uso dos produtos do projeto'!H90*'Uso dos produtos do projeto'!G90*'Uso dos produtos do projeto'!E90/1000,'Uso dos produtos do projeto'!H90*'Uso dos produtos do projeto'!E90),""))</f>
        <v/>
      </c>
      <c r="L90" s="212"/>
    </row>
    <row r="91" spans="2:12" ht="15.5" hidden="1" outlineLevel="1" x14ac:dyDescent="0.35">
      <c r="B91" s="269"/>
      <c r="C91" s="269"/>
      <c r="D91" s="250"/>
      <c r="E91" s="630"/>
      <c r="F91" s="269"/>
      <c r="G91" s="630"/>
      <c r="H91" s="950"/>
      <c r="I91" s="951" t="str">
        <f t="shared" si="0"/>
        <v xml:space="preserve">kg CO2e / </v>
      </c>
      <c r="J91" s="631"/>
      <c r="K91" s="1006" t="str">
        <f>IF(H91="","",IFERROR(IF(D91=FAPr!$B$13,'Uso dos produtos do projeto'!H91*'Uso dos produtos do projeto'!G91*'Uso dos produtos do projeto'!E91/1000,'Uso dos produtos do projeto'!H91*'Uso dos produtos do projeto'!E91),""))</f>
        <v/>
      </c>
      <c r="L91" s="212"/>
    </row>
    <row r="92" spans="2:12" ht="15.5" hidden="1" outlineLevel="1" x14ac:dyDescent="0.35">
      <c r="B92" s="269"/>
      <c r="C92" s="269"/>
      <c r="D92" s="250"/>
      <c r="E92" s="630"/>
      <c r="F92" s="269"/>
      <c r="G92" s="630"/>
      <c r="H92" s="950"/>
      <c r="I92" s="951" t="str">
        <f t="shared" si="0"/>
        <v xml:space="preserve">kg CO2e / </v>
      </c>
      <c r="J92" s="631"/>
      <c r="K92" s="1006" t="str">
        <f>IF(H92="","",IFERROR(IF(D92=FAPr!$B$13,'Uso dos produtos do projeto'!H92*'Uso dos produtos do projeto'!G92*'Uso dos produtos do projeto'!E92/1000,'Uso dos produtos do projeto'!H92*'Uso dos produtos do projeto'!E92),""))</f>
        <v/>
      </c>
      <c r="L92" s="212"/>
    </row>
    <row r="93" spans="2:12" ht="15.5" hidden="1" outlineLevel="1" x14ac:dyDescent="0.35">
      <c r="B93" s="269"/>
      <c r="C93" s="269"/>
      <c r="D93" s="250"/>
      <c r="E93" s="630"/>
      <c r="F93" s="269"/>
      <c r="G93" s="630"/>
      <c r="H93" s="950"/>
      <c r="I93" s="951" t="str">
        <f t="shared" si="0"/>
        <v xml:space="preserve">kg CO2e / </v>
      </c>
      <c r="J93" s="631"/>
      <c r="K93" s="1006" t="str">
        <f>IF(H93="","",IFERROR(IF(D93=FAPr!$B$13,'Uso dos produtos do projeto'!H93*'Uso dos produtos do projeto'!G93*'Uso dos produtos do projeto'!E93/1000,'Uso dos produtos do projeto'!H93*'Uso dos produtos do projeto'!E93),""))</f>
        <v/>
      </c>
      <c r="L93" s="212"/>
    </row>
    <row r="94" spans="2:12" ht="15.5" hidden="1" outlineLevel="1" x14ac:dyDescent="0.35">
      <c r="B94" s="269"/>
      <c r="C94" s="269"/>
      <c r="D94" s="250"/>
      <c r="E94" s="630"/>
      <c r="F94" s="269"/>
      <c r="G94" s="630"/>
      <c r="H94" s="950"/>
      <c r="I94" s="951" t="str">
        <f t="shared" si="0"/>
        <v xml:space="preserve">kg CO2e / </v>
      </c>
      <c r="J94" s="631"/>
      <c r="K94" s="1006" t="str">
        <f>IF(H94="","",IFERROR(IF(D94=FAPr!$B$13,'Uso dos produtos do projeto'!H94*'Uso dos produtos do projeto'!G94*'Uso dos produtos do projeto'!E94/1000,'Uso dos produtos do projeto'!H94*'Uso dos produtos do projeto'!E94),""))</f>
        <v/>
      </c>
      <c r="L94" s="212"/>
    </row>
    <row r="95" spans="2:12" ht="15.5" hidden="1" outlineLevel="1" x14ac:dyDescent="0.35">
      <c r="B95" s="269"/>
      <c r="C95" s="269"/>
      <c r="D95" s="250"/>
      <c r="E95" s="630"/>
      <c r="F95" s="269"/>
      <c r="G95" s="630"/>
      <c r="H95" s="950"/>
      <c r="I95" s="951" t="str">
        <f t="shared" si="0"/>
        <v xml:space="preserve">kg CO2e / </v>
      </c>
      <c r="J95" s="631"/>
      <c r="K95" s="1006" t="str">
        <f>IF(H95="","",IFERROR(IF(D95=FAPr!$B$13,'Uso dos produtos do projeto'!H95*'Uso dos produtos do projeto'!G95*'Uso dos produtos do projeto'!E95/1000,'Uso dos produtos do projeto'!H95*'Uso dos produtos do projeto'!E95),""))</f>
        <v/>
      </c>
      <c r="L95" s="212"/>
    </row>
    <row r="96" spans="2:12" ht="15.5" hidden="1" outlineLevel="1" x14ac:dyDescent="0.35">
      <c r="B96" s="269"/>
      <c r="C96" s="269"/>
      <c r="D96" s="250"/>
      <c r="E96" s="630"/>
      <c r="F96" s="269"/>
      <c r="G96" s="630"/>
      <c r="H96" s="950"/>
      <c r="I96" s="951" t="str">
        <f t="shared" si="0"/>
        <v xml:space="preserve">kg CO2e / </v>
      </c>
      <c r="J96" s="631"/>
      <c r="K96" s="1006" t="str">
        <f>IF(H96="","",IFERROR(IF(D96=FAPr!$B$13,'Uso dos produtos do projeto'!H96*'Uso dos produtos do projeto'!G96*'Uso dos produtos do projeto'!E96/1000,'Uso dos produtos do projeto'!H96*'Uso dos produtos do projeto'!E96),""))</f>
        <v/>
      </c>
      <c r="L96" s="212"/>
    </row>
    <row r="97" spans="2:12" ht="15.5" hidden="1" outlineLevel="1" x14ac:dyDescent="0.35">
      <c r="B97" s="269"/>
      <c r="C97" s="269"/>
      <c r="D97" s="250"/>
      <c r="E97" s="630"/>
      <c r="F97" s="269"/>
      <c r="G97" s="630"/>
      <c r="H97" s="950"/>
      <c r="I97" s="951" t="str">
        <f t="shared" si="0"/>
        <v xml:space="preserve">kg CO2e / </v>
      </c>
      <c r="J97" s="631"/>
      <c r="K97" s="1006" t="str">
        <f>IF(H97="","",IFERROR(IF(D97=FAPr!$B$13,'Uso dos produtos do projeto'!H97*'Uso dos produtos do projeto'!G97*'Uso dos produtos do projeto'!E97/1000,'Uso dos produtos do projeto'!H97*'Uso dos produtos do projeto'!E97),""))</f>
        <v/>
      </c>
      <c r="L97" s="212"/>
    </row>
    <row r="98" spans="2:12" ht="15.5" hidden="1" outlineLevel="1" x14ac:dyDescent="0.35">
      <c r="B98" s="269"/>
      <c r="C98" s="269"/>
      <c r="D98" s="250"/>
      <c r="E98" s="630"/>
      <c r="F98" s="269"/>
      <c r="G98" s="630"/>
      <c r="H98" s="950"/>
      <c r="I98" s="951" t="str">
        <f t="shared" si="0"/>
        <v xml:space="preserve">kg CO2e / </v>
      </c>
      <c r="J98" s="631"/>
      <c r="K98" s="1006" t="str">
        <f>IF(H98="","",IFERROR(IF(D98=FAPr!$B$13,'Uso dos produtos do projeto'!H98*'Uso dos produtos do projeto'!G98*'Uso dos produtos do projeto'!E98/1000,'Uso dos produtos do projeto'!H98*'Uso dos produtos do projeto'!E98),""))</f>
        <v/>
      </c>
      <c r="L98" s="212"/>
    </row>
    <row r="99" spans="2:12" ht="15.5" hidden="1" outlineLevel="1" x14ac:dyDescent="0.35">
      <c r="B99" s="269"/>
      <c r="C99" s="269"/>
      <c r="D99" s="250"/>
      <c r="E99" s="630"/>
      <c r="F99" s="269"/>
      <c r="G99" s="630"/>
      <c r="H99" s="950"/>
      <c r="I99" s="951" t="str">
        <f t="shared" si="0"/>
        <v xml:space="preserve">kg CO2e / </v>
      </c>
      <c r="J99" s="631"/>
      <c r="K99" s="1006" t="str">
        <f>IF(H99="","",IFERROR(IF(D99=FAPr!$B$13,'Uso dos produtos do projeto'!H99*'Uso dos produtos do projeto'!G99*'Uso dos produtos do projeto'!E99/1000,'Uso dos produtos do projeto'!H99*'Uso dos produtos do projeto'!E99),""))</f>
        <v/>
      </c>
      <c r="L99" s="212"/>
    </row>
    <row r="100" spans="2:12" ht="15.5" hidden="1" outlineLevel="1" x14ac:dyDescent="0.35">
      <c r="B100" s="269"/>
      <c r="C100" s="269"/>
      <c r="D100" s="250"/>
      <c r="E100" s="630"/>
      <c r="F100" s="269"/>
      <c r="G100" s="630"/>
      <c r="H100" s="950"/>
      <c r="I100" s="951" t="str">
        <f t="shared" ref="I100:I134" si="1">"kg CO2e / "&amp;F100</f>
        <v xml:space="preserve">kg CO2e / </v>
      </c>
      <c r="J100" s="631"/>
      <c r="K100" s="1006" t="str">
        <f>IF(H100="","",IFERROR(IF(D100=FAPr!$B$13,'Uso dos produtos do projeto'!H100*'Uso dos produtos do projeto'!G100*'Uso dos produtos do projeto'!E100/1000,'Uso dos produtos do projeto'!H100*'Uso dos produtos do projeto'!E100),""))</f>
        <v/>
      </c>
      <c r="L100" s="212"/>
    </row>
    <row r="101" spans="2:12" ht="15.5" hidden="1" outlineLevel="1" x14ac:dyDescent="0.35">
      <c r="B101" s="269"/>
      <c r="C101" s="269"/>
      <c r="D101" s="250"/>
      <c r="E101" s="630"/>
      <c r="F101" s="269"/>
      <c r="G101" s="630"/>
      <c r="H101" s="950"/>
      <c r="I101" s="951" t="str">
        <f t="shared" si="1"/>
        <v xml:space="preserve">kg CO2e / </v>
      </c>
      <c r="J101" s="631"/>
      <c r="K101" s="1006" t="str">
        <f>IF(H101="","",IFERROR(IF(D101=FAPr!$B$13,'Uso dos produtos do projeto'!H101*'Uso dos produtos do projeto'!G101*'Uso dos produtos do projeto'!E101/1000,'Uso dos produtos do projeto'!H101*'Uso dos produtos do projeto'!E101),""))</f>
        <v/>
      </c>
      <c r="L101" s="212"/>
    </row>
    <row r="102" spans="2:12" ht="15.5" hidden="1" outlineLevel="1" x14ac:dyDescent="0.35">
      <c r="B102" s="269"/>
      <c r="C102" s="269"/>
      <c r="D102" s="250"/>
      <c r="E102" s="630"/>
      <c r="F102" s="269"/>
      <c r="G102" s="630"/>
      <c r="H102" s="950"/>
      <c r="I102" s="951" t="str">
        <f t="shared" si="1"/>
        <v xml:space="preserve">kg CO2e / </v>
      </c>
      <c r="J102" s="631"/>
      <c r="K102" s="1006" t="str">
        <f>IF(H102="","",IFERROR(IF(D102=FAPr!$B$13,'Uso dos produtos do projeto'!H102*'Uso dos produtos do projeto'!G102*'Uso dos produtos do projeto'!E102/1000,'Uso dos produtos do projeto'!H102*'Uso dos produtos do projeto'!E102),""))</f>
        <v/>
      </c>
      <c r="L102" s="212"/>
    </row>
    <row r="103" spans="2:12" ht="15.5" hidden="1" outlineLevel="1" x14ac:dyDescent="0.35">
      <c r="B103" s="269"/>
      <c r="C103" s="269"/>
      <c r="D103" s="250"/>
      <c r="E103" s="630"/>
      <c r="F103" s="269"/>
      <c r="G103" s="630"/>
      <c r="H103" s="950"/>
      <c r="I103" s="951" t="str">
        <f t="shared" si="1"/>
        <v xml:space="preserve">kg CO2e / </v>
      </c>
      <c r="J103" s="631"/>
      <c r="K103" s="1006" t="str">
        <f>IF(H103="","",IFERROR(IF(D103=FAPr!$B$13,'Uso dos produtos do projeto'!H103*'Uso dos produtos do projeto'!G103*'Uso dos produtos do projeto'!E103/1000,'Uso dos produtos do projeto'!H103*'Uso dos produtos do projeto'!E103),""))</f>
        <v/>
      </c>
      <c r="L103" s="212"/>
    </row>
    <row r="104" spans="2:12" ht="15.5" hidden="1" outlineLevel="1" x14ac:dyDescent="0.35">
      <c r="B104" s="269"/>
      <c r="C104" s="269"/>
      <c r="D104" s="250"/>
      <c r="E104" s="630"/>
      <c r="F104" s="269"/>
      <c r="G104" s="630"/>
      <c r="H104" s="950"/>
      <c r="I104" s="951" t="str">
        <f t="shared" si="1"/>
        <v xml:space="preserve">kg CO2e / </v>
      </c>
      <c r="J104" s="631"/>
      <c r="K104" s="1006" t="str">
        <f>IF(H104="","",IFERROR(IF(D104=FAPr!$B$13,'Uso dos produtos do projeto'!H104*'Uso dos produtos do projeto'!G104*'Uso dos produtos do projeto'!E104/1000,'Uso dos produtos do projeto'!H104*'Uso dos produtos do projeto'!E104),""))</f>
        <v/>
      </c>
      <c r="L104" s="212"/>
    </row>
    <row r="105" spans="2:12" ht="15.5" hidden="1" outlineLevel="1" x14ac:dyDescent="0.35">
      <c r="B105" s="269"/>
      <c r="C105" s="269"/>
      <c r="D105" s="250"/>
      <c r="E105" s="630"/>
      <c r="F105" s="269"/>
      <c r="G105" s="630"/>
      <c r="H105" s="950"/>
      <c r="I105" s="951" t="str">
        <f t="shared" si="1"/>
        <v xml:space="preserve">kg CO2e / </v>
      </c>
      <c r="J105" s="631"/>
      <c r="K105" s="1006" t="str">
        <f>IF(H105="","",IFERROR(IF(D105=FAPr!$B$13,'Uso dos produtos do projeto'!H105*'Uso dos produtos do projeto'!G105*'Uso dos produtos do projeto'!E105/1000,'Uso dos produtos do projeto'!H105*'Uso dos produtos do projeto'!E105),""))</f>
        <v/>
      </c>
      <c r="L105" s="212"/>
    </row>
    <row r="106" spans="2:12" ht="15.5" hidden="1" outlineLevel="1" x14ac:dyDescent="0.35">
      <c r="B106" s="269"/>
      <c r="C106" s="269"/>
      <c r="D106" s="250"/>
      <c r="E106" s="630"/>
      <c r="F106" s="269"/>
      <c r="G106" s="630"/>
      <c r="H106" s="950"/>
      <c r="I106" s="951" t="str">
        <f t="shared" si="1"/>
        <v xml:space="preserve">kg CO2e / </v>
      </c>
      <c r="J106" s="631"/>
      <c r="K106" s="1006" t="str">
        <f>IF(H106="","",IFERROR(IF(D106=FAPr!$B$13,'Uso dos produtos do projeto'!H106*'Uso dos produtos do projeto'!G106*'Uso dos produtos do projeto'!E106/1000,'Uso dos produtos do projeto'!H106*'Uso dos produtos do projeto'!E106),""))</f>
        <v/>
      </c>
      <c r="L106" s="212"/>
    </row>
    <row r="107" spans="2:12" ht="15.5" hidden="1" outlineLevel="1" x14ac:dyDescent="0.35">
      <c r="B107" s="269"/>
      <c r="C107" s="269"/>
      <c r="D107" s="250"/>
      <c r="E107" s="630"/>
      <c r="F107" s="269"/>
      <c r="G107" s="630"/>
      <c r="H107" s="950"/>
      <c r="I107" s="951" t="str">
        <f t="shared" si="1"/>
        <v xml:space="preserve">kg CO2e / </v>
      </c>
      <c r="J107" s="631"/>
      <c r="K107" s="1006" t="str">
        <f>IF(H107="","",IFERROR(IF(D107=FAPr!$B$13,'Uso dos produtos do projeto'!H107*'Uso dos produtos do projeto'!G107*'Uso dos produtos do projeto'!E107/1000,'Uso dos produtos do projeto'!H107*'Uso dos produtos do projeto'!E107),""))</f>
        <v/>
      </c>
      <c r="L107" s="212"/>
    </row>
    <row r="108" spans="2:12" ht="15.5" hidden="1" outlineLevel="1" x14ac:dyDescent="0.35">
      <c r="B108" s="269"/>
      <c r="C108" s="269"/>
      <c r="D108" s="250"/>
      <c r="E108" s="630"/>
      <c r="F108" s="269"/>
      <c r="G108" s="630"/>
      <c r="H108" s="950"/>
      <c r="I108" s="951" t="str">
        <f t="shared" si="1"/>
        <v xml:space="preserve">kg CO2e / </v>
      </c>
      <c r="J108" s="631"/>
      <c r="K108" s="1006" t="str">
        <f>IF(H108="","",IFERROR(IF(D108=FAPr!$B$13,'Uso dos produtos do projeto'!H108*'Uso dos produtos do projeto'!G108*'Uso dos produtos do projeto'!E108/1000,'Uso dos produtos do projeto'!H108*'Uso dos produtos do projeto'!E108),""))</f>
        <v/>
      </c>
      <c r="L108" s="212"/>
    </row>
    <row r="109" spans="2:12" ht="15.5" hidden="1" outlineLevel="1" x14ac:dyDescent="0.35">
      <c r="B109" s="269"/>
      <c r="C109" s="269"/>
      <c r="D109" s="250"/>
      <c r="E109" s="630"/>
      <c r="F109" s="269"/>
      <c r="G109" s="630"/>
      <c r="H109" s="950"/>
      <c r="I109" s="951" t="str">
        <f t="shared" si="1"/>
        <v xml:space="preserve">kg CO2e / </v>
      </c>
      <c r="J109" s="631"/>
      <c r="K109" s="1006" t="str">
        <f>IF(H109="","",IFERROR(IF(D109=FAPr!$B$13,'Uso dos produtos do projeto'!H109*'Uso dos produtos do projeto'!G109*'Uso dos produtos do projeto'!E109/1000,'Uso dos produtos do projeto'!H109*'Uso dos produtos do projeto'!E109),""))</f>
        <v/>
      </c>
      <c r="L109" s="212"/>
    </row>
    <row r="110" spans="2:12" ht="15.5" hidden="1" outlineLevel="1" x14ac:dyDescent="0.35">
      <c r="B110" s="269"/>
      <c r="C110" s="269"/>
      <c r="D110" s="250"/>
      <c r="E110" s="630"/>
      <c r="F110" s="269"/>
      <c r="G110" s="630"/>
      <c r="H110" s="950"/>
      <c r="I110" s="951" t="str">
        <f t="shared" si="1"/>
        <v xml:space="preserve">kg CO2e / </v>
      </c>
      <c r="J110" s="631"/>
      <c r="K110" s="1006" t="str">
        <f>IF(H110="","",IFERROR(IF(D110=FAPr!$B$13,'Uso dos produtos do projeto'!H110*'Uso dos produtos do projeto'!G110*'Uso dos produtos do projeto'!E110/1000,'Uso dos produtos do projeto'!H110*'Uso dos produtos do projeto'!E110),""))</f>
        <v/>
      </c>
      <c r="L110" s="212"/>
    </row>
    <row r="111" spans="2:12" ht="15.5" hidden="1" outlineLevel="1" x14ac:dyDescent="0.35">
      <c r="B111" s="269"/>
      <c r="C111" s="269"/>
      <c r="D111" s="250"/>
      <c r="E111" s="630"/>
      <c r="F111" s="269"/>
      <c r="G111" s="630"/>
      <c r="H111" s="950"/>
      <c r="I111" s="951" t="str">
        <f t="shared" si="1"/>
        <v xml:space="preserve">kg CO2e / </v>
      </c>
      <c r="J111" s="631"/>
      <c r="K111" s="1006" t="str">
        <f>IF(H111="","",IFERROR(IF(D111=FAPr!$B$13,'Uso dos produtos do projeto'!H111*'Uso dos produtos do projeto'!G111*'Uso dos produtos do projeto'!E111/1000,'Uso dos produtos do projeto'!H111*'Uso dos produtos do projeto'!E111),""))</f>
        <v/>
      </c>
      <c r="L111" s="212"/>
    </row>
    <row r="112" spans="2:12" ht="15.5" hidden="1" outlineLevel="1" x14ac:dyDescent="0.35">
      <c r="B112" s="269"/>
      <c r="C112" s="269"/>
      <c r="D112" s="250"/>
      <c r="E112" s="630"/>
      <c r="F112" s="269"/>
      <c r="G112" s="630"/>
      <c r="H112" s="950"/>
      <c r="I112" s="951" t="str">
        <f t="shared" si="1"/>
        <v xml:space="preserve">kg CO2e / </v>
      </c>
      <c r="J112" s="631"/>
      <c r="K112" s="1006" t="str">
        <f>IF(H112="","",IFERROR(IF(D112=FAPr!$B$13,'Uso dos produtos do projeto'!H112*'Uso dos produtos do projeto'!G112*'Uso dos produtos do projeto'!E112/1000,'Uso dos produtos do projeto'!H112*'Uso dos produtos do projeto'!E112),""))</f>
        <v/>
      </c>
      <c r="L112" s="212"/>
    </row>
    <row r="113" spans="2:12" ht="15.5" hidden="1" outlineLevel="1" x14ac:dyDescent="0.35">
      <c r="B113" s="269"/>
      <c r="C113" s="269"/>
      <c r="D113" s="250"/>
      <c r="E113" s="630"/>
      <c r="F113" s="269"/>
      <c r="G113" s="630"/>
      <c r="H113" s="950"/>
      <c r="I113" s="951" t="str">
        <f t="shared" si="1"/>
        <v xml:space="preserve">kg CO2e / </v>
      </c>
      <c r="J113" s="631"/>
      <c r="K113" s="1006" t="str">
        <f>IF(H113="","",IFERROR(IF(D113=FAPr!$B$13,'Uso dos produtos do projeto'!H113*'Uso dos produtos do projeto'!G113*'Uso dos produtos do projeto'!E113/1000,'Uso dos produtos do projeto'!H113*'Uso dos produtos do projeto'!E113),""))</f>
        <v/>
      </c>
      <c r="L113" s="212"/>
    </row>
    <row r="114" spans="2:12" ht="15.5" hidden="1" outlineLevel="1" x14ac:dyDescent="0.35">
      <c r="B114" s="269"/>
      <c r="C114" s="269"/>
      <c r="D114" s="250"/>
      <c r="E114" s="630"/>
      <c r="F114" s="269"/>
      <c r="G114" s="630"/>
      <c r="H114" s="950"/>
      <c r="I114" s="951" t="str">
        <f t="shared" si="1"/>
        <v xml:space="preserve">kg CO2e / </v>
      </c>
      <c r="J114" s="631"/>
      <c r="K114" s="1006" t="str">
        <f>IF(H114="","",IFERROR(IF(D114=FAPr!$B$13,'Uso dos produtos do projeto'!H114*'Uso dos produtos do projeto'!G114*'Uso dos produtos do projeto'!E114/1000,'Uso dos produtos do projeto'!H114*'Uso dos produtos do projeto'!E114),""))</f>
        <v/>
      </c>
      <c r="L114" s="212"/>
    </row>
    <row r="115" spans="2:12" ht="15.5" hidden="1" outlineLevel="1" x14ac:dyDescent="0.35">
      <c r="B115" s="269"/>
      <c r="C115" s="269"/>
      <c r="D115" s="250"/>
      <c r="E115" s="630"/>
      <c r="F115" s="269"/>
      <c r="G115" s="630"/>
      <c r="H115" s="950"/>
      <c r="I115" s="951" t="str">
        <f t="shared" si="1"/>
        <v xml:space="preserve">kg CO2e / </v>
      </c>
      <c r="J115" s="631"/>
      <c r="K115" s="1006" t="str">
        <f>IF(H115="","",IFERROR(IF(D115=FAPr!$B$13,'Uso dos produtos do projeto'!H115*'Uso dos produtos do projeto'!G115*'Uso dos produtos do projeto'!E115/1000,'Uso dos produtos do projeto'!H115*'Uso dos produtos do projeto'!E115),""))</f>
        <v/>
      </c>
      <c r="L115" s="212"/>
    </row>
    <row r="116" spans="2:12" ht="15.5" hidden="1" outlineLevel="1" x14ac:dyDescent="0.35">
      <c r="B116" s="269"/>
      <c r="C116" s="269"/>
      <c r="D116" s="250"/>
      <c r="E116" s="630"/>
      <c r="F116" s="269"/>
      <c r="G116" s="630"/>
      <c r="H116" s="950"/>
      <c r="I116" s="951" t="str">
        <f t="shared" si="1"/>
        <v xml:space="preserve">kg CO2e / </v>
      </c>
      <c r="J116" s="631"/>
      <c r="K116" s="1006" t="str">
        <f>IF(H116="","",IFERROR(IF(D116=FAPr!$B$13,'Uso dos produtos do projeto'!H116*'Uso dos produtos do projeto'!G116*'Uso dos produtos do projeto'!E116/1000,'Uso dos produtos do projeto'!H116*'Uso dos produtos do projeto'!E116),""))</f>
        <v/>
      </c>
      <c r="L116" s="212"/>
    </row>
    <row r="117" spans="2:12" ht="15.5" hidden="1" outlineLevel="1" x14ac:dyDescent="0.35">
      <c r="B117" s="269"/>
      <c r="C117" s="269"/>
      <c r="D117" s="250"/>
      <c r="E117" s="630"/>
      <c r="F117" s="269"/>
      <c r="G117" s="630"/>
      <c r="H117" s="950"/>
      <c r="I117" s="951" t="str">
        <f t="shared" si="1"/>
        <v xml:space="preserve">kg CO2e / </v>
      </c>
      <c r="J117" s="631"/>
      <c r="K117" s="1006" t="str">
        <f>IF(H117="","",IFERROR(IF(D117=FAPr!$B$13,'Uso dos produtos do projeto'!H117*'Uso dos produtos do projeto'!G117*'Uso dos produtos do projeto'!E117/1000,'Uso dos produtos do projeto'!H117*'Uso dos produtos do projeto'!E117),""))</f>
        <v/>
      </c>
      <c r="L117" s="212"/>
    </row>
    <row r="118" spans="2:12" ht="15.5" hidden="1" outlineLevel="1" x14ac:dyDescent="0.35">
      <c r="B118" s="269"/>
      <c r="C118" s="269"/>
      <c r="D118" s="250"/>
      <c r="E118" s="630"/>
      <c r="F118" s="269"/>
      <c r="G118" s="630"/>
      <c r="H118" s="950"/>
      <c r="I118" s="951" t="str">
        <f t="shared" si="1"/>
        <v xml:space="preserve">kg CO2e / </v>
      </c>
      <c r="J118" s="631"/>
      <c r="K118" s="1006" t="str">
        <f>IF(H118="","",IFERROR(IF(D118=FAPr!$B$13,'Uso dos produtos do projeto'!H118*'Uso dos produtos do projeto'!G118*'Uso dos produtos do projeto'!E118/1000,'Uso dos produtos do projeto'!H118*'Uso dos produtos do projeto'!E118),""))</f>
        <v/>
      </c>
      <c r="L118" s="212"/>
    </row>
    <row r="119" spans="2:12" ht="15.5" hidden="1" outlineLevel="1" x14ac:dyDescent="0.35">
      <c r="B119" s="269"/>
      <c r="C119" s="269"/>
      <c r="D119" s="250"/>
      <c r="E119" s="630"/>
      <c r="F119" s="269"/>
      <c r="G119" s="630"/>
      <c r="H119" s="950"/>
      <c r="I119" s="951" t="str">
        <f t="shared" si="1"/>
        <v xml:space="preserve">kg CO2e / </v>
      </c>
      <c r="J119" s="631"/>
      <c r="K119" s="1006" t="str">
        <f>IF(H119="","",IFERROR(IF(D119=FAPr!$B$13,'Uso dos produtos do projeto'!H119*'Uso dos produtos do projeto'!G119*'Uso dos produtos do projeto'!E119/1000,'Uso dos produtos do projeto'!H119*'Uso dos produtos do projeto'!E119),""))</f>
        <v/>
      </c>
      <c r="L119" s="212"/>
    </row>
    <row r="120" spans="2:12" ht="15.5" hidden="1" outlineLevel="1" x14ac:dyDescent="0.35">
      <c r="B120" s="269"/>
      <c r="C120" s="269"/>
      <c r="D120" s="250"/>
      <c r="E120" s="630"/>
      <c r="F120" s="269"/>
      <c r="G120" s="630"/>
      <c r="H120" s="950"/>
      <c r="I120" s="951" t="str">
        <f t="shared" si="1"/>
        <v xml:space="preserve">kg CO2e / </v>
      </c>
      <c r="J120" s="631"/>
      <c r="K120" s="1006" t="str">
        <f>IF(H120="","",IFERROR(IF(D120=FAPr!$B$13,'Uso dos produtos do projeto'!H120*'Uso dos produtos do projeto'!G120*'Uso dos produtos do projeto'!E120/1000,'Uso dos produtos do projeto'!H120*'Uso dos produtos do projeto'!E120),""))</f>
        <v/>
      </c>
      <c r="L120" s="212"/>
    </row>
    <row r="121" spans="2:12" ht="15.5" hidden="1" outlineLevel="1" x14ac:dyDescent="0.35">
      <c r="B121" s="269"/>
      <c r="C121" s="269"/>
      <c r="D121" s="250"/>
      <c r="E121" s="630"/>
      <c r="F121" s="269"/>
      <c r="G121" s="630"/>
      <c r="H121" s="950"/>
      <c r="I121" s="951" t="str">
        <f t="shared" si="1"/>
        <v xml:space="preserve">kg CO2e / </v>
      </c>
      <c r="J121" s="631"/>
      <c r="K121" s="1006" t="str">
        <f>IF(H121="","",IFERROR(IF(D121=FAPr!$B$13,'Uso dos produtos do projeto'!H121*'Uso dos produtos do projeto'!G121*'Uso dos produtos do projeto'!E121/1000,'Uso dos produtos do projeto'!H121*'Uso dos produtos do projeto'!E121),""))</f>
        <v/>
      </c>
      <c r="L121" s="212"/>
    </row>
    <row r="122" spans="2:12" ht="15.5" hidden="1" outlineLevel="1" x14ac:dyDescent="0.35">
      <c r="B122" s="269"/>
      <c r="C122" s="269"/>
      <c r="D122" s="250"/>
      <c r="E122" s="630"/>
      <c r="F122" s="269"/>
      <c r="G122" s="630"/>
      <c r="H122" s="950"/>
      <c r="I122" s="951" t="str">
        <f t="shared" si="1"/>
        <v xml:space="preserve">kg CO2e / </v>
      </c>
      <c r="J122" s="631"/>
      <c r="K122" s="1006" t="str">
        <f>IF(H122="","",IFERROR(IF(D122=FAPr!$B$13,'Uso dos produtos do projeto'!H122*'Uso dos produtos do projeto'!G122*'Uso dos produtos do projeto'!E122/1000,'Uso dos produtos do projeto'!H122*'Uso dos produtos do projeto'!E122),""))</f>
        <v/>
      </c>
      <c r="L122" s="212"/>
    </row>
    <row r="123" spans="2:12" ht="15.5" hidden="1" outlineLevel="1" x14ac:dyDescent="0.35">
      <c r="B123" s="269"/>
      <c r="C123" s="269"/>
      <c r="D123" s="250"/>
      <c r="E123" s="630"/>
      <c r="F123" s="269"/>
      <c r="G123" s="630"/>
      <c r="H123" s="950"/>
      <c r="I123" s="951" t="str">
        <f t="shared" si="1"/>
        <v xml:space="preserve">kg CO2e / </v>
      </c>
      <c r="J123" s="631"/>
      <c r="K123" s="1006" t="str">
        <f>IF(H123="","",IFERROR(IF(D123=FAPr!$B$13,'Uso dos produtos do projeto'!H123*'Uso dos produtos do projeto'!G123*'Uso dos produtos do projeto'!E123/1000,'Uso dos produtos do projeto'!H123*'Uso dos produtos do projeto'!E123),""))</f>
        <v/>
      </c>
      <c r="L123" s="212"/>
    </row>
    <row r="124" spans="2:12" ht="15.5" hidden="1" outlineLevel="1" x14ac:dyDescent="0.35">
      <c r="B124" s="269"/>
      <c r="C124" s="269"/>
      <c r="D124" s="250"/>
      <c r="E124" s="630"/>
      <c r="F124" s="269"/>
      <c r="G124" s="630"/>
      <c r="H124" s="950"/>
      <c r="I124" s="951" t="str">
        <f t="shared" si="1"/>
        <v xml:space="preserve">kg CO2e / </v>
      </c>
      <c r="J124" s="631"/>
      <c r="K124" s="1006" t="str">
        <f>IF(H124="","",IFERROR(IF(D124=FAPr!$B$13,'Uso dos produtos do projeto'!H124*'Uso dos produtos do projeto'!G124*'Uso dos produtos do projeto'!E124/1000,'Uso dos produtos do projeto'!H124*'Uso dos produtos do projeto'!E124),""))</f>
        <v/>
      </c>
      <c r="L124" s="212"/>
    </row>
    <row r="125" spans="2:12" ht="15.5" hidden="1" outlineLevel="1" x14ac:dyDescent="0.35">
      <c r="B125" s="269"/>
      <c r="C125" s="269"/>
      <c r="D125" s="250"/>
      <c r="E125" s="630"/>
      <c r="F125" s="269"/>
      <c r="G125" s="630"/>
      <c r="H125" s="950"/>
      <c r="I125" s="951" t="str">
        <f t="shared" si="1"/>
        <v xml:space="preserve">kg CO2e / </v>
      </c>
      <c r="J125" s="631"/>
      <c r="K125" s="1006" t="str">
        <f>IF(H125="","",IFERROR(IF(D125=FAPr!$B$13,'Uso dos produtos do projeto'!H125*'Uso dos produtos do projeto'!G125*'Uso dos produtos do projeto'!E125/1000,'Uso dos produtos do projeto'!H125*'Uso dos produtos do projeto'!E125),""))</f>
        <v/>
      </c>
      <c r="L125" s="212"/>
    </row>
    <row r="126" spans="2:12" ht="15.5" hidden="1" outlineLevel="1" x14ac:dyDescent="0.35">
      <c r="B126" s="269"/>
      <c r="C126" s="269"/>
      <c r="D126" s="250"/>
      <c r="E126" s="630"/>
      <c r="F126" s="269"/>
      <c r="G126" s="630"/>
      <c r="H126" s="950"/>
      <c r="I126" s="951" t="str">
        <f t="shared" si="1"/>
        <v xml:space="preserve">kg CO2e / </v>
      </c>
      <c r="J126" s="631"/>
      <c r="K126" s="1006" t="str">
        <f>IF(H126="","",IFERROR(IF(D126=FAPr!$B$13,'Uso dos produtos do projeto'!H126*'Uso dos produtos do projeto'!G126*'Uso dos produtos do projeto'!E126/1000,'Uso dos produtos do projeto'!H126*'Uso dos produtos do projeto'!E126),""))</f>
        <v/>
      </c>
      <c r="L126" s="212"/>
    </row>
    <row r="127" spans="2:12" ht="15.5" hidden="1" outlineLevel="1" x14ac:dyDescent="0.35">
      <c r="B127" s="269"/>
      <c r="C127" s="269"/>
      <c r="D127" s="250"/>
      <c r="E127" s="630"/>
      <c r="F127" s="269"/>
      <c r="G127" s="630"/>
      <c r="H127" s="950"/>
      <c r="I127" s="951" t="str">
        <f t="shared" si="1"/>
        <v xml:space="preserve">kg CO2e / </v>
      </c>
      <c r="J127" s="631"/>
      <c r="K127" s="1006" t="str">
        <f>IF(H127="","",IFERROR(IF(D127=FAPr!$B$13,'Uso dos produtos do projeto'!H127*'Uso dos produtos do projeto'!G127*'Uso dos produtos do projeto'!E127/1000,'Uso dos produtos do projeto'!H127*'Uso dos produtos do projeto'!E127),""))</f>
        <v/>
      </c>
      <c r="L127" s="212"/>
    </row>
    <row r="128" spans="2:12" ht="15.5" hidden="1" outlineLevel="1" x14ac:dyDescent="0.35">
      <c r="B128" s="269"/>
      <c r="C128" s="269"/>
      <c r="D128" s="250"/>
      <c r="E128" s="630"/>
      <c r="F128" s="269"/>
      <c r="G128" s="630"/>
      <c r="H128" s="950"/>
      <c r="I128" s="951" t="str">
        <f t="shared" si="1"/>
        <v xml:space="preserve">kg CO2e / </v>
      </c>
      <c r="J128" s="631"/>
      <c r="K128" s="1006" t="str">
        <f>IF(H128="","",IFERROR(IF(D128=FAPr!$B$13,'Uso dos produtos do projeto'!H128*'Uso dos produtos do projeto'!G128*'Uso dos produtos do projeto'!E128/1000,'Uso dos produtos do projeto'!H128*'Uso dos produtos do projeto'!E128),""))</f>
        <v/>
      </c>
      <c r="L128" s="212"/>
    </row>
    <row r="129" spans="2:12" ht="15.5" hidden="1" outlineLevel="1" x14ac:dyDescent="0.35">
      <c r="B129" s="269"/>
      <c r="C129" s="269"/>
      <c r="D129" s="250"/>
      <c r="E129" s="630"/>
      <c r="F129" s="269"/>
      <c r="G129" s="630"/>
      <c r="H129" s="950"/>
      <c r="I129" s="951" t="str">
        <f t="shared" si="1"/>
        <v xml:space="preserve">kg CO2e / </v>
      </c>
      <c r="J129" s="631"/>
      <c r="K129" s="1006" t="str">
        <f>IF(H129="","",IFERROR(IF(D129=FAPr!$B$13,'Uso dos produtos do projeto'!H129*'Uso dos produtos do projeto'!G129*'Uso dos produtos do projeto'!E129/1000,'Uso dos produtos do projeto'!H129*'Uso dos produtos do projeto'!E129),""))</f>
        <v/>
      </c>
      <c r="L129" s="212"/>
    </row>
    <row r="130" spans="2:12" ht="15.5" hidden="1" outlineLevel="1" x14ac:dyDescent="0.35">
      <c r="B130" s="269"/>
      <c r="C130" s="269"/>
      <c r="D130" s="250"/>
      <c r="E130" s="630"/>
      <c r="F130" s="269"/>
      <c r="G130" s="630"/>
      <c r="H130" s="950"/>
      <c r="I130" s="951" t="str">
        <f t="shared" si="1"/>
        <v xml:space="preserve">kg CO2e / </v>
      </c>
      <c r="J130" s="631"/>
      <c r="K130" s="1006" t="str">
        <f>IF(H130="","",IFERROR(IF(D130=FAPr!$B$13,'Uso dos produtos do projeto'!H130*'Uso dos produtos do projeto'!G130*'Uso dos produtos do projeto'!E130/1000,'Uso dos produtos do projeto'!H130*'Uso dos produtos do projeto'!E130),""))</f>
        <v/>
      </c>
      <c r="L130" s="212"/>
    </row>
    <row r="131" spans="2:12" ht="15.5" hidden="1" outlineLevel="1" x14ac:dyDescent="0.35">
      <c r="B131" s="269"/>
      <c r="C131" s="269"/>
      <c r="D131" s="250"/>
      <c r="E131" s="630"/>
      <c r="F131" s="269"/>
      <c r="G131" s="630"/>
      <c r="H131" s="950"/>
      <c r="I131" s="951" t="str">
        <f t="shared" si="1"/>
        <v xml:space="preserve">kg CO2e / </v>
      </c>
      <c r="J131" s="631"/>
      <c r="K131" s="1006" t="str">
        <f>IF(H131="","",IFERROR(IF(D131=FAPr!$B$13,'Uso dos produtos do projeto'!H131*'Uso dos produtos do projeto'!G131*'Uso dos produtos do projeto'!E131/1000,'Uso dos produtos do projeto'!H131*'Uso dos produtos do projeto'!E131),""))</f>
        <v/>
      </c>
      <c r="L131" s="212"/>
    </row>
    <row r="132" spans="2:12" ht="15.5" hidden="1" outlineLevel="1" x14ac:dyDescent="0.35">
      <c r="B132" s="269"/>
      <c r="C132" s="269"/>
      <c r="D132" s="250"/>
      <c r="E132" s="630"/>
      <c r="F132" s="269"/>
      <c r="G132" s="630"/>
      <c r="H132" s="950"/>
      <c r="I132" s="951" t="str">
        <f t="shared" si="1"/>
        <v xml:space="preserve">kg CO2e / </v>
      </c>
      <c r="J132" s="631"/>
      <c r="K132" s="1006" t="str">
        <f>IF(H132="","",IFERROR(IF(D132=FAPr!$B$13,'Uso dos produtos do projeto'!H132*'Uso dos produtos do projeto'!G132*'Uso dos produtos do projeto'!E132/1000,'Uso dos produtos do projeto'!H132*'Uso dos produtos do projeto'!E132),""))</f>
        <v/>
      </c>
      <c r="L132" s="212"/>
    </row>
    <row r="133" spans="2:12" ht="15.5" hidden="1" outlineLevel="1" x14ac:dyDescent="0.35">
      <c r="B133" s="269"/>
      <c r="C133" s="269"/>
      <c r="D133" s="250"/>
      <c r="E133" s="630"/>
      <c r="F133" s="269"/>
      <c r="G133" s="630"/>
      <c r="H133" s="950"/>
      <c r="I133" s="951" t="str">
        <f t="shared" si="1"/>
        <v xml:space="preserve">kg CO2e / </v>
      </c>
      <c r="J133" s="631"/>
      <c r="K133" s="1006" t="str">
        <f>IF(H133="","",IFERROR(IF(D133=FAPr!$B$13,'Uso dos produtos do projeto'!H133*'Uso dos produtos do projeto'!G133*'Uso dos produtos do projeto'!E133/1000,'Uso dos produtos do projeto'!H133*'Uso dos produtos do projeto'!E133),""))</f>
        <v/>
      </c>
      <c r="L133" s="212"/>
    </row>
    <row r="134" spans="2:12" ht="15.5" hidden="1" outlineLevel="1" x14ac:dyDescent="0.35">
      <c r="B134" s="269"/>
      <c r="C134" s="269"/>
      <c r="D134" s="250"/>
      <c r="E134" s="630"/>
      <c r="F134" s="269"/>
      <c r="G134" s="630"/>
      <c r="H134" s="950"/>
      <c r="I134" s="951" t="str">
        <f t="shared" si="1"/>
        <v xml:space="preserve">kg CO2e / </v>
      </c>
      <c r="J134" s="631"/>
      <c r="K134" s="1006" t="str">
        <f>IF(H134="","",IFERROR(IF(D134=FAPr!$B$13,'Uso dos produtos do projeto'!H134*'Uso dos produtos do projeto'!G134*'Uso dos produtos do projeto'!E134/1000,'Uso dos produtos do projeto'!H134*'Uso dos produtos do projeto'!E134),""))</f>
        <v/>
      </c>
      <c r="L134" s="212"/>
    </row>
    <row r="135" spans="2:12" ht="24.65" customHeight="1" collapsed="1" x14ac:dyDescent="0.35">
      <c r="B135" s="278" t="s">
        <v>40</v>
      </c>
      <c r="C135" s="279"/>
      <c r="D135" s="279"/>
      <c r="E135" s="279"/>
      <c r="F135" s="279"/>
      <c r="G135" s="279"/>
      <c r="H135" s="279"/>
      <c r="I135" s="279"/>
      <c r="J135" s="297"/>
      <c r="K135" s="1006">
        <f>SUM(K35:K134)</f>
        <v>0</v>
      </c>
    </row>
    <row r="136" spans="2:12" s="171" customFormat="1" ht="24.65" customHeight="1" x14ac:dyDescent="0.35">
      <c r="B136" s="253" t="s">
        <v>1273</v>
      </c>
      <c r="C136" s="254"/>
      <c r="D136" s="254"/>
      <c r="E136" s="254"/>
      <c r="F136" s="254"/>
      <c r="G136" s="254"/>
      <c r="H136" s="255"/>
      <c r="I136" s="255"/>
      <c r="J136" s="255"/>
    </row>
    <row r="137" spans="2:12" ht="15.5" x14ac:dyDescent="0.35"/>
    <row r="138" spans="2:12" ht="15.5" x14ac:dyDescent="0.35"/>
    <row r="139" spans="2:12" s="538" customFormat="1" ht="30" customHeight="1" x14ac:dyDescent="0.35">
      <c r="B139" s="296" t="s">
        <v>671</v>
      </c>
    </row>
    <row r="140" spans="2:12" ht="15.5" x14ac:dyDescent="0.35"/>
    <row r="141" spans="2:12" ht="15.5" x14ac:dyDescent="0.35">
      <c r="F141" s="1050" t="s">
        <v>598</v>
      </c>
      <c r="G141" s="1051"/>
      <c r="H141" s="1052"/>
    </row>
    <row r="142" spans="2:12" s="357" customFormat="1" ht="31" x14ac:dyDescent="0.35">
      <c r="F142" s="370" t="str">
        <f>'Emissões Fugitivas'!E188</f>
        <v>Construção ou fase preparatória</v>
      </c>
      <c r="G142" s="371" t="s">
        <v>36</v>
      </c>
      <c r="H142" s="372" t="s">
        <v>255</v>
      </c>
    </row>
    <row r="143" spans="2:12" ht="17.5" x14ac:dyDescent="0.35">
      <c r="C143" s="1050" t="s">
        <v>1248</v>
      </c>
      <c r="D143" s="1051"/>
      <c r="E143" s="1052"/>
      <c r="F143" s="807">
        <f>SUMIF($B$35:$B$134,F$142,$K$35:$K$134)</f>
        <v>0</v>
      </c>
      <c r="G143" s="807">
        <f>SUMIF($B$35:$B$134,G$142,$K$35:$K$134)</f>
        <v>0</v>
      </c>
      <c r="H143" s="807">
        <f>SUMIF($B$35:$B$134,H$142,$K$35:$K$134)</f>
        <v>0</v>
      </c>
      <c r="I143" s="285" t="s">
        <v>40</v>
      </c>
    </row>
    <row r="144" spans="2:12" ht="17.5" x14ac:dyDescent="0.35">
      <c r="C144" s="1050" t="s">
        <v>1249</v>
      </c>
      <c r="D144" s="1051"/>
      <c r="E144" s="1052"/>
      <c r="F144" s="807">
        <f>IF('Dados gerais'!$F$33="", F143*'Fatores de Emissão'!$E$12, 'Dados gerais'!$F$33*F143)</f>
        <v>0</v>
      </c>
      <c r="G144" s="807">
        <f>IF('Dados gerais'!$F$34="", G143*'Fatores de Emissão'!$E$13, 'Dados gerais'!$F$34*G143)</f>
        <v>0</v>
      </c>
      <c r="H144" s="807">
        <f>IF('Dados gerais'!$F$35="", H143*'Fatores de Emissão'!$E$14, 'Dados gerais'!$F$35*H143)</f>
        <v>0</v>
      </c>
      <c r="I144" s="807">
        <f>SUM(F144:H144)</f>
        <v>0</v>
      </c>
    </row>
    <row r="145" spans="2:17" ht="15.5" x14ac:dyDescent="0.35"/>
    <row r="146" spans="2:17" ht="15.5" x14ac:dyDescent="0.35"/>
    <row r="147" spans="2:17" ht="19.899999999999999" customHeight="1" x14ac:dyDescent="0.35">
      <c r="B147" s="367"/>
      <c r="C147" s="367"/>
      <c r="D147" s="367"/>
      <c r="E147" s="367"/>
      <c r="F147" s="367"/>
      <c r="G147" s="367"/>
      <c r="H147" s="367"/>
      <c r="I147" s="367"/>
      <c r="J147" s="367"/>
      <c r="K147" s="367"/>
      <c r="L147" s="367"/>
      <c r="M147" s="367"/>
      <c r="N147" s="367"/>
      <c r="O147" s="367"/>
      <c r="P147" s="367"/>
      <c r="Q147" s="367"/>
    </row>
    <row r="148" spans="2:17" ht="15.5" x14ac:dyDescent="0.35"/>
    <row r="149" spans="2:17" ht="15.5" x14ac:dyDescent="0.35"/>
    <row r="150" spans="2:17" ht="15.5" x14ac:dyDescent="0.35"/>
    <row r="151" spans="2:17" ht="15.5" x14ac:dyDescent="0.35"/>
    <row r="152" spans="2:17" ht="15.5" x14ac:dyDescent="0.35"/>
    <row r="153" spans="2:17" ht="15.5" x14ac:dyDescent="0.35"/>
    <row r="154" spans="2:17" ht="15.5" x14ac:dyDescent="0.35"/>
    <row r="155" spans="2:17" ht="15.5" x14ac:dyDescent="0.35"/>
    <row r="156" spans="2:17" ht="15.5" x14ac:dyDescent="0.35"/>
    <row r="157" spans="2:17" ht="15.5" x14ac:dyDescent="0.35"/>
    <row r="158" spans="2:17" ht="15.5" x14ac:dyDescent="0.35"/>
    <row r="159" spans="2:17" ht="15.65" customHeight="1" x14ac:dyDescent="0.35"/>
    <row r="160" spans="2:17" ht="15.65" customHeight="1" x14ac:dyDescent="0.35"/>
    <row r="161" ht="15.65" customHeight="1" x14ac:dyDescent="0.35"/>
    <row r="162" ht="15.65" customHeight="1" x14ac:dyDescent="0.35"/>
    <row r="163" ht="15.65" customHeight="1" x14ac:dyDescent="0.35"/>
    <row r="164" ht="15.65" customHeight="1" x14ac:dyDescent="0.35"/>
    <row r="165" ht="15.65" customHeight="1" x14ac:dyDescent="0.35"/>
    <row r="166" ht="15.65" customHeight="1" x14ac:dyDescent="0.35"/>
    <row r="167" ht="15.65" customHeight="1" x14ac:dyDescent="0.35"/>
    <row r="168" ht="15.65" customHeight="1" x14ac:dyDescent="0.35"/>
    <row r="169" ht="15.65" customHeight="1" x14ac:dyDescent="0.35"/>
    <row r="170" ht="15.65" customHeight="1" x14ac:dyDescent="0.35"/>
    <row r="171" ht="15.65" customHeight="1" x14ac:dyDescent="0.35"/>
    <row r="172" ht="15.65" customHeight="1" x14ac:dyDescent="0.35"/>
    <row r="173" ht="15.65" customHeight="1" x14ac:dyDescent="0.35"/>
    <row r="174" ht="15.65" customHeight="1" x14ac:dyDescent="0.35"/>
    <row r="175" ht="15.65" customHeight="1" x14ac:dyDescent="0.35"/>
    <row r="176" ht="15.65" customHeight="1" x14ac:dyDescent="0.35"/>
    <row r="177" ht="15.65" customHeight="1" x14ac:dyDescent="0.35"/>
    <row r="178" ht="15.65" customHeight="1" x14ac:dyDescent="0.35"/>
    <row r="179" ht="15.65" customHeight="1" x14ac:dyDescent="0.35"/>
    <row r="180" ht="15.65" customHeight="1" x14ac:dyDescent="0.35"/>
    <row r="181" ht="15.65" customHeight="1" x14ac:dyDescent="0.35"/>
    <row r="182" ht="15.65" customHeight="1" x14ac:dyDescent="0.35"/>
    <row r="183" ht="15.65" customHeight="1" x14ac:dyDescent="0.35"/>
    <row r="184" ht="15.65" customHeight="1" x14ac:dyDescent="0.35"/>
    <row r="185" ht="15.65" customHeight="1" x14ac:dyDescent="0.35"/>
    <row r="186" ht="15.65" customHeight="1" x14ac:dyDescent="0.35"/>
    <row r="187" ht="15.65" customHeight="1" x14ac:dyDescent="0.35"/>
    <row r="188" ht="15.65" customHeight="1" x14ac:dyDescent="0.35"/>
    <row r="189" ht="15.65" customHeight="1" x14ac:dyDescent="0.35"/>
    <row r="190" ht="15.65" customHeight="1" x14ac:dyDescent="0.35"/>
    <row r="191" ht="15.65" customHeight="1" x14ac:dyDescent="0.35"/>
    <row r="192" ht="15.65" customHeight="1" x14ac:dyDescent="0.35"/>
    <row r="193" ht="15.65" customHeight="1" x14ac:dyDescent="0.35"/>
    <row r="194" ht="15.65" customHeight="1" x14ac:dyDescent="0.35"/>
    <row r="195" ht="15.65" customHeight="1" x14ac:dyDescent="0.35"/>
    <row r="196" ht="15.65" customHeight="1" x14ac:dyDescent="0.35"/>
    <row r="197" ht="15.65" customHeight="1" x14ac:dyDescent="0.35"/>
    <row r="198" ht="15.65" customHeight="1" x14ac:dyDescent="0.35"/>
    <row r="199" ht="15.65" customHeight="1" x14ac:dyDescent="0.35"/>
    <row r="200" ht="15.65" customHeight="1" x14ac:dyDescent="0.35"/>
    <row r="201" ht="15.65" customHeight="1" x14ac:dyDescent="0.35"/>
    <row r="202" ht="15.65" customHeight="1" x14ac:dyDescent="0.35"/>
    <row r="203" ht="15.65" customHeight="1" x14ac:dyDescent="0.35"/>
    <row r="204" ht="15.65" customHeight="1" x14ac:dyDescent="0.35"/>
    <row r="205" ht="15.65" customHeight="1" x14ac:dyDescent="0.35"/>
    <row r="206" ht="15.65" customHeight="1" x14ac:dyDescent="0.35"/>
    <row r="207" ht="15.65" customHeight="1" x14ac:dyDescent="0.35"/>
    <row r="208" ht="15.65" customHeight="1" x14ac:dyDescent="0.35"/>
    <row r="209" ht="15.65" customHeight="1" x14ac:dyDescent="0.35"/>
    <row r="210" ht="15.65" customHeight="1" x14ac:dyDescent="0.35"/>
    <row r="211" ht="15.65" customHeight="1" x14ac:dyDescent="0.35"/>
    <row r="212" ht="15.65" customHeight="1" x14ac:dyDescent="0.35"/>
    <row r="213" ht="15.65" customHeight="1" x14ac:dyDescent="0.35"/>
    <row r="214" ht="15.65" customHeight="1" x14ac:dyDescent="0.35"/>
    <row r="215" ht="15.65" customHeight="1" x14ac:dyDescent="0.35"/>
    <row r="216" ht="15.65" customHeight="1" x14ac:dyDescent="0.35"/>
    <row r="217" ht="15.65" customHeight="1" x14ac:dyDescent="0.35"/>
    <row r="218" ht="15.65" customHeight="1" x14ac:dyDescent="0.35"/>
    <row r="219" ht="15.65" customHeight="1" x14ac:dyDescent="0.35"/>
    <row r="220" ht="15.65" customHeight="1" x14ac:dyDescent="0.35"/>
    <row r="221" ht="15.65" customHeight="1" x14ac:dyDescent="0.35"/>
    <row r="222" ht="15.65" customHeight="1" x14ac:dyDescent="0.35"/>
    <row r="223" ht="15.65" customHeight="1" x14ac:dyDescent="0.35"/>
    <row r="224" ht="15.65" customHeight="1" x14ac:dyDescent="0.35"/>
    <row r="225" ht="15.65" customHeight="1" x14ac:dyDescent="0.35"/>
    <row r="226" ht="15.65" customHeight="1" x14ac:dyDescent="0.35"/>
    <row r="227" ht="15.65" customHeight="1" x14ac:dyDescent="0.35"/>
    <row r="228" ht="15.65" customHeight="1" x14ac:dyDescent="0.35"/>
    <row r="229" ht="15.65" customHeight="1" x14ac:dyDescent="0.35"/>
    <row r="230" ht="15.65" customHeight="1" x14ac:dyDescent="0.35"/>
    <row r="231" ht="15.65" customHeight="1" x14ac:dyDescent="0.35"/>
    <row r="232" ht="15.65" customHeight="1" x14ac:dyDescent="0.35"/>
    <row r="233" ht="15.65" customHeight="1" x14ac:dyDescent="0.35"/>
    <row r="234" ht="15.65" customHeight="1" x14ac:dyDescent="0.35"/>
    <row r="235" ht="15.65" customHeight="1" x14ac:dyDescent="0.35"/>
  </sheetData>
  <sheetProtection algorithmName="SHA-512" hashValue="yRBvEsmweHdkl8gtoJQKfNdlMI3P9b7Ig1u8fo/dM4FyXgZhchZ4b3CAhre+T7lFBC40/dfPaujXub1SWQi6XA==" saltValue="8TmV2/JRcVMtUWNdHb+CjQ==" spinCount="100000" sheet="1" objects="1" scenarios="1" formatRows="0" selectLockedCells="1"/>
  <protectedRanges>
    <protectedRange sqref="C34 B35:E134 H35:I134" name="PI1"/>
  </protectedRanges>
  <mergeCells count="18">
    <mergeCell ref="B20:K20"/>
    <mergeCell ref="B13:K13"/>
    <mergeCell ref="D8:J8"/>
    <mergeCell ref="J32:J33"/>
    <mergeCell ref="H32:I32"/>
    <mergeCell ref="K32:K33"/>
    <mergeCell ref="B21:K21"/>
    <mergeCell ref="D23:F23"/>
    <mergeCell ref="D24:F24"/>
    <mergeCell ref="D25:F25"/>
    <mergeCell ref="D26:F26"/>
    <mergeCell ref="F141:H141"/>
    <mergeCell ref="C143:E143"/>
    <mergeCell ref="C144:E144"/>
    <mergeCell ref="B32:B33"/>
    <mergeCell ref="D32:D33"/>
    <mergeCell ref="C32:C33"/>
    <mergeCell ref="E32:G32"/>
  </mergeCells>
  <conditionalFormatting sqref="I35:I134">
    <cfRule type="expression" dxfId="2" priority="4">
      <formula>$F35=""</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86995FD9-F264-4507-9B81-9268589D16C9}">
            <xm:f>Triagem!$C$32=""</xm:f>
            <x14:dxf>
              <font>
                <color rgb="FFFF0000"/>
              </font>
              <fill>
                <patternFill>
                  <bgColor theme="7" tint="0.79998168889431442"/>
                </patternFill>
              </fill>
            </x14:dxf>
          </x14:cfRule>
          <x14:cfRule type="expression" priority="2" id="{02470427-8338-4910-8A16-C6A4E364700F}">
            <xm:f>Triagem!$C$32="Sim"</xm:f>
            <x14:dxf/>
          </x14:cfRule>
          <x14:cfRule type="expression" priority="3" id="{09719CF3-E195-4E0A-B055-034AA98C5DD6}">
            <xm:f>Triagem!$C$32="Não"</xm:f>
            <x14:dxf>
              <font>
                <color theme="2" tint="-0.24994659260841701"/>
              </font>
            </x14:dxf>
          </x14:cfRule>
          <xm:sqref>D8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20E227A-6772-4548-8C3E-6A8CC357D8FA}">
          <x14:formula1>
            <xm:f>FAEI!$A$10:$A$12</xm:f>
          </x14:formula1>
          <xm:sqref>B34:B134</xm:sqref>
        </x14:dataValidation>
        <x14:dataValidation type="list" allowBlank="1" showInputMessage="1" showErrorMessage="1" xr:uid="{4F6A6EB7-7960-4F6F-89D1-87E91341FCBC}">
          <x14:formula1>
            <xm:f>'Fatores de Emissão'!$C$248:$C$281</xm:f>
          </x14:formula1>
          <xm:sqref>Y34:Y45</xm:sqref>
        </x14:dataValidation>
        <x14:dataValidation type="list" allowBlank="1" showInputMessage="1" showErrorMessage="1" xr:uid="{6EADF263-1F19-4395-AF4B-EC8ABA38BE87}">
          <x14:formula1>
            <xm:f>FAPr!$B$12:$B$14</xm:f>
          </x14:formula1>
          <xm:sqref>D35:D134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665DB-1E98-4D51-877E-F69DE684AFE2}">
  <sheetPr codeName="Folha25"/>
  <dimension ref="B11:C14"/>
  <sheetViews>
    <sheetView showGridLines="0" zoomScale="70" zoomScaleNormal="70" workbookViewId="0">
      <selection activeCell="B11" sqref="B11:C14"/>
    </sheetView>
  </sheetViews>
  <sheetFormatPr defaultRowHeight="14.5" x14ac:dyDescent="0.35"/>
  <cols>
    <col min="1" max="1" width="10.7265625" bestFit="1" customWidth="1"/>
    <col min="2" max="2" width="36.26953125" bestFit="1" customWidth="1"/>
    <col min="3" max="3" width="78.453125" bestFit="1" customWidth="1"/>
    <col min="4" max="4" width="11.7265625" bestFit="1" customWidth="1"/>
    <col min="5" max="5" width="13.1796875" bestFit="1" customWidth="1"/>
  </cols>
  <sheetData>
    <row r="11" spans="2:3" x14ac:dyDescent="0.35">
      <c r="B11" s="799" t="s">
        <v>1262</v>
      </c>
      <c r="C11" s="799" t="s">
        <v>1276</v>
      </c>
    </row>
    <row r="12" spans="2:3" x14ac:dyDescent="0.35">
      <c r="B12" s="294" t="s">
        <v>1260</v>
      </c>
      <c r="C12" s="294" t="s">
        <v>1552</v>
      </c>
    </row>
    <row r="13" spans="2:3" x14ac:dyDescent="0.35">
      <c r="B13" s="294" t="s">
        <v>1259</v>
      </c>
      <c r="C13" s="294" t="s">
        <v>1259</v>
      </c>
    </row>
    <row r="14" spans="2:3" x14ac:dyDescent="0.35">
      <c r="B14" s="294" t="s">
        <v>1261</v>
      </c>
      <c r="C14" s="294" t="s">
        <v>1290</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33DB-C84D-46B1-AA6E-8DB410F7B618}">
  <sheetPr codeName="Folha26"/>
  <dimension ref="A8:G25"/>
  <sheetViews>
    <sheetView showGridLines="0" zoomScale="70" zoomScaleNormal="70" workbookViewId="0">
      <selection activeCell="F24" sqref="F24"/>
    </sheetView>
  </sheetViews>
  <sheetFormatPr defaultRowHeight="14.5" x14ac:dyDescent="0.35"/>
  <cols>
    <col min="1" max="1" width="68.26953125" customWidth="1"/>
    <col min="2" max="2" width="17.453125" customWidth="1"/>
    <col min="3" max="3" width="19.26953125" customWidth="1"/>
    <col min="4" max="4" width="26.7265625" customWidth="1"/>
    <col min="5" max="5" width="16.81640625" customWidth="1"/>
    <col min="6" max="6" width="14.453125" customWidth="1"/>
    <col min="7" max="7" width="14.7265625" customWidth="1"/>
  </cols>
  <sheetData>
    <row r="8" spans="1:3" ht="31" x14ac:dyDescent="0.35">
      <c r="B8" s="5" t="s">
        <v>340</v>
      </c>
      <c r="C8" s="4" t="s">
        <v>989</v>
      </c>
    </row>
    <row r="9" spans="1:3" x14ac:dyDescent="0.35">
      <c r="A9" s="65" t="str">
        <f>'Fatores de Emissão'!B233</f>
        <v>% condutor veículo</v>
      </c>
      <c r="B9" s="140">
        <f>'Fatores de Emissão'!D233</f>
        <v>0.47899999999999998</v>
      </c>
      <c r="C9" s="39">
        <f>'Fatores de Emissão'!D237</f>
        <v>0.12377878924602022</v>
      </c>
    </row>
    <row r="10" spans="1:3" x14ac:dyDescent="0.35">
      <c r="A10" s="65" t="str">
        <f>'Fatores de Emissão'!B234</f>
        <v>% passageiro veículo</v>
      </c>
      <c r="B10" s="140">
        <f>'Fatores de Emissão'!D234</f>
        <v>0.18099999999999999</v>
      </c>
      <c r="C10" s="39">
        <f>'Fatores de Emissão'!D238</f>
        <v>0.12377878924602022</v>
      </c>
    </row>
    <row r="11" spans="1:3" x14ac:dyDescent="0.35">
      <c r="A11" s="65" t="str">
        <f>'Fatores de Emissão'!B235</f>
        <v>% transporte público</v>
      </c>
      <c r="B11" s="140">
        <f>'Fatores de Emissão'!D235</f>
        <v>0.1229</v>
      </c>
      <c r="C11" s="39">
        <f>'Fatores de Emissão'!D239</f>
        <v>6.6857900909336299E-2</v>
      </c>
    </row>
    <row r="12" spans="1:3" x14ac:dyDescent="0.35">
      <c r="B12" s="141">
        <f>SUM(B9:B11)</f>
        <v>0.78289999999999993</v>
      </c>
    </row>
    <row r="14" spans="1:3" x14ac:dyDescent="0.35">
      <c r="B14" s="5" t="s">
        <v>551</v>
      </c>
      <c r="C14" s="22" t="s">
        <v>990</v>
      </c>
    </row>
    <row r="15" spans="1:3" x14ac:dyDescent="0.35">
      <c r="A15" s="5" t="s">
        <v>550</v>
      </c>
      <c r="B15" s="5">
        <f>'Fatores de Emissão'!D241</f>
        <v>15</v>
      </c>
      <c r="C15" s="22">
        <f>B15*21*11*2</f>
        <v>6930</v>
      </c>
    </row>
    <row r="19" spans="1:7" ht="14.65" customHeight="1" x14ac:dyDescent="0.35">
      <c r="A19" s="1139" t="s">
        <v>35</v>
      </c>
      <c r="B19" s="1139" t="s">
        <v>549</v>
      </c>
      <c r="C19" s="1139" t="str">
        <f>A9</f>
        <v>% condutor veículo</v>
      </c>
      <c r="D19" s="21" t="str">
        <f>A10</f>
        <v>% passageiro veículo</v>
      </c>
      <c r="E19" s="1139" t="str">
        <f>A11</f>
        <v>% transporte público</v>
      </c>
      <c r="F19" s="1139" t="s">
        <v>40</v>
      </c>
      <c r="G19" s="1139" t="s">
        <v>40</v>
      </c>
    </row>
    <row r="20" spans="1:7" ht="39" customHeight="1" x14ac:dyDescent="0.35">
      <c r="A20" s="1140"/>
      <c r="B20" s="1140"/>
      <c r="C20" s="1140"/>
      <c r="D20" s="82"/>
      <c r="E20" s="1140"/>
      <c r="F20" s="1140"/>
      <c r="G20" s="1140"/>
    </row>
    <row r="21" spans="1:7" ht="14.5" customHeight="1" x14ac:dyDescent="0.35">
      <c r="A21" s="1176"/>
      <c r="B21" s="1176"/>
      <c r="C21" s="1176"/>
      <c r="D21" s="70"/>
      <c r="E21" s="1176"/>
      <c r="F21" s="1176"/>
      <c r="G21" s="1176"/>
    </row>
    <row r="22" spans="1:7" ht="14.5" customHeight="1" x14ac:dyDescent="0.35">
      <c r="C22" s="8" t="s">
        <v>1283</v>
      </c>
      <c r="D22" s="8" t="str">
        <f>C22</f>
        <v>emissões kg</v>
      </c>
      <c r="E22" s="8" t="str">
        <f>D22</f>
        <v>emissões kg</v>
      </c>
      <c r="F22" t="s">
        <v>992</v>
      </c>
      <c r="G22" t="s">
        <v>991</v>
      </c>
    </row>
    <row r="23" spans="1:7" ht="17" x14ac:dyDescent="0.35">
      <c r="A23" s="59" t="str">
        <f>'Dados gerais'!D33</f>
        <v>Construção ou fase preparatória</v>
      </c>
      <c r="B23" s="85">
        <f>'Dados gerais'!G33</f>
        <v>0</v>
      </c>
      <c r="C23" s="138">
        <f>$B23*B$9*$C$15*C$9</f>
        <v>0</v>
      </c>
      <c r="D23" s="138">
        <f>$B23*$C$15*C$10*B$10</f>
        <v>0</v>
      </c>
      <c r="E23" s="138">
        <f>$B23*$C$15*C$11*B$11</f>
        <v>0</v>
      </c>
      <c r="F23" s="139">
        <f>SUM(C23:E23)/1000</f>
        <v>0</v>
      </c>
      <c r="G23" s="139">
        <f>IF(VLOOKUP(A23,'Dados gerais'!$D$33:$G$35,3,FALSE)="",VLOOKUP(A23,'Fatores de Emissão'!$B$12:$E$14,3,FALSE)*F23,VLOOKUP(A23,'Dados gerais'!$D$33:$G$35,3,FALSE)*F23)</f>
        <v>0</v>
      </c>
    </row>
    <row r="24" spans="1:7" ht="17" x14ac:dyDescent="0.35">
      <c r="A24" s="59" t="str">
        <f>'Dados gerais'!D34</f>
        <v>Exploração</v>
      </c>
      <c r="B24" s="85">
        <f>'Dados gerais'!G34</f>
        <v>0</v>
      </c>
      <c r="C24" s="138">
        <f>$B24*$C$15*C$9*B$9</f>
        <v>0</v>
      </c>
      <c r="D24" s="138">
        <f>$B24*$C$15*C$10*B$10</f>
        <v>0</v>
      </c>
      <c r="E24" s="138">
        <f>$B24*$C$15*C$11*B$11</f>
        <v>0</v>
      </c>
      <c r="F24" s="139">
        <f>SUM(C24:E24)/1000</f>
        <v>0</v>
      </c>
      <c r="G24" s="139">
        <f>IF(VLOOKUP(A24,'Dados gerais'!$D$33:$G$35,3,FALSE)="",VLOOKUP(A24,'Fatores de Emissão'!$B$12:$E$14,3,FALSE)*F24,VLOOKUP(A24,'Dados gerais'!$D$33:$G$35,3,FALSE)*F24)</f>
        <v>0</v>
      </c>
    </row>
    <row r="25" spans="1:7" ht="17" x14ac:dyDescent="0.35">
      <c r="A25" s="59" t="str">
        <f>'Dados gerais'!D35</f>
        <v>Desativação</v>
      </c>
      <c r="B25" s="85">
        <f>'Dados gerais'!G35</f>
        <v>0</v>
      </c>
      <c r="C25" s="138">
        <f>$B25*$C$15*C$9*B$9</f>
        <v>0</v>
      </c>
      <c r="D25" s="138">
        <f>$B25*$C$15*C$10*B$10</f>
        <v>0</v>
      </c>
      <c r="E25" s="138">
        <f>$B25*$C$15*C$11*B$11</f>
        <v>0</v>
      </c>
      <c r="F25" s="139">
        <f>SUM(C25:E25)/1000</f>
        <v>0</v>
      </c>
      <c r="G25" s="139">
        <f>IF(VLOOKUP(A25,'Dados gerais'!$D$33:$G$35,3,FALSE)="",VLOOKUP(A25,'Fatores de Emissão'!$B$12:$E$14,3,FALSE)*F25,VLOOKUP(A25,'Dados gerais'!$D$33:$G$35,3,FALSE)*F25)</f>
        <v>0</v>
      </c>
    </row>
  </sheetData>
  <mergeCells count="6">
    <mergeCell ref="F19:F21"/>
    <mergeCell ref="G19:G21"/>
    <mergeCell ref="A19:A21"/>
    <mergeCell ref="B19:B21"/>
    <mergeCell ref="C19:C21"/>
    <mergeCell ref="E19:E2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3D3BF-E835-47E7-B6B6-A64B6B02A170}">
  <sheetPr codeName="Folha27">
    <tabColor rgb="FF005480"/>
  </sheetPr>
  <dimension ref="C11:U71"/>
  <sheetViews>
    <sheetView showGridLines="0" zoomScale="70" zoomScaleNormal="70" workbookViewId="0">
      <selection activeCell="F67" sqref="F67"/>
    </sheetView>
  </sheetViews>
  <sheetFormatPr defaultColWidth="8.81640625" defaultRowHeight="15.5" x14ac:dyDescent="0.35"/>
  <cols>
    <col min="1" max="1" width="4.26953125" style="169" customWidth="1"/>
    <col min="2" max="2" width="8.81640625" style="169"/>
    <col min="3" max="3" width="45.26953125" style="169" customWidth="1"/>
    <col min="4" max="4" width="27.26953125" style="169" customWidth="1"/>
    <col min="5" max="5" width="18.453125" style="169" customWidth="1"/>
    <col min="6" max="6" width="18.26953125" style="169" customWidth="1"/>
    <col min="7" max="7" width="18.7265625" style="169" bestFit="1" customWidth="1"/>
    <col min="8" max="8" width="18.26953125" style="169" bestFit="1" customWidth="1"/>
    <col min="9" max="9" width="18.7265625" style="169" bestFit="1" customWidth="1"/>
    <col min="10" max="10" width="18.26953125" style="169" bestFit="1" customWidth="1"/>
    <col min="11" max="11" width="2.26953125" style="169" customWidth="1"/>
    <col min="12" max="12" width="32.7265625" style="169" customWidth="1"/>
    <col min="13" max="13" width="3.26953125" style="169" customWidth="1"/>
    <col min="14" max="14" width="2.81640625" style="169" customWidth="1"/>
    <col min="15" max="15" width="2.26953125" style="169" customWidth="1"/>
    <col min="16" max="16" width="2.81640625" style="169" customWidth="1"/>
    <col min="17" max="16384" width="8.81640625" style="169"/>
  </cols>
  <sheetData>
    <row r="11" spans="3:20" ht="14.65" customHeight="1" x14ac:dyDescent="0.35">
      <c r="C11" s="259"/>
      <c r="D11" s="259"/>
      <c r="E11" s="259"/>
      <c r="F11" s="259"/>
      <c r="G11" s="259"/>
      <c r="H11" s="259"/>
      <c r="I11" s="259"/>
      <c r="J11" s="259"/>
      <c r="K11" s="259"/>
      <c r="L11" s="259"/>
      <c r="M11" s="259"/>
      <c r="N11" s="259"/>
      <c r="O11" s="259"/>
      <c r="P11" s="259"/>
      <c r="Q11" s="259"/>
      <c r="R11" s="259"/>
      <c r="S11" s="259"/>
      <c r="T11" s="259"/>
    </row>
    <row r="12" spans="3:20" s="593" customFormat="1" ht="30" customHeight="1" x14ac:dyDescent="0.35">
      <c r="C12" s="592" t="s">
        <v>999</v>
      </c>
      <c r="D12" s="214"/>
      <c r="E12" s="214"/>
      <c r="F12" s="214"/>
      <c r="G12" s="214"/>
      <c r="H12" s="214"/>
      <c r="I12" s="214"/>
      <c r="J12" s="214"/>
      <c r="K12" s="214"/>
      <c r="L12" s="214"/>
      <c r="M12" s="592"/>
      <c r="N12" s="214"/>
      <c r="O12" s="214"/>
      <c r="P12" s="214"/>
      <c r="Q12" s="214"/>
      <c r="R12" s="214"/>
      <c r="S12" s="214"/>
      <c r="T12" s="214"/>
    </row>
    <row r="13" spans="3:20" x14ac:dyDescent="0.35">
      <c r="C13" s="169" t="s">
        <v>1554</v>
      </c>
      <c r="D13" s="259"/>
      <c r="E13" s="259"/>
      <c r="F13" s="259"/>
      <c r="G13" s="259"/>
      <c r="H13" s="259"/>
      <c r="I13" s="259"/>
      <c r="J13" s="259"/>
      <c r="K13" s="259"/>
      <c r="L13" s="259"/>
      <c r="M13" s="259"/>
      <c r="N13" s="259"/>
      <c r="O13" s="259"/>
      <c r="P13" s="259"/>
      <c r="Q13" s="259"/>
      <c r="R13" s="259"/>
      <c r="S13" s="259"/>
      <c r="T13" s="259"/>
    </row>
    <row r="15" spans="3:20" ht="17.5" x14ac:dyDescent="0.45">
      <c r="C15" s="176"/>
      <c r="D15" s="1274" t="s">
        <v>1208</v>
      </c>
      <c r="E15" s="1275"/>
      <c r="F15" s="1276"/>
      <c r="G15" s="1274" t="s">
        <v>1209</v>
      </c>
      <c r="H15" s="1275"/>
      <c r="I15" s="1275"/>
      <c r="J15" s="1276"/>
      <c r="K15" s="348"/>
    </row>
    <row r="16" spans="3:20" s="357" customFormat="1" ht="31" x14ac:dyDescent="0.35">
      <c r="D16" s="597" t="str">
        <f>D45</f>
        <v>Construção ou fase preparatória</v>
      </c>
      <c r="E16" s="598" t="str">
        <f>F45</f>
        <v>Exploração</v>
      </c>
      <c r="F16" s="596" t="str">
        <f>H45</f>
        <v>Desativação</v>
      </c>
      <c r="G16" s="597" t="str">
        <f>D16</f>
        <v>Construção ou fase preparatória</v>
      </c>
      <c r="H16" s="598" t="str">
        <f>E16</f>
        <v>Exploração</v>
      </c>
      <c r="I16" s="596" t="str">
        <f>F16</f>
        <v>Desativação</v>
      </c>
      <c r="J16" s="359" t="s">
        <v>40</v>
      </c>
      <c r="K16" s="358"/>
    </row>
    <row r="17" spans="3:12" x14ac:dyDescent="0.35">
      <c r="C17" s="936" t="s">
        <v>1207</v>
      </c>
      <c r="D17" s="846">
        <f>SUM(D48:D53)</f>
        <v>0</v>
      </c>
      <c r="E17" s="847">
        <f>SUM(F48:F53)</f>
        <v>0</v>
      </c>
      <c r="F17" s="847">
        <f>SUM(H48:H53)</f>
        <v>0</v>
      </c>
      <c r="G17" s="847">
        <f>SUM(E48:E53)</f>
        <v>0</v>
      </c>
      <c r="H17" s="847">
        <f>SUM(G48:G53)</f>
        <v>0</v>
      </c>
      <c r="I17" s="847">
        <f>SUM(I48:I53)</f>
        <v>0</v>
      </c>
      <c r="J17" s="939">
        <f>SUM(G17:I17)</f>
        <v>0</v>
      </c>
      <c r="K17" s="350"/>
    </row>
    <row r="18" spans="3:12" x14ac:dyDescent="0.35">
      <c r="C18" s="936" t="s">
        <v>996</v>
      </c>
      <c r="D18" s="848">
        <f>SUM(D56:D58)</f>
        <v>0</v>
      </c>
      <c r="E18" s="848">
        <f>SUM(F56:F58)</f>
        <v>0</v>
      </c>
      <c r="F18" s="848">
        <f>SUM(H56:H58)</f>
        <v>0</v>
      </c>
      <c r="G18" s="848">
        <f>SUM(E56:E58)</f>
        <v>0</v>
      </c>
      <c r="H18" s="848">
        <f>SUM(G56:G58)</f>
        <v>0</v>
      </c>
      <c r="I18" s="848">
        <f>SUM(I56:I58)</f>
        <v>0</v>
      </c>
      <c r="J18" s="939">
        <f>SUM(G18:I18)</f>
        <v>0</v>
      </c>
      <c r="K18" s="350"/>
    </row>
    <row r="19" spans="3:12" x14ac:dyDescent="0.35">
      <c r="C19" s="936" t="s">
        <v>997</v>
      </c>
      <c r="D19" s="848">
        <f>SUM(D60:D67)</f>
        <v>0</v>
      </c>
      <c r="E19" s="848">
        <f>SUM(F60:F67)</f>
        <v>0</v>
      </c>
      <c r="F19" s="848">
        <f>SUM(H60:H67)</f>
        <v>0</v>
      </c>
      <c r="G19" s="848">
        <f>SUM(E60:E67)</f>
        <v>0</v>
      </c>
      <c r="H19" s="848">
        <f>SUM(G60:G67)</f>
        <v>0</v>
      </c>
      <c r="I19" s="848">
        <f>SUM(I60:I67)</f>
        <v>0</v>
      </c>
      <c r="J19" s="939">
        <f>SUM(G19:I19)</f>
        <v>0</v>
      </c>
      <c r="K19" s="350"/>
    </row>
    <row r="20" spans="3:12" x14ac:dyDescent="0.35">
      <c r="C20" s="349" t="s">
        <v>998</v>
      </c>
      <c r="D20" s="849">
        <f>SUM(D17:D19)</f>
        <v>0</v>
      </c>
      <c r="E20" s="850">
        <f t="shared" ref="E20:I20" si="0">SUM(E17:E19)</f>
        <v>0</v>
      </c>
      <c r="F20" s="851">
        <f t="shared" si="0"/>
        <v>0</v>
      </c>
      <c r="G20" s="849">
        <f t="shared" si="0"/>
        <v>0</v>
      </c>
      <c r="H20" s="850">
        <f t="shared" si="0"/>
        <v>0</v>
      </c>
      <c r="I20" s="851">
        <f t="shared" si="0"/>
        <v>0</v>
      </c>
      <c r="J20" s="852">
        <f>SUM(J17:J19)</f>
        <v>0</v>
      </c>
      <c r="K20" s="350"/>
    </row>
    <row r="21" spans="3:12" x14ac:dyDescent="0.35">
      <c r="C21" s="936" t="s">
        <v>1210</v>
      </c>
      <c r="D21" s="848">
        <f>D54</f>
        <v>0</v>
      </c>
      <c r="E21" s="848">
        <f>F54</f>
        <v>0</v>
      </c>
      <c r="F21" s="848">
        <f>H54</f>
        <v>0</v>
      </c>
      <c r="G21" s="848">
        <f>E54</f>
        <v>0</v>
      </c>
      <c r="H21" s="848">
        <f>G54</f>
        <v>0</v>
      </c>
      <c r="I21" s="848">
        <f>I54</f>
        <v>0</v>
      </c>
      <c r="J21" s="940">
        <f>SUM(G21:I21)</f>
        <v>0</v>
      </c>
      <c r="K21" s="355"/>
      <c r="L21" s="304"/>
    </row>
    <row r="22" spans="3:12" x14ac:dyDescent="0.35">
      <c r="C22" s="349" t="s">
        <v>1504</v>
      </c>
      <c r="D22" s="853">
        <f>D20+D21</f>
        <v>0</v>
      </c>
      <c r="E22" s="854">
        <f t="shared" ref="E22:I22" si="1">E20+E21</f>
        <v>0</v>
      </c>
      <c r="F22" s="855">
        <f t="shared" si="1"/>
        <v>0</v>
      </c>
      <c r="G22" s="853">
        <f t="shared" si="1"/>
        <v>0</v>
      </c>
      <c r="H22" s="854">
        <f t="shared" si="1"/>
        <v>0</v>
      </c>
      <c r="I22" s="855">
        <f t="shared" si="1"/>
        <v>0</v>
      </c>
      <c r="J22" s="852">
        <f>SUM(G22:I22)</f>
        <v>0</v>
      </c>
      <c r="K22" s="355"/>
      <c r="L22" s="304"/>
    </row>
    <row r="23" spans="3:12" x14ac:dyDescent="0.35">
      <c r="C23" s="936" t="s">
        <v>1211</v>
      </c>
      <c r="D23" s="937"/>
      <c r="E23" s="937"/>
      <c r="F23" s="937"/>
      <c r="G23" s="937"/>
      <c r="H23" s="937"/>
      <c r="I23" s="937"/>
      <c r="J23" s="938">
        <f>J69</f>
        <v>0</v>
      </c>
      <c r="K23" s="355"/>
      <c r="L23" s="304"/>
    </row>
    <row r="24" spans="3:12" x14ac:dyDescent="0.35">
      <c r="C24" s="176"/>
      <c r="D24" s="355"/>
      <c r="E24" s="355"/>
      <c r="F24" s="355"/>
      <c r="G24" s="355"/>
      <c r="H24" s="355"/>
      <c r="I24" s="355"/>
      <c r="J24" s="355"/>
      <c r="K24" s="355"/>
      <c r="L24" s="304"/>
    </row>
    <row r="25" spans="3:12" x14ac:dyDescent="0.35">
      <c r="C25" s="356"/>
      <c r="D25" s="355"/>
      <c r="E25" s="355"/>
      <c r="F25" s="355"/>
      <c r="G25" s="355"/>
      <c r="H25" s="355"/>
      <c r="I25" s="355"/>
      <c r="J25" s="355"/>
      <c r="K25" s="355"/>
      <c r="L25" s="304"/>
    </row>
    <row r="26" spans="3:12" x14ac:dyDescent="0.35">
      <c r="C26" s="356"/>
      <c r="D26" s="355"/>
      <c r="E26" s="355"/>
      <c r="F26" s="355"/>
      <c r="G26" s="355"/>
      <c r="H26" s="355"/>
      <c r="I26" s="355"/>
      <c r="J26" s="355"/>
      <c r="K26" s="355"/>
      <c r="L26" s="304"/>
    </row>
    <row r="27" spans="3:12" x14ac:dyDescent="0.35">
      <c r="C27" s="356"/>
      <c r="D27" s="355"/>
      <c r="E27" s="355"/>
      <c r="F27" s="355"/>
      <c r="G27" s="355"/>
      <c r="H27" s="355"/>
      <c r="I27" s="355"/>
      <c r="J27" s="355"/>
      <c r="K27" s="355"/>
      <c r="L27" s="304"/>
    </row>
    <row r="28" spans="3:12" x14ac:dyDescent="0.35">
      <c r="C28" s="356"/>
      <c r="D28" s="355"/>
      <c r="E28" s="355"/>
      <c r="F28" s="355"/>
      <c r="G28" s="355"/>
      <c r="H28" s="355"/>
      <c r="I28" s="355"/>
      <c r="J28" s="355"/>
      <c r="K28" s="355"/>
      <c r="L28" s="304"/>
    </row>
    <row r="29" spans="3:12" x14ac:dyDescent="0.35">
      <c r="C29" s="356"/>
      <c r="D29" s="355"/>
      <c r="E29" s="355"/>
      <c r="F29" s="355"/>
      <c r="G29" s="355"/>
      <c r="H29" s="355"/>
      <c r="I29" s="355"/>
      <c r="J29" s="355"/>
      <c r="K29" s="355"/>
      <c r="L29" s="304"/>
    </row>
    <row r="30" spans="3:12" x14ac:dyDescent="0.35">
      <c r="C30" s="356"/>
      <c r="D30" s="355"/>
      <c r="E30" s="355"/>
      <c r="F30" s="355"/>
      <c r="G30" s="355"/>
      <c r="H30" s="355"/>
      <c r="I30" s="355"/>
      <c r="J30" s="355"/>
      <c r="K30" s="355"/>
      <c r="L30" s="304"/>
    </row>
    <row r="31" spans="3:12" x14ac:dyDescent="0.35">
      <c r="C31" s="356"/>
      <c r="D31" s="355"/>
      <c r="E31" s="355"/>
      <c r="F31" s="355"/>
      <c r="G31" s="355"/>
      <c r="H31" s="355"/>
      <c r="I31" s="355"/>
      <c r="J31" s="355"/>
      <c r="K31" s="355"/>
      <c r="L31" s="304"/>
    </row>
    <row r="32" spans="3:12" x14ac:dyDescent="0.35">
      <c r="C32" s="356"/>
      <c r="D32" s="355"/>
      <c r="E32" s="355"/>
      <c r="F32" s="355"/>
      <c r="G32" s="355"/>
      <c r="H32" s="355"/>
      <c r="I32" s="355"/>
      <c r="J32" s="355"/>
      <c r="K32" s="355"/>
      <c r="L32" s="304"/>
    </row>
    <row r="33" spans="3:21" x14ac:dyDescent="0.35">
      <c r="C33" s="356"/>
      <c r="D33" s="355"/>
      <c r="E33" s="355"/>
      <c r="F33" s="355"/>
      <c r="G33" s="355"/>
      <c r="H33" s="355"/>
      <c r="I33" s="355"/>
      <c r="J33" s="355"/>
      <c r="K33" s="355"/>
      <c r="L33" s="304"/>
    </row>
    <row r="34" spans="3:21" x14ac:dyDescent="0.35">
      <c r="C34" s="356"/>
      <c r="D34" s="355"/>
      <c r="E34" s="355"/>
      <c r="F34" s="355"/>
      <c r="G34" s="355"/>
      <c r="H34" s="355"/>
      <c r="I34" s="355"/>
      <c r="J34" s="355"/>
      <c r="K34" s="355"/>
      <c r="L34" s="304"/>
    </row>
    <row r="35" spans="3:21" x14ac:dyDescent="0.35">
      <c r="C35" s="356"/>
      <c r="D35" s="355"/>
      <c r="E35" s="355"/>
      <c r="F35" s="355"/>
      <c r="G35" s="355"/>
      <c r="H35" s="355"/>
      <c r="I35" s="355"/>
      <c r="J35" s="355"/>
      <c r="K35" s="355"/>
      <c r="L35" s="304"/>
    </row>
    <row r="36" spans="3:21" x14ac:dyDescent="0.35">
      <c r="C36" s="356"/>
      <c r="D36" s="355"/>
      <c r="E36" s="355"/>
      <c r="F36" s="355"/>
      <c r="G36" s="355"/>
      <c r="H36" s="355"/>
      <c r="I36" s="355"/>
      <c r="J36" s="355"/>
      <c r="K36" s="355"/>
      <c r="L36" s="304"/>
    </row>
    <row r="37" spans="3:21" x14ac:dyDescent="0.35">
      <c r="C37" s="356"/>
      <c r="D37" s="355"/>
      <c r="E37" s="355"/>
      <c r="F37" s="355"/>
      <c r="G37" s="355"/>
      <c r="H37" s="355"/>
      <c r="I37" s="355"/>
      <c r="J37" s="355"/>
      <c r="K37" s="355"/>
      <c r="L37" s="304"/>
    </row>
    <row r="38" spans="3:21" x14ac:dyDescent="0.35">
      <c r="C38" s="356"/>
      <c r="D38" s="355"/>
      <c r="E38" s="355"/>
      <c r="F38" s="355"/>
      <c r="G38" s="355"/>
      <c r="H38" s="355"/>
      <c r="I38" s="355"/>
      <c r="J38" s="355"/>
      <c r="K38" s="355"/>
      <c r="L38" s="304"/>
    </row>
    <row r="39" spans="3:21" x14ac:dyDescent="0.35">
      <c r="C39" s="356"/>
      <c r="D39" s="355"/>
      <c r="E39" s="355"/>
      <c r="F39" s="355"/>
      <c r="G39" s="355"/>
      <c r="H39" s="355"/>
      <c r="I39" s="355"/>
      <c r="J39" s="355"/>
      <c r="K39" s="355"/>
      <c r="L39" s="304"/>
    </row>
    <row r="40" spans="3:21" x14ac:dyDescent="0.35">
      <c r="C40" s="356"/>
      <c r="D40" s="355"/>
      <c r="E40" s="355"/>
      <c r="F40" s="355"/>
      <c r="G40" s="355"/>
      <c r="H40" s="355"/>
      <c r="I40" s="355"/>
      <c r="J40" s="355"/>
      <c r="K40" s="355"/>
      <c r="L40" s="304"/>
    </row>
    <row r="41" spans="3:21" s="593" customFormat="1" ht="30" customHeight="1" x14ac:dyDescent="0.35">
      <c r="C41" s="592" t="s">
        <v>1000</v>
      </c>
      <c r="D41" s="594"/>
      <c r="E41" s="594"/>
      <c r="F41" s="594"/>
      <c r="G41" s="594"/>
      <c r="H41" s="594"/>
      <c r="I41" s="594"/>
      <c r="J41" s="594"/>
      <c r="K41" s="594"/>
      <c r="L41" s="214"/>
      <c r="N41" s="595"/>
    </row>
    <row r="44" spans="3:21" x14ac:dyDescent="0.35">
      <c r="D44" s="1277" t="s">
        <v>691</v>
      </c>
      <c r="E44" s="1278"/>
      <c r="F44" s="1278"/>
      <c r="G44" s="1278"/>
      <c r="H44" s="1278"/>
      <c r="I44" s="1279"/>
      <c r="J44" s="1160" t="s">
        <v>1503</v>
      </c>
      <c r="K44" s="351"/>
      <c r="L44" s="1273"/>
    </row>
    <row r="45" spans="3:21" ht="19.899999999999999" customHeight="1" x14ac:dyDescent="0.35">
      <c r="D45" s="1277" t="str">
        <f>'Fatores de Emissão'!B12</f>
        <v>Construção ou fase preparatória</v>
      </c>
      <c r="E45" s="1279"/>
      <c r="F45" s="1277" t="str">
        <f>'Fatores de Emissão'!B13</f>
        <v>Exploração</v>
      </c>
      <c r="G45" s="1279"/>
      <c r="H45" s="1277" t="str">
        <f>'Fatores de Emissão'!B14</f>
        <v>Desativação</v>
      </c>
      <c r="I45" s="1279"/>
      <c r="J45" s="1175"/>
      <c r="K45" s="351"/>
      <c r="L45" s="1273"/>
      <c r="N45" s="259"/>
      <c r="O45" s="259"/>
      <c r="P45" s="259"/>
      <c r="Q45" s="259"/>
      <c r="R45" s="259"/>
      <c r="S45" s="259"/>
      <c r="T45" s="259"/>
      <c r="U45" s="259"/>
    </row>
    <row r="46" spans="3:21" ht="19.899999999999999" customHeight="1" x14ac:dyDescent="0.35">
      <c r="D46" s="599" t="s">
        <v>1213</v>
      </c>
      <c r="E46" s="257" t="s">
        <v>1002</v>
      </c>
      <c r="F46" s="599" t="s">
        <v>1213</v>
      </c>
      <c r="G46" s="257" t="s">
        <v>1002</v>
      </c>
      <c r="H46" s="599" t="s">
        <v>1213</v>
      </c>
      <c r="I46" s="257" t="s">
        <v>1002</v>
      </c>
      <c r="J46" s="1161"/>
      <c r="K46" s="351"/>
      <c r="L46" s="1273"/>
      <c r="N46" s="259"/>
      <c r="O46" s="259"/>
      <c r="P46" s="259"/>
      <c r="Q46" s="259"/>
      <c r="R46" s="259"/>
      <c r="S46" s="259"/>
      <c r="T46" s="259"/>
      <c r="U46" s="259"/>
    </row>
    <row r="47" spans="3:21" x14ac:dyDescent="0.35">
      <c r="C47" s="588" t="s">
        <v>1214</v>
      </c>
      <c r="D47" s="590"/>
      <c r="E47" s="590"/>
      <c r="F47" s="590"/>
      <c r="G47" s="590"/>
      <c r="H47" s="590"/>
      <c r="I47" s="590"/>
      <c r="J47" s="591">
        <f>SUM(J48:J53)</f>
        <v>0</v>
      </c>
      <c r="K47" s="353" t="e">
        <f t="shared" ref="K47" si="2">J47/$J$20</f>
        <v>#DIV/0!</v>
      </c>
      <c r="L47" s="352"/>
      <c r="N47" s="259"/>
      <c r="O47" s="259"/>
      <c r="P47" s="259"/>
      <c r="Q47" s="259"/>
      <c r="R47" s="259"/>
      <c r="S47" s="259"/>
      <c r="T47" s="259"/>
      <c r="U47" s="259"/>
    </row>
    <row r="48" spans="3:21" ht="31" x14ac:dyDescent="0.35">
      <c r="C48" s="587" t="s">
        <v>321</v>
      </c>
      <c r="D48" s="856">
        <f>'Combustão Estacionária'!D400</f>
        <v>0</v>
      </c>
      <c r="E48" s="856">
        <f>'Combustão Estacionária'!D405</f>
        <v>0</v>
      </c>
      <c r="F48" s="856">
        <f>'Combustão Estacionária'!E400</f>
        <v>0</v>
      </c>
      <c r="G48" s="856">
        <f>'Combustão Estacionária'!E405</f>
        <v>0</v>
      </c>
      <c r="H48" s="856">
        <f>'Combustão Estacionária'!F400</f>
        <v>0</v>
      </c>
      <c r="I48" s="856">
        <f>'Combustão Estacionária'!F405</f>
        <v>0</v>
      </c>
      <c r="J48" s="857">
        <f>E48+G48+I48</f>
        <v>0</v>
      </c>
      <c r="K48" s="353" t="e">
        <f>J48/$J$20</f>
        <v>#DIV/0!</v>
      </c>
      <c r="L48" s="212" t="str">
        <f>IF(Triagem!$C$29="","ERRO: Não Indicou na TRIAGEM se este campo é relevante para si",IF(Triagem!$C$29="Sim",IF('Combustão Estacionária'!G405="", "ERRO: folha Combustão Estacionária por preencher", IF('Combustão Estacionária'!G405=0,"ERRO: folha Combustão Estacionária por preencher","")), ""))</f>
        <v>ERRO: Não Indicou na TRIAGEM se este campo é relevante para si</v>
      </c>
      <c r="N48" s="259"/>
      <c r="O48" s="259"/>
      <c r="P48" s="259"/>
      <c r="Q48" s="259"/>
      <c r="R48" s="259"/>
      <c r="S48" s="259"/>
      <c r="T48" s="259"/>
      <c r="U48" s="259"/>
    </row>
    <row r="49" spans="3:21" ht="31" x14ac:dyDescent="0.35">
      <c r="C49" s="587" t="s">
        <v>191</v>
      </c>
      <c r="D49" s="856">
        <f>'Combustão Móvel'!E560</f>
        <v>0</v>
      </c>
      <c r="E49" s="856">
        <f>'Combustão Móvel'!E569</f>
        <v>0</v>
      </c>
      <c r="F49" s="856">
        <f>'Combustão Móvel'!F560</f>
        <v>0</v>
      </c>
      <c r="G49" s="856">
        <f>'Combustão Móvel'!F569</f>
        <v>0</v>
      </c>
      <c r="H49" s="856">
        <f>'Combustão Móvel'!G560</f>
        <v>0</v>
      </c>
      <c r="I49" s="856">
        <f>'Combustão Móvel'!G569</f>
        <v>0</v>
      </c>
      <c r="J49" s="857">
        <f>E49+G49+I49</f>
        <v>0</v>
      </c>
      <c r="K49" s="353" t="e">
        <f t="shared" ref="K49:K69" si="3">J49/$J$20</f>
        <v>#DIV/0!</v>
      </c>
      <c r="L49" s="212" t="str">
        <f>IF(Triagem!$C$29="","ERRO: Não Indicou na TRIAGEM se este campo é relevante para si",IF(Triagem!$C$29="Sim",IF('Combustão Móvel'!$H$575="", "ERRO: folha Combustão Móvel por preencher", IF('Combustão Móvel'!$H$575=0,"ERRO: folha Combustão Móvel por preencher","")), ""))</f>
        <v>ERRO: Não Indicou na TRIAGEM se este campo é relevante para si</v>
      </c>
      <c r="N49" s="259"/>
      <c r="O49" s="259"/>
      <c r="P49" s="259"/>
      <c r="Q49" s="259"/>
      <c r="R49" s="259"/>
      <c r="S49" s="259"/>
      <c r="T49" s="259"/>
      <c r="U49" s="259"/>
    </row>
    <row r="50" spans="3:21" ht="31" x14ac:dyDescent="0.35">
      <c r="C50" s="587" t="s">
        <v>190</v>
      </c>
      <c r="D50" s="856">
        <f>'Emissões Fugitivas'!E189</f>
        <v>0</v>
      </c>
      <c r="E50" s="856">
        <f>'Emissões Fugitivas'!E190</f>
        <v>0</v>
      </c>
      <c r="F50" s="856">
        <f>'Emissões Fugitivas'!F189</f>
        <v>0</v>
      </c>
      <c r="G50" s="856">
        <f>'Emissões Fugitivas'!F190</f>
        <v>0</v>
      </c>
      <c r="H50" s="856">
        <f>'Emissões Fugitivas'!G189</f>
        <v>0</v>
      </c>
      <c r="I50" s="856">
        <f>'Emissões Fugitivas'!G190</f>
        <v>0</v>
      </c>
      <c r="J50" s="857">
        <f>E50+G50+I50</f>
        <v>0</v>
      </c>
      <c r="K50" s="353" t="e">
        <f t="shared" si="3"/>
        <v>#DIV/0!</v>
      </c>
      <c r="L50" s="212" t="str">
        <f>IF(Triagem!$C$31="","ERRO: Não Indicou na TRIAGEM se este campo é relevante para si",IF(Triagem!$C$31="Sim",IF('Emissões Fugitivas'!H190="", "ERRO: folha Emissões Fugitivas por preencher", IF('Emissões Fugitivas'!H190=0,"ERRO: folha Emissões Fugitivas por preencher","")), ""))</f>
        <v>ERRO: Não Indicou na TRIAGEM se este campo é relevante para si</v>
      </c>
      <c r="N50" s="259"/>
      <c r="O50" s="259"/>
      <c r="P50" s="259"/>
      <c r="Q50" s="259"/>
      <c r="R50" s="259"/>
      <c r="S50" s="259"/>
      <c r="T50" s="259"/>
      <c r="U50" s="259"/>
    </row>
    <row r="51" spans="3:21" ht="31" x14ac:dyDescent="0.35">
      <c r="C51" s="587" t="s">
        <v>320</v>
      </c>
      <c r="D51" s="856">
        <f>'Processos Industriais'!F142</f>
        <v>0</v>
      </c>
      <c r="E51" s="856">
        <f>'Processos Industriais'!F143</f>
        <v>0</v>
      </c>
      <c r="F51" s="856">
        <f>'Processos Industriais'!G142</f>
        <v>0</v>
      </c>
      <c r="G51" s="856">
        <f>'Processos Industriais'!G143</f>
        <v>0</v>
      </c>
      <c r="H51" s="856">
        <f>'Processos Industriais'!H142</f>
        <v>0</v>
      </c>
      <c r="I51" s="856">
        <f>'Processos Industriais'!H143</f>
        <v>0</v>
      </c>
      <c r="J51" s="857">
        <f>E51+G51+I51</f>
        <v>0</v>
      </c>
      <c r="K51" s="353" t="e">
        <f t="shared" si="3"/>
        <v>#DIV/0!</v>
      </c>
      <c r="L51" s="212" t="str">
        <f>IF(Triagem!$C$32="","ERRO: Não Indicou na TRIAGEM se este campo é relevante para si",IF(Triagem!$C$32="Sim",IF('Processos Industriais'!I143="", "ERRO: folha Emissões de Processos Industriais por preencher", IF('Processos Industriais'!I143=0,"ERRO: folha Emissões de Processos Industriais por preencher","")), ""))</f>
        <v>ERRO: Não Indicou na TRIAGEM se este campo é relevante para si</v>
      </c>
      <c r="N51" s="259"/>
      <c r="O51" s="259"/>
      <c r="P51" s="259"/>
      <c r="Q51" s="259"/>
      <c r="R51" s="259"/>
      <c r="S51" s="259"/>
      <c r="T51" s="259"/>
      <c r="U51" s="259"/>
    </row>
    <row r="52" spans="3:21" ht="31" x14ac:dyDescent="0.35">
      <c r="C52" s="586" t="s">
        <v>1100</v>
      </c>
      <c r="D52" s="856">
        <f>'Outras emissões de processo'!F399</f>
        <v>0</v>
      </c>
      <c r="E52" s="856">
        <f>'Outras emissões de processo'!F409</f>
        <v>0</v>
      </c>
      <c r="F52" s="856">
        <f>'Outras emissões de processo'!G399</f>
        <v>0</v>
      </c>
      <c r="G52" s="856">
        <f>'Outras emissões de processo'!G409</f>
        <v>0</v>
      </c>
      <c r="H52" s="856">
        <f>'Outras emissões de processo'!H399</f>
        <v>0</v>
      </c>
      <c r="I52" s="856">
        <f>'Outras emissões de processo'!H409</f>
        <v>0</v>
      </c>
      <c r="J52" s="857">
        <f t="shared" ref="J52" si="4">E52+G52+I52</f>
        <v>0</v>
      </c>
      <c r="K52" s="353" t="e">
        <f t="shared" si="3"/>
        <v>#DIV/0!</v>
      </c>
      <c r="L52" s="212" t="str">
        <f>IF(Triagem!$C$33="","ERRO: Não Indicou na TRIAGEM se este campo é relevante para si",IF(Triagem!$C$33="Sim",IF(AND('Outras emissões de processo'!I408="",'Outras emissões de processo'!I408=0),"ERRO: folha Emissões de Outras Emissões de Processo por preencher","")))</f>
        <v>ERRO: Não Indicou na TRIAGEM se este campo é relevante para si</v>
      </c>
      <c r="N52" s="259"/>
      <c r="O52" s="259"/>
      <c r="P52" s="259"/>
      <c r="Q52" s="259"/>
      <c r="R52" s="259"/>
      <c r="S52" s="259"/>
      <c r="T52" s="259"/>
      <c r="U52" s="259"/>
    </row>
    <row r="53" spans="3:21" ht="31" x14ac:dyDescent="0.35">
      <c r="C53" s="587" t="s">
        <v>946</v>
      </c>
      <c r="D53" s="856">
        <f>'Outras emissões de processo'!F404</f>
        <v>0</v>
      </c>
      <c r="E53" s="856">
        <f>'Outras emissões de processo'!F414</f>
        <v>0</v>
      </c>
      <c r="F53" s="856">
        <f>'Outras emissões de processo'!G404</f>
        <v>0</v>
      </c>
      <c r="G53" s="856">
        <f>'Outras emissões de processo'!G414</f>
        <v>0</v>
      </c>
      <c r="H53" s="856">
        <f>'Outras emissões de processo'!H404</f>
        <v>0</v>
      </c>
      <c r="I53" s="856">
        <f>'Outras emissões de processo'!H414</f>
        <v>0</v>
      </c>
      <c r="J53" s="857">
        <f>E53+G53+I53</f>
        <v>0</v>
      </c>
      <c r="K53" s="353" t="e">
        <f t="shared" si="3"/>
        <v>#DIV/0!</v>
      </c>
      <c r="L53" s="212" t="str">
        <f>L52</f>
        <v>ERRO: Não Indicou na TRIAGEM se este campo é relevante para si</v>
      </c>
      <c r="N53" s="259"/>
      <c r="O53" s="259"/>
      <c r="P53" s="259"/>
      <c r="Q53" s="259"/>
      <c r="R53" s="259"/>
      <c r="S53" s="259"/>
      <c r="T53" s="259"/>
      <c r="U53" s="259"/>
    </row>
    <row r="54" spans="3:21" ht="31" x14ac:dyDescent="0.35">
      <c r="C54" s="603" t="s">
        <v>1099</v>
      </c>
      <c r="D54" s="858">
        <f>'Outras emissões de processo'!F400</f>
        <v>0</v>
      </c>
      <c r="E54" s="858">
        <f>'Outras emissões de processo'!F410</f>
        <v>0</v>
      </c>
      <c r="F54" s="858">
        <f>'Outras emissões de processo'!G400</f>
        <v>0</v>
      </c>
      <c r="G54" s="858">
        <f>'Outras emissões de processo'!G410</f>
        <v>0</v>
      </c>
      <c r="H54" s="858">
        <f>'Outras emissões de processo'!H400</f>
        <v>0</v>
      </c>
      <c r="I54" s="858">
        <f>'Outras emissões de processo'!H410</f>
        <v>0</v>
      </c>
      <c r="J54" s="859">
        <f>E54+G54+I54</f>
        <v>0</v>
      </c>
      <c r="K54" s="353" t="e">
        <f t="shared" si="3"/>
        <v>#DIV/0!</v>
      </c>
      <c r="L54" s="212" t="str">
        <f>L53</f>
        <v>ERRO: Não Indicou na TRIAGEM se este campo é relevante para si</v>
      </c>
      <c r="N54" s="259"/>
      <c r="O54" s="259"/>
      <c r="P54" s="259"/>
      <c r="Q54" s="259"/>
      <c r="R54" s="259"/>
      <c r="S54" s="259"/>
      <c r="T54" s="259"/>
      <c r="U54" s="259"/>
    </row>
    <row r="55" spans="3:21" x14ac:dyDescent="0.35">
      <c r="C55" s="588" t="s">
        <v>988</v>
      </c>
      <c r="D55" s="860"/>
      <c r="E55" s="860"/>
      <c r="F55" s="860"/>
      <c r="G55" s="860"/>
      <c r="H55" s="860"/>
      <c r="I55" s="860"/>
      <c r="J55" s="861">
        <f>J56+J57+J58</f>
        <v>0</v>
      </c>
      <c r="K55" s="353" t="e">
        <f t="shared" si="3"/>
        <v>#DIV/0!</v>
      </c>
      <c r="L55" s="212"/>
      <c r="N55" s="259"/>
      <c r="O55" s="259"/>
      <c r="P55" s="259"/>
      <c r="Q55" s="259"/>
      <c r="R55" s="259"/>
      <c r="S55" s="259"/>
      <c r="T55" s="259"/>
      <c r="U55" s="259"/>
    </row>
    <row r="56" spans="3:21" ht="31" x14ac:dyDescent="0.35">
      <c r="C56" s="587" t="s">
        <v>1003</v>
      </c>
      <c r="D56" s="856">
        <f>'Energia Elétrica e térmica'!E260-'Energia Elétrica e térmica'!E261</f>
        <v>0</v>
      </c>
      <c r="E56" s="856">
        <f>'Energia Elétrica e térmica'!E267</f>
        <v>0</v>
      </c>
      <c r="F56" s="856">
        <f>'Energia Elétrica e térmica'!F260-'Energia Elétrica e térmica'!F261</f>
        <v>0</v>
      </c>
      <c r="G56" s="856">
        <f>'Energia Elétrica e térmica'!F267</f>
        <v>0</v>
      </c>
      <c r="H56" s="856">
        <f>'Energia Elétrica e térmica'!G260-'Energia Elétrica e térmica'!G261</f>
        <v>0</v>
      </c>
      <c r="I56" s="856">
        <f>'Energia Elétrica e térmica'!G267</f>
        <v>0</v>
      </c>
      <c r="J56" s="857">
        <f>E56+G56+I56</f>
        <v>0</v>
      </c>
      <c r="K56" s="353" t="e">
        <f t="shared" si="3"/>
        <v>#DIV/0!</v>
      </c>
      <c r="L56" s="212" t="str">
        <f>IF(Triagem!$C$34="","ERRO: Não Indicou na TRIAGEM se este campo é relevante para si",IF(Triagem!$C$34="Sim",IF(OR('Energia Elétrica e térmica'!H266="",'Energia Elétrica e térmica'!H266=0),"ERRO: folha Emissões de Energia Elétrica e Térmica por preencher",""),""))</f>
        <v>ERRO: Não Indicou na TRIAGEM se este campo é relevante para si</v>
      </c>
      <c r="N56" s="259"/>
      <c r="O56" s="259"/>
      <c r="P56" s="259"/>
      <c r="Q56" s="259"/>
      <c r="R56" s="259"/>
      <c r="S56" s="259"/>
      <c r="T56" s="259"/>
      <c r="U56" s="259"/>
    </row>
    <row r="57" spans="3:21" ht="31" x14ac:dyDescent="0.35">
      <c r="C57" s="587" t="s">
        <v>1005</v>
      </c>
      <c r="D57" s="856">
        <f>'Energia Elétrica e térmica'!E261</f>
        <v>0</v>
      </c>
      <c r="E57" s="856">
        <f>'Energia Elétrica e térmica'!E268</f>
        <v>0</v>
      </c>
      <c r="F57" s="856">
        <f>'Energia Elétrica e térmica'!F261</f>
        <v>0</v>
      </c>
      <c r="G57" s="856">
        <f>'Energia Elétrica e térmica'!F268</f>
        <v>0</v>
      </c>
      <c r="H57" s="856">
        <f>'Energia Elétrica e térmica'!G261</f>
        <v>0</v>
      </c>
      <c r="I57" s="856">
        <f>'Energia Elétrica e térmica'!G268</f>
        <v>0</v>
      </c>
      <c r="J57" s="857">
        <f t="shared" ref="J57:J58" si="5">E57+G57+I57</f>
        <v>0</v>
      </c>
      <c r="K57" s="353" t="e">
        <f t="shared" si="3"/>
        <v>#DIV/0!</v>
      </c>
      <c r="L57" s="632" t="str">
        <f>L49</f>
        <v>ERRO: Não Indicou na TRIAGEM se este campo é relevante para si</v>
      </c>
      <c r="N57" s="259"/>
      <c r="O57" s="259"/>
      <c r="P57" s="259"/>
      <c r="Q57" s="259"/>
      <c r="R57" s="259"/>
      <c r="S57" s="259"/>
      <c r="T57" s="259"/>
      <c r="U57" s="259"/>
    </row>
    <row r="58" spans="3:21" ht="31" x14ac:dyDescent="0.35">
      <c r="C58" s="587" t="s">
        <v>1004</v>
      </c>
      <c r="D58" s="856">
        <f>'Energia Elétrica e térmica'!E262</f>
        <v>0</v>
      </c>
      <c r="E58" s="856">
        <f>'Energia Elétrica e térmica'!E269</f>
        <v>0</v>
      </c>
      <c r="F58" s="856">
        <f>'Energia Elétrica e térmica'!F262</f>
        <v>0</v>
      </c>
      <c r="G58" s="856">
        <f>'Energia Elétrica e térmica'!F269</f>
        <v>0</v>
      </c>
      <c r="H58" s="856">
        <f>'Energia Elétrica e térmica'!G262</f>
        <v>0</v>
      </c>
      <c r="I58" s="856">
        <f>'Energia Elétrica e térmica'!G269</f>
        <v>0</v>
      </c>
      <c r="J58" s="857">
        <f t="shared" si="5"/>
        <v>0</v>
      </c>
      <c r="K58" s="353" t="e">
        <f t="shared" si="3"/>
        <v>#DIV/0!</v>
      </c>
      <c r="L58" s="632" t="str">
        <f>L56</f>
        <v>ERRO: Não Indicou na TRIAGEM se este campo é relevante para si</v>
      </c>
      <c r="N58" s="259"/>
      <c r="O58" s="259"/>
      <c r="P58" s="259"/>
      <c r="Q58" s="259"/>
      <c r="R58" s="259"/>
      <c r="S58" s="259"/>
      <c r="T58" s="259"/>
      <c r="U58" s="259"/>
    </row>
    <row r="59" spans="3:21" x14ac:dyDescent="0.35">
      <c r="C59" s="588" t="s">
        <v>614</v>
      </c>
      <c r="D59" s="860"/>
      <c r="E59" s="860"/>
      <c r="F59" s="860"/>
      <c r="G59" s="860"/>
      <c r="H59" s="860"/>
      <c r="I59" s="860"/>
      <c r="J59" s="861">
        <f>SUM(J60:J67)</f>
        <v>0</v>
      </c>
      <c r="K59" s="353" t="e">
        <f t="shared" si="3"/>
        <v>#DIV/0!</v>
      </c>
      <c r="L59" s="212"/>
      <c r="N59" s="259"/>
      <c r="O59" s="259"/>
      <c r="P59" s="259"/>
      <c r="Q59" s="259"/>
      <c r="R59" s="259"/>
      <c r="S59" s="259"/>
      <c r="T59" s="259"/>
      <c r="U59" s="259"/>
    </row>
    <row r="60" spans="3:21" ht="31" x14ac:dyDescent="0.35">
      <c r="C60" s="586" t="s">
        <v>1285</v>
      </c>
      <c r="D60" s="856">
        <f>'Aquisição de bens e serviços'!F137</f>
        <v>0</v>
      </c>
      <c r="E60" s="856">
        <f>'Aquisição de bens e serviços'!F138</f>
        <v>0</v>
      </c>
      <c r="F60" s="856">
        <f>'Aquisição de bens e serviços'!G137</f>
        <v>0</v>
      </c>
      <c r="G60" s="856">
        <f>'Aquisição de bens e serviços'!G138</f>
        <v>0</v>
      </c>
      <c r="H60" s="856">
        <f>'Aquisição de bens e serviços'!H137</f>
        <v>0</v>
      </c>
      <c r="I60" s="856">
        <f>'Aquisição de bens e serviços'!H138</f>
        <v>0</v>
      </c>
      <c r="J60" s="857">
        <f t="shared" ref="J60:J67" si="6">E60+G60+I60</f>
        <v>0</v>
      </c>
      <c r="K60" s="353" t="e">
        <f t="shared" si="3"/>
        <v>#DIV/0!</v>
      </c>
      <c r="L60" s="212" t="str">
        <f>IF(Triagem!$C$36="","ERRO: Não Indicou na TRIAGEM se este campo é relevante para si",IF(Triagem!$C$36="Sim",IF(OR('Aquisição de bens e serviços'!I138="",'Aquisição de bens e serviços'!I138=0),"ERRO: folha Aquisição de Bens e Serviços por preencher",""),""))</f>
        <v>ERRO: Não Indicou na TRIAGEM se este campo é relevante para si</v>
      </c>
      <c r="N60" s="259"/>
      <c r="O60" s="259"/>
      <c r="P60" s="259"/>
      <c r="Q60" s="259"/>
      <c r="R60" s="259"/>
      <c r="S60" s="259"/>
      <c r="T60" s="259"/>
      <c r="U60" s="259"/>
    </row>
    <row r="61" spans="3:21" ht="31" x14ac:dyDescent="0.35">
      <c r="C61" s="586" t="s">
        <v>615</v>
      </c>
      <c r="D61" s="856">
        <f>'Combustão Estacionária'!D402</f>
        <v>0</v>
      </c>
      <c r="E61" s="856">
        <f>'Combustão Estacionária'!D407</f>
        <v>0</v>
      </c>
      <c r="F61" s="856">
        <f>'Combustão Estacionária'!E402</f>
        <v>0</v>
      </c>
      <c r="G61" s="856">
        <f>'Combustão Estacionária'!E407</f>
        <v>0</v>
      </c>
      <c r="H61" s="856">
        <f>'Combustão Estacionária'!F402</f>
        <v>0</v>
      </c>
      <c r="I61" s="856">
        <f>'Combustão Estacionária'!F407</f>
        <v>0</v>
      </c>
      <c r="J61" s="857">
        <f t="shared" si="6"/>
        <v>0</v>
      </c>
      <c r="K61" s="353" t="e">
        <f t="shared" si="3"/>
        <v>#DIV/0!</v>
      </c>
      <c r="L61" s="212"/>
      <c r="N61" s="259"/>
      <c r="O61" s="259"/>
      <c r="P61" s="259"/>
      <c r="Q61" s="259"/>
      <c r="R61" s="259"/>
      <c r="S61" s="259"/>
      <c r="T61" s="259"/>
      <c r="U61" s="259"/>
    </row>
    <row r="62" spans="3:21" ht="31" x14ac:dyDescent="0.35">
      <c r="C62" s="587" t="s">
        <v>717</v>
      </c>
      <c r="D62" s="856">
        <f>'Combustão Móvel'!E563</f>
        <v>0</v>
      </c>
      <c r="E62" s="856">
        <f>'Combustão Móvel'!E572</f>
        <v>0</v>
      </c>
      <c r="F62" s="856">
        <f>'Combustão Móvel'!F563</f>
        <v>0</v>
      </c>
      <c r="G62" s="856">
        <f>'Combustão Móvel'!F572</f>
        <v>0</v>
      </c>
      <c r="H62" s="856">
        <f>'Combustão Móvel'!G563</f>
        <v>0</v>
      </c>
      <c r="I62" s="856">
        <f>'Combustão Móvel'!G572</f>
        <v>0</v>
      </c>
      <c r="J62" s="857">
        <f t="shared" si="6"/>
        <v>0</v>
      </c>
      <c r="K62" s="353" t="e">
        <f t="shared" si="3"/>
        <v>#DIV/0!</v>
      </c>
      <c r="L62" s="212" t="str">
        <f>IF(Triagem!$C$30="","ERRO: Não Indicou na TRIAGEM se este campo é relevante para si",IF(Triagem!$C$30="Sim",IF('Combustão Móvel'!$H$575="", "ERRO: folha Combustão Móvel por preencher", IF('Combustão Móvel'!$H$575=0,"ERRO: folha Combustão Móvel por preencher","")), ""))</f>
        <v>ERRO: Não Indicou na TRIAGEM se este campo é relevante para si</v>
      </c>
      <c r="N62" s="259"/>
      <c r="O62" s="259"/>
      <c r="P62" s="259"/>
      <c r="Q62" s="259"/>
      <c r="R62" s="259"/>
      <c r="S62" s="259"/>
      <c r="T62" s="259"/>
      <c r="U62" s="259"/>
    </row>
    <row r="63" spans="3:21" ht="31" x14ac:dyDescent="0.35">
      <c r="C63" s="587" t="s">
        <v>965</v>
      </c>
      <c r="D63" s="856">
        <f>'Outras emissões de processo'!F405</f>
        <v>0</v>
      </c>
      <c r="E63" s="856">
        <f>'Outras emissões de processo'!F415</f>
        <v>0</v>
      </c>
      <c r="F63" s="856">
        <f>'Outras emissões de processo'!G405</f>
        <v>0</v>
      </c>
      <c r="G63" s="856">
        <f>'Outras emissões de processo'!G415</f>
        <v>0</v>
      </c>
      <c r="H63" s="856">
        <f>'Outras emissões de processo'!H405</f>
        <v>0</v>
      </c>
      <c r="I63" s="856">
        <f>'Outras emissões de processo'!H415</f>
        <v>0</v>
      </c>
      <c r="J63" s="857">
        <f t="shared" si="6"/>
        <v>0</v>
      </c>
      <c r="K63" s="353" t="e">
        <f t="shared" si="3"/>
        <v>#DIV/0!</v>
      </c>
      <c r="L63" s="212" t="str">
        <f>L53</f>
        <v>ERRO: Não Indicou na TRIAGEM se este campo é relevante para si</v>
      </c>
      <c r="N63" s="259"/>
      <c r="O63" s="259"/>
      <c r="P63" s="259"/>
      <c r="Q63" s="259"/>
      <c r="R63" s="259"/>
      <c r="S63" s="259"/>
      <c r="T63" s="259"/>
      <c r="U63" s="259"/>
    </row>
    <row r="64" spans="3:21" ht="31" x14ac:dyDescent="0.35">
      <c r="C64" s="587" t="s">
        <v>545</v>
      </c>
      <c r="D64" s="856">
        <f>'Combustão Móvel'!E564</f>
        <v>0</v>
      </c>
      <c r="E64" s="856">
        <f>'Combustão Móvel'!E573</f>
        <v>0</v>
      </c>
      <c r="F64" s="856">
        <f>'Combustão Móvel'!F564</f>
        <v>0</v>
      </c>
      <c r="G64" s="856">
        <f>'Combustão Móvel'!F573</f>
        <v>0</v>
      </c>
      <c r="H64" s="856">
        <f>'Combustão Móvel'!G564</f>
        <v>0</v>
      </c>
      <c r="I64" s="856">
        <f>'Combustão Móvel'!G573</f>
        <v>0</v>
      </c>
      <c r="J64" s="857">
        <f t="shared" si="6"/>
        <v>0</v>
      </c>
      <c r="K64" s="353" t="e">
        <f t="shared" si="3"/>
        <v>#DIV/0!</v>
      </c>
      <c r="L64" s="212" t="str">
        <f>IF(Triagem!$C$30="","ERRO: Não Indicou na TRIAGEM se este campo é relevante para si",IF(Triagem!$C$30="Sim",IF('Combustão Móvel'!$H$575="", "ERRO: folha Combustão Móvel por preencher", IF('Combustão Móvel'!$H$575=0,"ERRO: folha Combustão Móvel por preencher","")), ""))</f>
        <v>ERRO: Não Indicou na TRIAGEM se este campo é relevante para si</v>
      </c>
    </row>
    <row r="65" spans="3:21" x14ac:dyDescent="0.35">
      <c r="C65" s="587" t="s">
        <v>641</v>
      </c>
      <c r="D65" s="856">
        <f>FAPCT!F23</f>
        <v>0</v>
      </c>
      <c r="E65" s="856">
        <f>FAPCT!G23</f>
        <v>0</v>
      </c>
      <c r="F65" s="856">
        <f>FAPCT!F24</f>
        <v>0</v>
      </c>
      <c r="G65" s="856">
        <f>FAPCT!G24</f>
        <v>0</v>
      </c>
      <c r="H65" s="856">
        <f>FAPCT!F25</f>
        <v>0</v>
      </c>
      <c r="I65" s="856">
        <f>FAPCT!G25</f>
        <v>0</v>
      </c>
      <c r="J65" s="857">
        <f>E65+G65+I65</f>
        <v>0</v>
      </c>
      <c r="K65" s="353" t="e">
        <f t="shared" si="3"/>
        <v>#DIV/0!</v>
      </c>
      <c r="L65" s="212"/>
      <c r="N65" s="259"/>
      <c r="O65" s="259"/>
      <c r="P65" s="259"/>
      <c r="Q65" s="259"/>
      <c r="R65" s="259"/>
      <c r="S65" s="259"/>
      <c r="T65" s="259"/>
      <c r="U65" s="259"/>
    </row>
    <row r="66" spans="3:21" ht="31" x14ac:dyDescent="0.35">
      <c r="C66" s="587" t="s">
        <v>718</v>
      </c>
      <c r="D66" s="856">
        <f>'Combustão Móvel'!E565</f>
        <v>0</v>
      </c>
      <c r="E66" s="856">
        <f>'Combustão Móvel'!E574</f>
        <v>0</v>
      </c>
      <c r="F66" s="856">
        <f>'Combustão Móvel'!F565</f>
        <v>0</v>
      </c>
      <c r="G66" s="856">
        <f>'Combustão Móvel'!F574</f>
        <v>0</v>
      </c>
      <c r="H66" s="856">
        <f>'Combustão Móvel'!G565</f>
        <v>0</v>
      </c>
      <c r="I66" s="856">
        <f>'Combustão Móvel'!G574</f>
        <v>0</v>
      </c>
      <c r="J66" s="857">
        <f t="shared" si="6"/>
        <v>0</v>
      </c>
      <c r="K66" s="353" t="e">
        <f t="shared" si="3"/>
        <v>#DIV/0!</v>
      </c>
      <c r="L66" s="212" t="str">
        <f>IF(Triagem!$C$30="","ERRO: Não Indicou na TRIAGEM se este campo é relevante para si",IF(Triagem!$C$30="Sim",IF('Combustão Móvel'!$H$575="", "ERRO: folha Combustão Móvel por preencher", IF('Combustão Móvel'!$H$575=0,"ERRO: folha Combustão Móvel por preencher","")), ""))</f>
        <v>ERRO: Não Indicou na TRIAGEM se este campo é relevante para si</v>
      </c>
      <c r="N66" s="259"/>
      <c r="O66" s="259"/>
      <c r="P66" s="259"/>
      <c r="Q66" s="259"/>
      <c r="R66" s="259"/>
      <c r="S66" s="259"/>
      <c r="T66" s="259"/>
      <c r="U66" s="259"/>
    </row>
    <row r="67" spans="3:21" ht="31" x14ac:dyDescent="0.35">
      <c r="C67" s="587" t="s">
        <v>1279</v>
      </c>
      <c r="D67" s="856">
        <f>'Uso dos produtos do projeto'!F143</f>
        <v>0</v>
      </c>
      <c r="E67" s="856">
        <f>'Uso dos produtos do projeto'!F144</f>
        <v>0</v>
      </c>
      <c r="F67" s="856">
        <f>'Uso dos produtos do projeto'!G143</f>
        <v>0</v>
      </c>
      <c r="G67" s="856">
        <f>'Uso dos produtos do projeto'!G144</f>
        <v>0</v>
      </c>
      <c r="H67" s="856">
        <f>'Uso dos produtos do projeto'!H143</f>
        <v>0</v>
      </c>
      <c r="I67" s="856">
        <f>'Uso dos produtos do projeto'!H144</f>
        <v>0</v>
      </c>
      <c r="J67" s="857">
        <f t="shared" si="6"/>
        <v>0</v>
      </c>
      <c r="K67" s="353" t="e">
        <f t="shared" si="3"/>
        <v>#DIV/0!</v>
      </c>
      <c r="L67" s="212" t="str">
        <f>IF(Triagem!$C$37="","ERRO: Não Indicou na TRIAGEM se este campo é relevante para si",IF(Triagem!$C$37="Sim",IF('Uso dos produtos do projeto'!I144="", "ERRO: folha Uso dos Produtos do Projeto por preencher", IF('Uso dos produtos do projeto'!I144=0,"ERRO: folha Uso dos Produtos do Projeto por preencher","")), ""))</f>
        <v>ERRO: Não Indicou na TRIAGEM se este campo é relevante para si</v>
      </c>
      <c r="N67" s="259"/>
      <c r="O67" s="259"/>
      <c r="P67" s="259"/>
      <c r="Q67" s="259"/>
      <c r="R67" s="259"/>
      <c r="S67" s="259"/>
      <c r="T67" s="259"/>
      <c r="U67" s="259"/>
    </row>
    <row r="68" spans="3:21" x14ac:dyDescent="0.35">
      <c r="C68" s="589" t="s">
        <v>1505</v>
      </c>
      <c r="D68" s="862">
        <f>SUM(D48:D53,D56:D58,D60:D67)</f>
        <v>0</v>
      </c>
      <c r="E68" s="862">
        <f>SUM(E48:E53,E56:E58,E60:E67)</f>
        <v>0</v>
      </c>
      <c r="F68" s="862">
        <f>SUM(F48:F53,F56:F58,F60:F67)</f>
        <v>0</v>
      </c>
      <c r="G68" s="862">
        <f t="shared" ref="G68:I68" si="7">SUM(G48:G53,G56:G58,G60:G67)</f>
        <v>0</v>
      </c>
      <c r="H68" s="862">
        <f t="shared" si="7"/>
        <v>0</v>
      </c>
      <c r="I68" s="862">
        <f t="shared" si="7"/>
        <v>0</v>
      </c>
      <c r="J68" s="859">
        <f>J47+J55+J59</f>
        <v>0</v>
      </c>
      <c r="K68" s="353" t="e">
        <f t="shared" si="3"/>
        <v>#DIV/0!</v>
      </c>
      <c r="L68" s="354"/>
      <c r="N68" s="259"/>
      <c r="O68" s="259"/>
      <c r="P68" s="259"/>
      <c r="Q68" s="259"/>
      <c r="R68" s="259"/>
      <c r="S68" s="259"/>
      <c r="T68" s="259"/>
      <c r="U68" s="259"/>
    </row>
    <row r="69" spans="3:21" ht="15" customHeight="1" x14ac:dyDescent="0.35">
      <c r="C69" s="600" t="s">
        <v>1212</v>
      </c>
      <c r="D69" s="863"/>
      <c r="E69" s="864"/>
      <c r="F69" s="864"/>
      <c r="G69" s="864"/>
      <c r="H69" s="864"/>
      <c r="I69" s="865"/>
      <c r="J69" s="866">
        <f>'Emissões Evitadas'!E256+'Emissões Evitadas'!F256+'Emissões Evitadas'!G256+'Emissões Evitadas'!H257</f>
        <v>0</v>
      </c>
      <c r="K69" s="353" t="e">
        <f t="shared" si="3"/>
        <v>#DIV/0!</v>
      </c>
      <c r="L69" s="354" t="str">
        <f>IF(Triagem!$C$35="","ERRO: Não Indicou na TRIAGEM se este campo é relevante para si",IF(Triagem!$C$35="Sim",IF('Emissões Evitadas'!H256+'Emissões Evitadas'!H257="", "ERRO: folha Emissões Evitadas por preencher", IF('Emissões Evitadas'!H256+'Emissões Evitadas'!H257=0,"ERRO: folha Emissões Evitadas por preencher","")), ""))</f>
        <v>ERRO: Não Indicou na TRIAGEM se este campo é relevante para si</v>
      </c>
      <c r="N69" s="259"/>
      <c r="O69" s="259"/>
      <c r="P69" s="259"/>
      <c r="Q69" s="259"/>
      <c r="R69" s="259"/>
      <c r="S69" s="259"/>
      <c r="T69" s="259"/>
      <c r="U69" s="259"/>
    </row>
    <row r="70" spans="3:21" ht="47.65" customHeight="1" x14ac:dyDescent="0.35">
      <c r="N70" s="259"/>
      <c r="O70" s="259"/>
      <c r="P70" s="259"/>
      <c r="Q70" s="259"/>
      <c r="R70" s="259"/>
      <c r="S70" s="259"/>
      <c r="T70" s="259"/>
      <c r="U70" s="259"/>
    </row>
    <row r="71" spans="3:21" ht="37.9" customHeight="1" x14ac:dyDescent="0.35">
      <c r="N71" s="259"/>
      <c r="O71" s="259"/>
      <c r="P71" s="259"/>
      <c r="Q71" s="259"/>
      <c r="R71" s="259"/>
      <c r="S71" s="259"/>
      <c r="T71" s="259"/>
      <c r="U71" s="259"/>
    </row>
  </sheetData>
  <sheetProtection selectLockedCells="1"/>
  <mergeCells count="8">
    <mergeCell ref="L44:L46"/>
    <mergeCell ref="D15:F15"/>
    <mergeCell ref="G15:J15"/>
    <mergeCell ref="D44:I44"/>
    <mergeCell ref="J44:J46"/>
    <mergeCell ref="D45:E45"/>
    <mergeCell ref="F45:G45"/>
    <mergeCell ref="H45:I45"/>
  </mergeCells>
  <phoneticPr fontId="28" type="noConversion"/>
  <conditionalFormatting sqref="J48:J53 J56:J58 J60:J67">
    <cfRule type="dataBar" priority="2">
      <dataBar>
        <cfvo type="min"/>
        <cfvo type="max"/>
        <color rgb="FF638EC6"/>
      </dataBar>
      <extLst>
        <ext xmlns:x14="http://schemas.microsoft.com/office/spreadsheetml/2009/9/main" uri="{B025F937-C7B1-47D3-B67F-A62EFF666E3E}">
          <x14:id>{37CDF914-6C06-459D-9545-A2451C167E8C}</x14:id>
        </ext>
      </extLst>
    </cfRule>
  </conditionalFormatting>
  <conditionalFormatting sqref="J48:J53">
    <cfRule type="dataBar" priority="6">
      <dataBar>
        <cfvo type="min"/>
        <cfvo type="max"/>
        <color rgb="FF638EC6"/>
      </dataBar>
      <extLst>
        <ext xmlns:x14="http://schemas.microsoft.com/office/spreadsheetml/2009/9/main" uri="{B025F937-C7B1-47D3-B67F-A62EFF666E3E}">
          <x14:id>{ED96AF5B-A125-407D-8FFF-FBE90AAD1B7C}</x14:id>
        </ext>
      </extLst>
    </cfRule>
  </conditionalFormatting>
  <conditionalFormatting sqref="J48:J54 J56:J58 J60:J67 J69">
    <cfRule type="dataBar" priority="1">
      <dataBar>
        <cfvo type="min"/>
        <cfvo type="max"/>
        <color rgb="FF638EC6"/>
      </dataBar>
      <extLst>
        <ext xmlns:x14="http://schemas.microsoft.com/office/spreadsheetml/2009/9/main" uri="{B025F937-C7B1-47D3-B67F-A62EFF666E3E}">
          <x14:id>{8A173577-E81A-4789-BB12-A7BBF17A6AEE}</x14:id>
        </ext>
      </extLst>
    </cfRule>
  </conditionalFormatting>
  <conditionalFormatting sqref="J56:J58">
    <cfRule type="dataBar" priority="4">
      <dataBar>
        <cfvo type="min"/>
        <cfvo type="max"/>
        <color rgb="FF63C384"/>
      </dataBar>
      <extLst>
        <ext xmlns:x14="http://schemas.microsoft.com/office/spreadsheetml/2009/9/main" uri="{B025F937-C7B1-47D3-B67F-A62EFF666E3E}">
          <x14:id>{46EB0E6F-AFAB-412E-84CA-57D43BDF6E09}</x14:id>
        </ext>
      </extLst>
    </cfRule>
  </conditionalFormatting>
  <conditionalFormatting sqref="J60:J67">
    <cfRule type="dataBar" priority="3">
      <dataBar>
        <cfvo type="min"/>
        <cfvo type="max"/>
        <color rgb="FFFFB628"/>
      </dataBar>
      <extLst>
        <ext xmlns:x14="http://schemas.microsoft.com/office/spreadsheetml/2009/9/main" uri="{B025F937-C7B1-47D3-B67F-A62EFF666E3E}">
          <x14:id>{DDD710E8-D2EF-4681-ACE1-7BFFE5654613}</x14:id>
        </ext>
      </extLs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37CDF914-6C06-459D-9545-A2451C167E8C}">
            <x14:dataBar minLength="0" maxLength="100" border="1" negativeBarBorderColorSameAsPositive="0">
              <x14:cfvo type="autoMin"/>
              <x14:cfvo type="autoMax"/>
              <x14:borderColor rgb="FF638EC6"/>
              <x14:negativeFillColor rgb="FFFF0000"/>
              <x14:negativeBorderColor rgb="FFFF0000"/>
              <x14:axisColor rgb="FF000000"/>
            </x14:dataBar>
          </x14:cfRule>
          <xm:sqref>J48:J53 J56:J58 J60:J67</xm:sqref>
        </x14:conditionalFormatting>
        <x14:conditionalFormatting xmlns:xm="http://schemas.microsoft.com/office/excel/2006/main">
          <x14:cfRule type="dataBar" id="{ED96AF5B-A125-407D-8FFF-FBE90AAD1B7C}">
            <x14:dataBar minLength="0" maxLength="100" border="1" negativeBarBorderColorSameAsPositive="0">
              <x14:cfvo type="autoMin"/>
              <x14:cfvo type="autoMax"/>
              <x14:borderColor rgb="FF638EC6"/>
              <x14:negativeFillColor rgb="FFFF0000"/>
              <x14:negativeBorderColor rgb="FFFF0000"/>
              <x14:axisColor rgb="FF000000"/>
            </x14:dataBar>
          </x14:cfRule>
          <xm:sqref>J48:J53</xm:sqref>
        </x14:conditionalFormatting>
        <x14:conditionalFormatting xmlns:xm="http://schemas.microsoft.com/office/excel/2006/main">
          <x14:cfRule type="dataBar" id="{8A173577-E81A-4789-BB12-A7BBF17A6AEE}">
            <x14:dataBar minLength="0" maxLength="100" border="1" negativeBarBorderColorSameAsPositive="0">
              <x14:cfvo type="autoMin"/>
              <x14:cfvo type="autoMax"/>
              <x14:borderColor rgb="FF638EC6"/>
              <x14:negativeFillColor rgb="FFFF0000"/>
              <x14:negativeBorderColor rgb="FFFF0000"/>
              <x14:axisColor rgb="FF000000"/>
            </x14:dataBar>
          </x14:cfRule>
          <xm:sqref>J48:J54 J56:J58 J60:J67 J69</xm:sqref>
        </x14:conditionalFormatting>
        <x14:conditionalFormatting xmlns:xm="http://schemas.microsoft.com/office/excel/2006/main">
          <x14:cfRule type="dataBar" id="{46EB0E6F-AFAB-412E-84CA-57D43BDF6E09}">
            <x14:dataBar minLength="0" maxLength="100" border="1" negativeBarBorderColorSameAsPositive="0">
              <x14:cfvo type="autoMin"/>
              <x14:cfvo type="autoMax"/>
              <x14:borderColor rgb="FF63C384"/>
              <x14:negativeFillColor rgb="FFFF0000"/>
              <x14:negativeBorderColor rgb="FFFF0000"/>
              <x14:axisColor rgb="FF000000"/>
            </x14:dataBar>
          </x14:cfRule>
          <xm:sqref>J56:J58</xm:sqref>
        </x14:conditionalFormatting>
        <x14:conditionalFormatting xmlns:xm="http://schemas.microsoft.com/office/excel/2006/main">
          <x14:cfRule type="dataBar" id="{DDD710E8-D2EF-4681-ACE1-7BFFE5654613}">
            <x14:dataBar minLength="0" maxLength="100" border="1" negativeBarBorderColorSameAsPositive="0">
              <x14:cfvo type="autoMin"/>
              <x14:cfvo type="autoMax"/>
              <x14:borderColor rgb="FFFFB628"/>
              <x14:negativeFillColor rgb="FFFF0000"/>
              <x14:negativeBorderColor rgb="FFFF0000"/>
              <x14:axisColor rgb="FF000000"/>
            </x14:dataBar>
          </x14:cfRule>
          <xm:sqref>J60:J67</xm:sqref>
        </x14:conditionalFormatting>
        <x14:conditionalFormatting xmlns:xm="http://schemas.microsoft.com/office/excel/2006/main">
          <x14:cfRule type="expression" priority="8" id="{2FF7B4FD-D250-4219-B4B9-31CC4DD5EE57}">
            <xm:f>Triagem!$C$29=""</xm:f>
            <x14:dxf>
              <font>
                <color rgb="FFC00000"/>
              </font>
            </x14:dxf>
          </x14:cfRule>
          <xm:sqref>L48:L56 L59:L67</xm:sqref>
        </x14:conditionalFormatting>
        <x14:conditionalFormatting xmlns:xm="http://schemas.microsoft.com/office/excel/2006/main">
          <x14:cfRule type="expression" priority="7" id="{78F11BC6-864D-4F16-894E-9BDBEE503A34}">
            <xm:f>Triagem!$C$29=""</xm:f>
            <x14:dxf>
              <font>
                <color rgb="FFC00000"/>
              </font>
            </x14:dxf>
          </x14:cfRule>
          <xm:sqref>L69</xm:sqref>
        </x14:conditionalFormatting>
      </x14:conditionalFormatting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1322-37B3-49B7-A5C7-3C6965906C3C}">
  <sheetPr codeName="Folha28">
    <tabColor rgb="FF58D4CC"/>
  </sheetPr>
  <dimension ref="A9:CI468"/>
  <sheetViews>
    <sheetView showGridLines="0" topLeftCell="A403" zoomScale="55" zoomScaleNormal="55" workbookViewId="0">
      <selection activeCell="F397" sqref="F397"/>
    </sheetView>
  </sheetViews>
  <sheetFormatPr defaultColWidth="8.7265625" defaultRowHeight="15.5" outlineLevelRow="1" x14ac:dyDescent="0.35"/>
  <cols>
    <col min="1" max="1" width="4.54296875" style="169" customWidth="1"/>
    <col min="2" max="2" width="37.54296875" style="169" customWidth="1"/>
    <col min="3" max="3" width="85.453125" style="316" bestFit="1" customWidth="1"/>
    <col min="4" max="4" width="39.7265625" style="169" bestFit="1" customWidth="1"/>
    <col min="5" max="5" width="37" style="169" customWidth="1"/>
    <col min="6" max="6" width="74.54296875" style="169" customWidth="1"/>
    <col min="7" max="7" width="25.7265625" style="169" customWidth="1"/>
    <col min="8" max="8" width="28.7265625" style="169" customWidth="1"/>
    <col min="9" max="9" width="31.1796875" style="169" customWidth="1"/>
    <col min="10" max="10" width="14.54296875" style="169" bestFit="1" customWidth="1"/>
    <col min="11" max="11" width="16.26953125" style="169" customWidth="1"/>
    <col min="12" max="12" width="21.7265625" style="169" customWidth="1"/>
    <col min="13" max="13" width="14.26953125" style="169" customWidth="1"/>
    <col min="14" max="14" width="14.81640625" style="169" bestFit="1" customWidth="1"/>
    <col min="15" max="17" width="15.26953125" style="169" bestFit="1" customWidth="1"/>
    <col min="18" max="18" width="16" style="169" bestFit="1" customWidth="1"/>
    <col min="19" max="19" width="62.81640625" style="169" customWidth="1"/>
    <col min="20" max="21" width="34.453125" style="169" bestFit="1" customWidth="1"/>
    <col min="22" max="22" width="70.1796875" style="169" bestFit="1" customWidth="1"/>
    <col min="23" max="23" width="150.7265625" style="169" bestFit="1" customWidth="1"/>
    <col min="24" max="24" width="15" style="169" bestFit="1" customWidth="1"/>
    <col min="25" max="25" width="12.81640625" style="169" customWidth="1"/>
    <col min="26" max="26" width="13.1796875" style="169" customWidth="1"/>
    <col min="27" max="27" width="11.26953125" style="169" bestFit="1" customWidth="1"/>
    <col min="28" max="68" width="8.7265625" style="169"/>
    <col min="69" max="69" width="11.7265625" style="169" bestFit="1" customWidth="1"/>
    <col min="70" max="80" width="8.7265625" style="169"/>
    <col min="81" max="81" width="11.7265625" style="169" bestFit="1" customWidth="1"/>
    <col min="82" max="16384" width="8.7265625" style="169"/>
  </cols>
  <sheetData>
    <row r="9" spans="1:79" s="638" customFormat="1" ht="30" customHeight="1" x14ac:dyDescent="0.35">
      <c r="A9" s="633"/>
      <c r="B9" s="634" t="s">
        <v>894</v>
      </c>
      <c r="C9" s="635"/>
      <c r="D9" s="636"/>
      <c r="E9" s="636"/>
      <c r="F9" s="636"/>
      <c r="G9" s="636"/>
      <c r="H9" s="636"/>
      <c r="I9" s="636"/>
      <c r="J9" s="636"/>
      <c r="K9" s="636"/>
      <c r="L9" s="636"/>
      <c r="M9" s="636"/>
      <c r="N9" s="636"/>
      <c r="O9" s="636"/>
      <c r="P9" s="636"/>
      <c r="Q9" s="636"/>
      <c r="R9" s="636"/>
      <c r="S9" s="636"/>
      <c r="T9" s="636"/>
      <c r="U9" s="636"/>
      <c r="V9" s="636"/>
      <c r="W9" s="636"/>
      <c r="X9" s="636"/>
      <c r="Y9" s="636"/>
      <c r="Z9" s="636"/>
      <c r="AA9" s="636"/>
      <c r="AB9" s="636"/>
      <c r="AC9" s="636"/>
      <c r="AD9" s="636"/>
      <c r="AE9" s="636"/>
      <c r="AF9" s="636"/>
      <c r="AG9" s="636"/>
      <c r="AH9" s="636"/>
      <c r="AI9" s="636"/>
      <c r="AJ9" s="636"/>
      <c r="AK9" s="636"/>
      <c r="AL9" s="636"/>
      <c r="AM9" s="636"/>
      <c r="AN9" s="636"/>
      <c r="AO9" s="636"/>
      <c r="AP9" s="636"/>
      <c r="AQ9" s="636"/>
      <c r="AR9" s="636"/>
      <c r="AS9" s="636"/>
      <c r="AT9" s="636"/>
      <c r="AU9" s="636"/>
      <c r="AV9" s="636"/>
      <c r="AW9" s="636"/>
      <c r="AX9" s="636"/>
      <c r="AY9" s="636"/>
      <c r="AZ9" s="636"/>
      <c r="BA9" s="636"/>
      <c r="BB9" s="636"/>
      <c r="BC9" s="636"/>
      <c r="BD9" s="636"/>
      <c r="BE9" s="636"/>
      <c r="BF9" s="636"/>
      <c r="BG9" s="636"/>
      <c r="BH9" s="636"/>
      <c r="BI9" s="636"/>
      <c r="BJ9" s="636"/>
      <c r="BK9" s="636"/>
      <c r="BL9" s="636"/>
      <c r="BM9" s="636"/>
      <c r="BN9" s="636"/>
      <c r="BO9" s="636"/>
      <c r="BP9" s="636"/>
      <c r="BQ9" s="636"/>
      <c r="BR9" s="636"/>
      <c r="BS9" s="636"/>
      <c r="BT9" s="636"/>
      <c r="BU9" s="636"/>
      <c r="BV9" s="636"/>
      <c r="BW9" s="636"/>
      <c r="BX9" s="636"/>
      <c r="BY9" s="636"/>
      <c r="BZ9" s="636"/>
      <c r="CA9" s="637"/>
    </row>
    <row r="10" spans="1:79" outlineLevel="1" x14ac:dyDescent="0.35"/>
    <row r="11" spans="1:79" outlineLevel="1" x14ac:dyDescent="0.35">
      <c r="B11" s="639" t="s">
        <v>895</v>
      </c>
      <c r="C11" s="639" t="s">
        <v>196</v>
      </c>
      <c r="D11" s="639" t="s">
        <v>534</v>
      </c>
      <c r="E11" s="639" t="s">
        <v>563</v>
      </c>
      <c r="F11" s="639" t="s">
        <v>32</v>
      </c>
      <c r="G11" s="639" t="s">
        <v>554</v>
      </c>
    </row>
    <row r="12" spans="1:79" ht="31" outlineLevel="1" x14ac:dyDescent="0.35">
      <c r="B12" s="394" t="s">
        <v>1049</v>
      </c>
      <c r="C12" s="640" t="s">
        <v>1588</v>
      </c>
      <c r="D12" s="907">
        <f>'Dados gerais'!E33+IF('Dados gerais'!F33="",'Fatores de Emissão'!E12,'Dados gerais'!F33)</f>
        <v>2</v>
      </c>
      <c r="E12" s="640">
        <v>2</v>
      </c>
      <c r="F12" s="640" t="s">
        <v>897</v>
      </c>
      <c r="G12" s="1036" t="s">
        <v>896</v>
      </c>
    </row>
    <row r="13" spans="1:79" ht="31" outlineLevel="1" x14ac:dyDescent="0.35">
      <c r="B13" s="394" t="s">
        <v>36</v>
      </c>
      <c r="C13" s="640" t="s">
        <v>1588</v>
      </c>
      <c r="D13" s="394">
        <f>IF('Dados gerais'!E34="", D12+IF('Dados gerais'!F34="",E13,'Dados gerais'!F34), 'Dados gerais'!E34+IF('Dados gerais'!F34="",E13,'Dados gerais'!F34))</f>
        <v>32</v>
      </c>
      <c r="E13" s="640">
        <v>30</v>
      </c>
      <c r="F13" s="640" t="s">
        <v>897</v>
      </c>
      <c r="G13" s="1036" t="s">
        <v>896</v>
      </c>
    </row>
    <row r="14" spans="1:79" ht="31" outlineLevel="1" x14ac:dyDescent="0.35">
      <c r="B14" s="394" t="s">
        <v>255</v>
      </c>
      <c r="C14" s="640" t="s">
        <v>1588</v>
      </c>
      <c r="D14" s="394">
        <f>IF('Dados gerais'!E35="",D13+IF('Dados gerais'!F35="",E14,'Dados gerais'!F35=""), 'Dados gerais'!E35+IF('Dados gerais'!F35="",E14,'Dados gerais'!F35=""))</f>
        <v>33</v>
      </c>
      <c r="E14" s="640">
        <v>1</v>
      </c>
      <c r="F14" s="640" t="s">
        <v>897</v>
      </c>
      <c r="G14" s="1036" t="s">
        <v>896</v>
      </c>
    </row>
    <row r="15" spans="1:79" outlineLevel="1" x14ac:dyDescent="0.35"/>
    <row r="17" spans="1:79" s="638" customFormat="1" ht="30" customHeight="1" x14ac:dyDescent="0.35">
      <c r="A17" s="633"/>
      <c r="B17" s="634" t="s">
        <v>1006</v>
      </c>
      <c r="C17" s="635"/>
      <c r="D17" s="636"/>
      <c r="E17" s="636"/>
      <c r="F17" s="636"/>
      <c r="G17" s="636"/>
      <c r="H17" s="636"/>
      <c r="I17" s="636"/>
      <c r="J17" s="636"/>
      <c r="K17" s="636"/>
      <c r="L17" s="636"/>
      <c r="M17" s="636"/>
      <c r="N17" s="636"/>
      <c r="O17" s="636"/>
      <c r="P17" s="636"/>
      <c r="Q17" s="636"/>
      <c r="R17" s="636"/>
      <c r="S17" s="636"/>
      <c r="T17" s="636"/>
      <c r="U17" s="636"/>
      <c r="V17" s="636"/>
      <c r="W17" s="636"/>
      <c r="X17" s="636"/>
      <c r="Y17" s="636"/>
      <c r="Z17" s="636"/>
      <c r="AA17" s="636"/>
      <c r="AB17" s="636"/>
      <c r="AC17" s="636"/>
      <c r="AD17" s="636"/>
      <c r="AE17" s="636"/>
      <c r="AF17" s="636"/>
      <c r="AG17" s="636"/>
      <c r="AH17" s="636"/>
      <c r="AI17" s="636"/>
      <c r="AJ17" s="636"/>
      <c r="AK17" s="636"/>
      <c r="AL17" s="636"/>
      <c r="AM17" s="636"/>
      <c r="AN17" s="636"/>
      <c r="AO17" s="636"/>
      <c r="AP17" s="636"/>
      <c r="AQ17" s="636"/>
      <c r="AR17" s="636"/>
      <c r="AS17" s="636"/>
      <c r="AT17" s="636"/>
      <c r="AU17" s="636"/>
      <c r="AV17" s="636"/>
      <c r="AW17" s="636"/>
      <c r="AX17" s="636"/>
      <c r="AY17" s="636"/>
      <c r="AZ17" s="636"/>
      <c r="BA17" s="636"/>
      <c r="BB17" s="636"/>
      <c r="BC17" s="636"/>
      <c r="BD17" s="636"/>
      <c r="BE17" s="636"/>
      <c r="BF17" s="636"/>
      <c r="BG17" s="636"/>
      <c r="BH17" s="636"/>
      <c r="BI17" s="636"/>
      <c r="BJ17" s="636"/>
      <c r="BK17" s="636"/>
      <c r="BL17" s="636"/>
      <c r="BM17" s="636"/>
      <c r="BN17" s="636"/>
      <c r="BO17" s="636"/>
      <c r="BP17" s="636"/>
      <c r="BQ17" s="636"/>
      <c r="BR17" s="636"/>
      <c r="BS17" s="636"/>
      <c r="BT17" s="636"/>
      <c r="BU17" s="636"/>
      <c r="BV17" s="636"/>
      <c r="BW17" s="636"/>
      <c r="BX17" s="636"/>
      <c r="BY17" s="636"/>
      <c r="BZ17" s="636"/>
      <c r="CA17" s="637"/>
    </row>
    <row r="18" spans="1:79" s="645" customFormat="1" ht="18.5" outlineLevel="1" x14ac:dyDescent="0.35">
      <c r="A18" s="641"/>
      <c r="B18" s="642"/>
      <c r="C18" s="643"/>
      <c r="D18" s="644"/>
      <c r="E18" s="644"/>
      <c r="F18" s="644"/>
      <c r="G18" s="644"/>
      <c r="H18" s="644"/>
      <c r="I18" s="644"/>
      <c r="J18" s="644"/>
      <c r="K18" s="644"/>
      <c r="L18" s="644"/>
      <c r="M18" s="644"/>
      <c r="N18" s="644"/>
      <c r="O18" s="644"/>
      <c r="P18" s="644"/>
      <c r="Q18" s="644"/>
      <c r="R18" s="644"/>
      <c r="S18" s="644"/>
      <c r="T18" s="644"/>
      <c r="U18" s="644"/>
      <c r="V18" s="644"/>
      <c r="W18" s="644"/>
      <c r="X18" s="644"/>
      <c r="Y18" s="644"/>
      <c r="Z18" s="644"/>
      <c r="AA18" s="644"/>
      <c r="AB18" s="644"/>
      <c r="AC18" s="644"/>
      <c r="AD18" s="644"/>
      <c r="AE18" s="644"/>
      <c r="AF18" s="644"/>
      <c r="AG18" s="644"/>
      <c r="AH18" s="644"/>
      <c r="AI18" s="644"/>
      <c r="AJ18" s="644"/>
      <c r="AK18" s="644"/>
      <c r="AL18" s="644"/>
      <c r="AM18" s="644"/>
      <c r="AN18" s="644"/>
      <c r="AO18" s="644"/>
      <c r="AP18" s="644"/>
      <c r="AQ18" s="644"/>
      <c r="AR18" s="644"/>
      <c r="AS18" s="644"/>
      <c r="AT18" s="644"/>
      <c r="AU18" s="644"/>
      <c r="AV18" s="644"/>
      <c r="AW18" s="644"/>
      <c r="AX18" s="644"/>
      <c r="AY18" s="644"/>
      <c r="AZ18" s="644"/>
      <c r="BA18" s="644"/>
      <c r="BB18" s="644"/>
      <c r="BC18" s="644"/>
      <c r="BD18" s="644"/>
      <c r="BE18" s="644"/>
      <c r="BF18" s="644"/>
      <c r="BG18" s="644"/>
      <c r="BH18" s="644"/>
      <c r="BI18" s="644"/>
      <c r="BJ18" s="644"/>
      <c r="BK18" s="644"/>
      <c r="BL18" s="644"/>
      <c r="BM18" s="644"/>
      <c r="BN18" s="644"/>
      <c r="BO18" s="644"/>
      <c r="BP18" s="644"/>
      <c r="BQ18" s="644"/>
      <c r="BR18" s="644"/>
      <c r="BS18" s="644"/>
      <c r="BT18" s="644"/>
      <c r="BU18" s="644"/>
      <c r="BV18" s="644"/>
      <c r="BW18" s="644"/>
    </row>
    <row r="19" spans="1:79" s="645" customFormat="1" outlineLevel="1" x14ac:dyDescent="0.35">
      <c r="A19" s="641"/>
      <c r="B19" s="646" t="s">
        <v>654</v>
      </c>
      <c r="C19" s="647"/>
      <c r="D19" s="647"/>
      <c r="E19" s="644"/>
      <c r="F19" s="644"/>
      <c r="G19" s="644"/>
      <c r="H19" s="644"/>
      <c r="I19" s="644"/>
      <c r="J19" s="644"/>
      <c r="K19" s="644"/>
      <c r="L19" s="644"/>
      <c r="M19" s="644"/>
      <c r="N19" s="644"/>
      <c r="O19" s="644"/>
      <c r="P19" s="644"/>
      <c r="Q19" s="644"/>
      <c r="R19" s="644"/>
      <c r="S19" s="644"/>
      <c r="T19" s="644"/>
      <c r="U19" s="644"/>
      <c r="V19" s="644"/>
      <c r="W19" s="644"/>
      <c r="X19" s="644"/>
      <c r="Y19" s="644"/>
      <c r="Z19" s="644"/>
      <c r="AA19" s="644"/>
      <c r="AB19" s="644"/>
      <c r="AC19" s="644"/>
      <c r="AD19" s="644"/>
      <c r="AE19" s="644"/>
      <c r="AF19" s="644"/>
      <c r="AG19" s="644"/>
      <c r="AH19" s="644"/>
      <c r="AI19" s="644"/>
      <c r="AJ19" s="644"/>
      <c r="AK19" s="644"/>
      <c r="AL19" s="644"/>
      <c r="AM19" s="644"/>
      <c r="AN19" s="644"/>
      <c r="AO19" s="644"/>
      <c r="AP19" s="644"/>
      <c r="AQ19" s="644"/>
      <c r="AR19" s="644"/>
      <c r="AS19" s="644"/>
      <c r="AT19" s="644"/>
      <c r="AU19" s="644"/>
      <c r="AV19" s="644"/>
      <c r="AW19" s="644"/>
      <c r="AX19" s="644"/>
      <c r="AY19" s="644"/>
      <c r="AZ19" s="644"/>
      <c r="BA19" s="644"/>
      <c r="BB19" s="644"/>
      <c r="BC19" s="644"/>
      <c r="BD19" s="644"/>
      <c r="BE19" s="644"/>
      <c r="BF19" s="644"/>
      <c r="BG19" s="644"/>
      <c r="BH19" s="644"/>
      <c r="BI19" s="644"/>
      <c r="BJ19" s="644"/>
      <c r="BK19" s="644"/>
      <c r="BL19" s="644"/>
      <c r="BM19" s="644"/>
      <c r="BN19" s="644"/>
      <c r="BO19" s="644"/>
      <c r="BP19" s="644"/>
      <c r="BQ19" s="644"/>
      <c r="BR19" s="644"/>
      <c r="BS19" s="644"/>
      <c r="BT19" s="644"/>
      <c r="BU19" s="644"/>
      <c r="BV19" s="644"/>
      <c r="BW19" s="644"/>
    </row>
    <row r="20" spans="1:79" s="645" customFormat="1" outlineLevel="1" x14ac:dyDescent="0.35">
      <c r="A20" s="641"/>
      <c r="B20" s="648" t="s">
        <v>26</v>
      </c>
      <c r="C20" s="648" t="s">
        <v>4</v>
      </c>
      <c r="D20" s="648" t="s">
        <v>659</v>
      </c>
      <c r="E20" s="644"/>
      <c r="F20" s="644"/>
      <c r="G20" s="644"/>
      <c r="H20" s="644"/>
      <c r="I20" s="644"/>
      <c r="J20" s="644"/>
      <c r="K20" s="644"/>
      <c r="L20" s="644"/>
      <c r="M20" s="644"/>
      <c r="N20" s="644"/>
      <c r="O20" s="644"/>
      <c r="P20" s="644"/>
      <c r="Q20" s="644"/>
      <c r="R20" s="644"/>
      <c r="S20" s="644"/>
      <c r="T20" s="644"/>
      <c r="U20" s="644"/>
      <c r="V20" s="644"/>
      <c r="W20" s="644"/>
      <c r="X20" s="644"/>
      <c r="Y20" s="644"/>
      <c r="Z20" s="644"/>
      <c r="AA20" s="644"/>
      <c r="AB20" s="644"/>
      <c r="AC20" s="644"/>
      <c r="AD20" s="644"/>
      <c r="AE20" s="644"/>
      <c r="AF20" s="644"/>
      <c r="AG20" s="644"/>
      <c r="AH20" s="644"/>
      <c r="AI20" s="644"/>
      <c r="AJ20" s="644"/>
      <c r="AK20" s="644"/>
      <c r="AL20" s="644"/>
      <c r="AM20" s="644"/>
      <c r="AN20" s="644"/>
      <c r="AO20" s="644"/>
      <c r="AP20" s="644"/>
      <c r="AQ20" s="644"/>
      <c r="AR20" s="644"/>
      <c r="AS20" s="644"/>
      <c r="AT20" s="644"/>
      <c r="AU20" s="644"/>
      <c r="AV20" s="644"/>
      <c r="AW20" s="644"/>
      <c r="AX20" s="644"/>
      <c r="AY20" s="644"/>
      <c r="AZ20" s="644"/>
      <c r="BA20" s="644"/>
      <c r="BB20" s="644"/>
      <c r="BC20" s="644"/>
      <c r="BD20" s="644"/>
      <c r="BE20" s="644"/>
      <c r="BF20" s="644"/>
      <c r="BG20" s="644"/>
      <c r="BH20" s="644"/>
      <c r="BI20" s="644"/>
      <c r="BJ20" s="644"/>
      <c r="BK20" s="644"/>
      <c r="BL20" s="644"/>
      <c r="BM20" s="644"/>
      <c r="BN20" s="644"/>
      <c r="BO20" s="644"/>
      <c r="BP20" s="644"/>
      <c r="BQ20" s="644"/>
      <c r="BR20" s="644"/>
      <c r="BS20" s="644"/>
      <c r="BT20" s="644"/>
      <c r="BU20" s="644"/>
      <c r="BV20" s="644"/>
      <c r="BW20" s="644"/>
    </row>
    <row r="21" spans="1:79" s="645" customFormat="1" outlineLevel="1" x14ac:dyDescent="0.35">
      <c r="A21" s="641"/>
      <c r="B21" s="649" t="s">
        <v>7</v>
      </c>
      <c r="C21" s="650" t="s">
        <v>655</v>
      </c>
      <c r="D21" s="650" t="s">
        <v>660</v>
      </c>
      <c r="E21" s="644"/>
      <c r="F21" s="644"/>
      <c r="G21" s="644"/>
      <c r="H21" s="644"/>
      <c r="I21" s="644"/>
      <c r="J21" s="644"/>
      <c r="K21" s="644"/>
      <c r="L21" s="644"/>
      <c r="M21" s="644"/>
      <c r="N21" s="644"/>
      <c r="O21" s="644"/>
      <c r="P21" s="644"/>
      <c r="Q21" s="644"/>
      <c r="R21" s="644"/>
      <c r="S21" s="644"/>
      <c r="T21" s="644"/>
      <c r="U21" s="644"/>
      <c r="V21" s="644"/>
      <c r="W21" s="644"/>
      <c r="X21" s="644"/>
      <c r="Y21" s="644"/>
      <c r="Z21" s="644"/>
      <c r="AA21" s="644"/>
      <c r="AB21" s="644"/>
      <c r="AC21" s="644"/>
      <c r="AD21" s="644"/>
      <c r="AE21" s="644"/>
      <c r="AF21" s="644"/>
      <c r="AG21" s="644"/>
      <c r="AH21" s="644"/>
      <c r="AI21" s="644"/>
      <c r="AJ21" s="644"/>
      <c r="AK21" s="644"/>
      <c r="AL21" s="644"/>
      <c r="AM21" s="644"/>
      <c r="AN21" s="644"/>
      <c r="AO21" s="644"/>
      <c r="AP21" s="644"/>
      <c r="AQ21" s="644"/>
      <c r="AR21" s="644"/>
      <c r="AS21" s="644"/>
      <c r="AT21" s="644"/>
      <c r="AU21" s="644"/>
      <c r="AV21" s="644"/>
      <c r="AW21" s="644"/>
      <c r="AX21" s="644"/>
      <c r="AY21" s="644"/>
      <c r="AZ21" s="644"/>
      <c r="BA21" s="644"/>
      <c r="BB21" s="644"/>
      <c r="BC21" s="644"/>
      <c r="BD21" s="644"/>
      <c r="BE21" s="644"/>
      <c r="BF21" s="644"/>
      <c r="BG21" s="644"/>
      <c r="BH21" s="644"/>
      <c r="BI21" s="644"/>
      <c r="BJ21" s="644"/>
      <c r="BK21" s="644"/>
      <c r="BL21" s="644"/>
      <c r="BM21" s="644"/>
      <c r="BN21" s="644"/>
      <c r="BO21" s="644"/>
      <c r="BP21" s="644"/>
      <c r="BQ21" s="644"/>
      <c r="BR21" s="644"/>
      <c r="BS21" s="644"/>
      <c r="BT21" s="644"/>
      <c r="BU21" s="644"/>
      <c r="BV21" s="644"/>
      <c r="BW21" s="644"/>
    </row>
    <row r="22" spans="1:79" s="645" customFormat="1" ht="106" customHeight="1" outlineLevel="1" x14ac:dyDescent="0.35">
      <c r="A22" s="641"/>
      <c r="B22" s="649" t="str">
        <f>K30</f>
        <v>Manufatura ou Construção</v>
      </c>
      <c r="C22" s="650" t="s">
        <v>656</v>
      </c>
      <c r="D22" s="650" t="s">
        <v>663</v>
      </c>
      <c r="E22" s="644"/>
      <c r="F22" s="644"/>
      <c r="G22" s="644"/>
      <c r="H22" s="644"/>
      <c r="I22" s="644"/>
      <c r="J22" s="644"/>
      <c r="K22" s="644"/>
      <c r="L22" s="644"/>
      <c r="M22" s="644"/>
      <c r="N22" s="644"/>
      <c r="O22" s="644"/>
      <c r="P22" s="644"/>
      <c r="Q22" s="644"/>
      <c r="R22" s="644"/>
      <c r="S22" s="644"/>
      <c r="T22" s="644"/>
      <c r="U22" s="644"/>
      <c r="V22" s="644"/>
      <c r="W22" s="644"/>
      <c r="X22" s="644"/>
      <c r="Y22" s="644"/>
      <c r="Z22" s="644"/>
      <c r="AA22" s="644"/>
      <c r="AB22" s="644"/>
      <c r="AC22" s="644"/>
      <c r="AD22" s="644"/>
      <c r="AE22" s="644"/>
      <c r="AF22" s="644"/>
      <c r="AG22" s="644"/>
      <c r="AH22" s="644"/>
      <c r="AI22" s="644"/>
      <c r="AJ22" s="644"/>
      <c r="AK22" s="644"/>
      <c r="AL22" s="644"/>
      <c r="AM22" s="644"/>
      <c r="AN22" s="644"/>
      <c r="AO22" s="644"/>
      <c r="AP22" s="644"/>
      <c r="AQ22" s="644"/>
      <c r="AR22" s="644"/>
      <c r="AS22" s="644"/>
      <c r="AT22" s="644"/>
      <c r="AU22" s="644"/>
      <c r="AV22" s="644"/>
      <c r="AW22" s="644"/>
      <c r="AX22" s="644"/>
      <c r="AY22" s="644"/>
      <c r="AZ22" s="644"/>
      <c r="BA22" s="644"/>
      <c r="BB22" s="644"/>
      <c r="BC22" s="644"/>
      <c r="BD22" s="644"/>
      <c r="BE22" s="644"/>
      <c r="BF22" s="644"/>
      <c r="BG22" s="644"/>
      <c r="BH22" s="644"/>
      <c r="BI22" s="644"/>
      <c r="BJ22" s="644"/>
      <c r="BK22" s="644"/>
      <c r="BL22" s="644"/>
      <c r="BM22" s="644"/>
      <c r="BN22" s="644"/>
      <c r="BO22" s="644"/>
      <c r="BP22" s="644"/>
      <c r="BQ22" s="644"/>
      <c r="BR22" s="644"/>
      <c r="BS22" s="644"/>
      <c r="BT22" s="644"/>
      <c r="BU22" s="644"/>
      <c r="BV22" s="644"/>
      <c r="BW22" s="644"/>
    </row>
    <row r="23" spans="1:79" s="645" customFormat="1" ht="31" outlineLevel="1" x14ac:dyDescent="0.35">
      <c r="A23" s="641"/>
      <c r="B23" s="649" t="str">
        <f>L30</f>
        <v>Comercial ou Institucional</v>
      </c>
      <c r="C23" s="650" t="s">
        <v>657</v>
      </c>
      <c r="D23" s="650" t="s">
        <v>661</v>
      </c>
      <c r="E23" s="644"/>
      <c r="F23" s="644"/>
      <c r="G23" s="644"/>
      <c r="H23" s="644"/>
      <c r="I23" s="644"/>
      <c r="J23" s="644"/>
      <c r="K23" s="644"/>
      <c r="L23" s="644"/>
      <c r="M23" s="644"/>
      <c r="N23" s="644"/>
      <c r="O23" s="644"/>
      <c r="P23" s="644"/>
      <c r="Q23" s="644"/>
      <c r="R23" s="644"/>
      <c r="S23" s="644"/>
      <c r="T23" s="644"/>
      <c r="U23" s="644"/>
      <c r="V23" s="644"/>
      <c r="W23" s="644"/>
      <c r="X23" s="644"/>
      <c r="Y23" s="644"/>
      <c r="Z23" s="644"/>
      <c r="AA23" s="644"/>
      <c r="AB23" s="644"/>
      <c r="AC23" s="644"/>
      <c r="AD23" s="644"/>
      <c r="AE23" s="644"/>
      <c r="AF23" s="644"/>
      <c r="AG23" s="644"/>
      <c r="AH23" s="644"/>
      <c r="AI23" s="644"/>
      <c r="AJ23" s="644"/>
      <c r="AK23" s="644"/>
      <c r="AL23" s="644"/>
      <c r="AM23" s="644"/>
      <c r="AN23" s="644"/>
      <c r="AO23" s="644"/>
      <c r="AP23" s="644"/>
      <c r="AQ23" s="644"/>
      <c r="AR23" s="644"/>
      <c r="AS23" s="644"/>
      <c r="AT23" s="644"/>
      <c r="AU23" s="644"/>
      <c r="AV23" s="644"/>
      <c r="AW23" s="644"/>
      <c r="AX23" s="644"/>
      <c r="AY23" s="644"/>
      <c r="AZ23" s="644"/>
      <c r="BA23" s="644"/>
      <c r="BB23" s="644"/>
      <c r="BC23" s="644"/>
      <c r="BD23" s="644"/>
      <c r="BE23" s="644"/>
      <c r="BF23" s="644"/>
      <c r="BG23" s="644"/>
      <c r="BH23" s="644"/>
      <c r="BI23" s="644"/>
      <c r="BJ23" s="644"/>
      <c r="BK23" s="644"/>
      <c r="BL23" s="644"/>
      <c r="BM23" s="644"/>
      <c r="BN23" s="644"/>
      <c r="BO23" s="644"/>
      <c r="BP23" s="644"/>
      <c r="BQ23" s="644"/>
      <c r="BR23" s="644"/>
      <c r="BS23" s="644"/>
      <c r="BT23" s="644"/>
      <c r="BU23" s="644"/>
      <c r="BV23" s="644"/>
      <c r="BW23" s="644"/>
    </row>
    <row r="24" spans="1:79" s="645" customFormat="1" ht="66" customHeight="1" outlineLevel="1" x14ac:dyDescent="0.35">
      <c r="A24" s="641"/>
      <c r="B24" s="649" t="str">
        <f>M30</f>
        <v>Residencial, Agricultura ou Floresta</v>
      </c>
      <c r="C24" s="650" t="s">
        <v>658</v>
      </c>
      <c r="D24" s="650" t="s">
        <v>662</v>
      </c>
      <c r="E24" s="644"/>
      <c r="F24" s="644"/>
      <c r="G24" s="644"/>
      <c r="H24" s="644"/>
      <c r="I24" s="644"/>
      <c r="J24" s="644"/>
      <c r="K24" s="644"/>
      <c r="L24" s="644"/>
      <c r="M24" s="644"/>
      <c r="N24" s="644"/>
      <c r="O24" s="644"/>
      <c r="P24" s="644"/>
      <c r="Q24" s="644"/>
      <c r="R24" s="644"/>
      <c r="S24" s="644"/>
      <c r="T24" s="644"/>
      <c r="U24" s="644"/>
      <c r="V24" s="644"/>
      <c r="W24" s="644"/>
      <c r="X24" s="644"/>
      <c r="Y24" s="644"/>
      <c r="Z24" s="644"/>
      <c r="AA24" s="644"/>
      <c r="AB24" s="644"/>
      <c r="AC24" s="644"/>
      <c r="AD24" s="644"/>
      <c r="AE24" s="644"/>
      <c r="AF24" s="644"/>
      <c r="AG24" s="644"/>
      <c r="AH24" s="644"/>
      <c r="AI24" s="644"/>
      <c r="AJ24" s="644"/>
      <c r="AK24" s="644"/>
      <c r="AL24" s="644"/>
      <c r="AM24" s="644"/>
      <c r="AN24" s="644"/>
      <c r="AO24" s="644"/>
      <c r="AP24" s="644"/>
      <c r="AQ24" s="644"/>
      <c r="AR24" s="644"/>
      <c r="AS24" s="644"/>
      <c r="AT24" s="644"/>
      <c r="AU24" s="644"/>
      <c r="AV24" s="644"/>
      <c r="AW24" s="644"/>
      <c r="AX24" s="644"/>
      <c r="AY24" s="644"/>
      <c r="AZ24" s="644"/>
      <c r="BA24" s="644"/>
      <c r="BB24" s="644"/>
      <c r="BC24" s="644"/>
      <c r="BD24" s="644"/>
      <c r="BE24" s="644"/>
      <c r="BF24" s="644"/>
      <c r="BG24" s="644"/>
      <c r="BH24" s="644"/>
      <c r="BI24" s="644"/>
      <c r="BJ24" s="644"/>
      <c r="BK24" s="644"/>
      <c r="BL24" s="644"/>
      <c r="BM24" s="644"/>
      <c r="BN24" s="644"/>
      <c r="BO24" s="644"/>
      <c r="BP24" s="644"/>
      <c r="BQ24" s="644"/>
      <c r="BR24" s="644"/>
      <c r="BS24" s="644"/>
      <c r="BT24" s="644"/>
      <c r="BU24" s="644"/>
      <c r="BV24" s="644"/>
      <c r="BW24" s="644"/>
    </row>
    <row r="25" spans="1:79" s="645" customFormat="1" ht="18.5" outlineLevel="1" x14ac:dyDescent="0.35">
      <c r="A25" s="641"/>
      <c r="B25" s="642"/>
      <c r="C25" s="643"/>
      <c r="D25" s="644"/>
      <c r="E25" s="644"/>
      <c r="F25" s="644"/>
      <c r="G25" s="644"/>
      <c r="H25" s="644"/>
      <c r="I25" s="644"/>
      <c r="J25" s="644"/>
      <c r="K25" s="644"/>
      <c r="L25" s="644"/>
      <c r="M25" s="644"/>
      <c r="N25" s="644"/>
      <c r="O25" s="644"/>
      <c r="P25" s="644"/>
      <c r="Q25" s="644"/>
      <c r="R25" s="644"/>
      <c r="S25" s="644"/>
      <c r="T25" s="644"/>
      <c r="U25" s="644"/>
      <c r="V25" s="644"/>
      <c r="W25" s="644"/>
      <c r="X25" s="644"/>
      <c r="Y25" s="644"/>
      <c r="Z25" s="644"/>
      <c r="AA25" s="644"/>
      <c r="AB25" s="644"/>
      <c r="AC25" s="644"/>
      <c r="AD25" s="644"/>
      <c r="AE25" s="644"/>
      <c r="AF25" s="644"/>
      <c r="AG25" s="644"/>
      <c r="AH25" s="644"/>
      <c r="AI25" s="644"/>
      <c r="AJ25" s="644"/>
      <c r="AK25" s="644"/>
      <c r="AL25" s="644"/>
      <c r="AM25" s="644"/>
      <c r="AN25" s="644"/>
      <c r="AO25" s="644"/>
      <c r="AP25" s="644"/>
      <c r="AQ25" s="644"/>
      <c r="AR25" s="644"/>
      <c r="AS25" s="644"/>
      <c r="AT25" s="644"/>
      <c r="AU25" s="644"/>
      <c r="AV25" s="644"/>
      <c r="AW25" s="644"/>
      <c r="AX25" s="644"/>
      <c r="AY25" s="644"/>
      <c r="AZ25" s="644"/>
      <c r="BA25" s="644"/>
      <c r="BB25" s="644"/>
      <c r="BC25" s="644"/>
      <c r="BD25" s="644"/>
      <c r="BE25" s="644"/>
      <c r="BF25" s="644"/>
      <c r="BG25" s="644"/>
      <c r="BH25" s="644"/>
      <c r="BI25" s="644"/>
      <c r="BJ25" s="644"/>
      <c r="BK25" s="644"/>
      <c r="BL25" s="644"/>
      <c r="BM25" s="644"/>
      <c r="BN25" s="644"/>
      <c r="BO25" s="644"/>
      <c r="BP25" s="644"/>
      <c r="BQ25" s="644"/>
      <c r="BR25" s="644"/>
      <c r="BS25" s="644"/>
      <c r="BT25" s="644"/>
      <c r="BU25" s="644"/>
      <c r="BV25" s="644"/>
      <c r="BW25" s="644"/>
    </row>
    <row r="26" spans="1:79" s="645" customFormat="1" ht="18.5" outlineLevel="1" x14ac:dyDescent="0.35">
      <c r="A26" s="641"/>
      <c r="B26" s="642"/>
      <c r="C26" s="643"/>
      <c r="D26" s="644"/>
      <c r="E26" s="644"/>
      <c r="F26" s="644"/>
      <c r="G26" s="644"/>
      <c r="H26" s="644"/>
      <c r="I26" s="644"/>
      <c r="J26" s="644"/>
      <c r="K26" s="644"/>
      <c r="L26" s="644"/>
      <c r="M26" s="644"/>
      <c r="N26" s="644"/>
      <c r="O26" s="644"/>
      <c r="P26" s="644"/>
      <c r="Q26" s="644"/>
      <c r="R26" s="644"/>
      <c r="S26" s="644"/>
      <c r="T26" s="644"/>
      <c r="U26" s="644"/>
      <c r="V26" s="644"/>
      <c r="W26" s="644"/>
      <c r="X26" s="644"/>
      <c r="Y26" s="644"/>
      <c r="Z26" s="644"/>
      <c r="AA26" s="644"/>
      <c r="AB26" s="644"/>
      <c r="AC26" s="644"/>
      <c r="AD26" s="644"/>
      <c r="AE26" s="644"/>
      <c r="AF26" s="644"/>
      <c r="AG26" s="644"/>
      <c r="AH26" s="644"/>
      <c r="AI26" s="644"/>
      <c r="AJ26" s="644"/>
      <c r="AK26" s="644"/>
      <c r="AL26" s="644"/>
      <c r="AM26" s="644"/>
      <c r="AN26" s="644"/>
      <c r="AO26" s="644"/>
      <c r="AP26" s="644"/>
      <c r="AQ26" s="644"/>
      <c r="AR26" s="644"/>
      <c r="AS26" s="644"/>
      <c r="AT26" s="644"/>
      <c r="AU26" s="644"/>
      <c r="AV26" s="644"/>
      <c r="AW26" s="644"/>
      <c r="AX26" s="644"/>
      <c r="AY26" s="644"/>
      <c r="AZ26" s="644"/>
      <c r="BA26" s="644"/>
      <c r="BB26" s="644"/>
      <c r="BC26" s="644"/>
      <c r="BD26" s="644"/>
      <c r="BE26" s="644"/>
      <c r="BF26" s="644"/>
      <c r="BG26" s="644"/>
      <c r="BH26" s="644"/>
      <c r="BI26" s="644"/>
      <c r="BJ26" s="644"/>
      <c r="BK26" s="644"/>
      <c r="BL26" s="644"/>
      <c r="BM26" s="644"/>
      <c r="BN26" s="644"/>
      <c r="BO26" s="644"/>
      <c r="BP26" s="644"/>
      <c r="BQ26" s="644"/>
      <c r="BR26" s="644"/>
      <c r="BS26" s="644"/>
      <c r="BT26" s="644"/>
      <c r="BU26" s="644"/>
      <c r="BV26" s="644"/>
      <c r="BW26" s="644"/>
    </row>
    <row r="27" spans="1:79" s="645" customFormat="1" outlineLevel="1" x14ac:dyDescent="0.35">
      <c r="A27" s="641"/>
      <c r="B27" s="651"/>
      <c r="C27" s="643"/>
      <c r="D27" s="644"/>
      <c r="E27" s="644"/>
      <c r="F27" s="644"/>
      <c r="G27" s="644"/>
      <c r="H27" s="644"/>
      <c r="I27" s="644"/>
      <c r="J27" s="644"/>
      <c r="K27" s="644"/>
      <c r="L27" s="644"/>
      <c r="M27" s="644"/>
      <c r="N27" s="644"/>
      <c r="O27" s="644"/>
      <c r="P27" s="644"/>
      <c r="Q27" s="644"/>
      <c r="R27" s="644"/>
      <c r="S27" s="644"/>
      <c r="T27" s="644"/>
      <c r="U27" s="644"/>
      <c r="V27" s="644"/>
      <c r="W27" s="644"/>
      <c r="X27" s="644"/>
      <c r="Y27" s="644"/>
      <c r="Z27" s="644"/>
      <c r="AA27" s="644"/>
      <c r="AB27" s="644"/>
      <c r="AC27" s="644"/>
      <c r="AD27" s="644"/>
      <c r="AE27" s="644"/>
      <c r="AF27" s="644"/>
      <c r="AG27" s="644"/>
      <c r="AH27" s="644"/>
      <c r="AI27" s="644"/>
      <c r="AJ27" s="644"/>
      <c r="AK27" s="644"/>
      <c r="AL27" s="644"/>
      <c r="AM27" s="644"/>
      <c r="AN27" s="644"/>
      <c r="AO27" s="644"/>
      <c r="AP27" s="644"/>
      <c r="AQ27" s="644"/>
      <c r="AR27" s="644"/>
      <c r="AS27" s="644"/>
      <c r="AT27" s="644"/>
      <c r="AU27" s="644"/>
      <c r="AV27" s="644"/>
      <c r="AW27" s="644"/>
      <c r="AX27" s="644"/>
      <c r="AY27" s="644"/>
      <c r="AZ27" s="644"/>
      <c r="BA27" s="644"/>
      <c r="BB27" s="644"/>
      <c r="BC27" s="644"/>
      <c r="BD27" s="644"/>
      <c r="BE27" s="644"/>
      <c r="BF27" s="644"/>
      <c r="BG27" s="644"/>
      <c r="BH27" s="644"/>
      <c r="BI27" s="644"/>
      <c r="BJ27" s="644"/>
      <c r="BK27" s="644"/>
      <c r="BL27" s="644"/>
      <c r="BM27" s="644"/>
      <c r="BN27" s="644"/>
      <c r="BO27" s="644"/>
      <c r="BP27" s="644"/>
      <c r="BQ27" s="644"/>
      <c r="BR27" s="644"/>
      <c r="BS27" s="644"/>
      <c r="BT27" s="644"/>
      <c r="BU27" s="644"/>
      <c r="BV27" s="644"/>
      <c r="BW27" s="644"/>
    </row>
    <row r="28" spans="1:79" s="652" customFormat="1" outlineLevel="1" x14ac:dyDescent="0.35">
      <c r="B28" s="1109" t="s">
        <v>3</v>
      </c>
      <c r="C28" s="1109" t="s">
        <v>428</v>
      </c>
      <c r="D28" s="1112" t="s">
        <v>29</v>
      </c>
      <c r="E28" s="1301" t="s">
        <v>429</v>
      </c>
      <c r="F28" s="1304"/>
      <c r="G28" s="1301" t="s">
        <v>430</v>
      </c>
      <c r="H28" s="1304"/>
      <c r="I28" s="1109" t="s">
        <v>430</v>
      </c>
      <c r="J28" s="1105" t="s">
        <v>431</v>
      </c>
      <c r="K28" s="1283"/>
      <c r="L28" s="1283"/>
      <c r="M28" s="1283"/>
      <c r="N28" s="1283"/>
      <c r="O28" s="1283"/>
      <c r="P28" s="1283"/>
      <c r="Q28" s="1106"/>
      <c r="R28" s="1109" t="s">
        <v>1062</v>
      </c>
      <c r="S28" s="1301" t="s">
        <v>1443</v>
      </c>
      <c r="X28" s="623"/>
      <c r="Y28" s="623"/>
      <c r="Z28" s="623"/>
    </row>
    <row r="29" spans="1:79" s="652" customFormat="1" ht="17.5" outlineLevel="1" x14ac:dyDescent="0.35">
      <c r="B29" s="1110"/>
      <c r="C29" s="1110"/>
      <c r="D29" s="1113"/>
      <c r="E29" s="1303"/>
      <c r="F29" s="1305"/>
      <c r="G29" s="1303"/>
      <c r="H29" s="1305"/>
      <c r="I29" s="1111"/>
      <c r="J29" s="1105" t="s">
        <v>1366</v>
      </c>
      <c r="K29" s="1283"/>
      <c r="L29" s="1283"/>
      <c r="M29" s="1106"/>
      <c r="N29" s="1105" t="s">
        <v>1367</v>
      </c>
      <c r="O29" s="1283"/>
      <c r="P29" s="1283"/>
      <c r="Q29" s="1106"/>
      <c r="R29" s="1110"/>
      <c r="S29" s="1302"/>
      <c r="X29" s="623"/>
      <c r="Y29" s="623"/>
      <c r="Z29" s="623"/>
    </row>
    <row r="30" spans="1:79" s="652" customFormat="1" ht="46.5" outlineLevel="1" x14ac:dyDescent="0.35">
      <c r="B30" s="1111"/>
      <c r="C30" s="1111"/>
      <c r="D30" s="1114"/>
      <c r="E30" s="283" t="s">
        <v>711</v>
      </c>
      <c r="F30" s="283" t="s">
        <v>554</v>
      </c>
      <c r="G30" s="283" t="s">
        <v>653</v>
      </c>
      <c r="H30" s="283" t="s">
        <v>554</v>
      </c>
      <c r="I30" s="612" t="s">
        <v>1368</v>
      </c>
      <c r="J30" s="371" t="s">
        <v>7</v>
      </c>
      <c r="K30" s="371" t="s">
        <v>514</v>
      </c>
      <c r="L30" s="371" t="s">
        <v>515</v>
      </c>
      <c r="M30" s="371" t="s">
        <v>516</v>
      </c>
      <c r="N30" s="371" t="s">
        <v>7</v>
      </c>
      <c r="O30" s="371" t="s">
        <v>514</v>
      </c>
      <c r="P30" s="371" t="s">
        <v>515</v>
      </c>
      <c r="Q30" s="371" t="s">
        <v>516</v>
      </c>
      <c r="R30" s="1111"/>
      <c r="S30" s="1303"/>
      <c r="X30" s="306"/>
      <c r="Y30" s="306"/>
      <c r="Z30" s="623"/>
    </row>
    <row r="31" spans="1:79" s="653" customFormat="1" ht="72.5" outlineLevel="1" x14ac:dyDescent="0.35">
      <c r="B31" s="654" t="s">
        <v>9</v>
      </c>
      <c r="C31" s="655" t="s">
        <v>485</v>
      </c>
      <c r="D31" s="470" t="s">
        <v>38</v>
      </c>
      <c r="E31" s="1034">
        <f>26.7*1000</f>
        <v>26700</v>
      </c>
      <c r="F31" s="650" t="s">
        <v>650</v>
      </c>
      <c r="G31" s="1033">
        <v>98200</v>
      </c>
      <c r="H31" s="650" t="s">
        <v>650</v>
      </c>
      <c r="I31" s="873">
        <f>G31*E31/1000000</f>
        <v>2621.94</v>
      </c>
      <c r="J31" s="657">
        <v>2.6699999999999998E-5</v>
      </c>
      <c r="K31" s="657">
        <v>2.6699999999999998E-4</v>
      </c>
      <c r="L31" s="657">
        <v>2.6699999999999998E-4</v>
      </c>
      <c r="M31" s="657">
        <v>8.0099999999999998E-3</v>
      </c>
      <c r="N31" s="657">
        <v>4.0049999999999998E-5</v>
      </c>
      <c r="O31" s="657">
        <v>4.0049999999999998E-5</v>
      </c>
      <c r="P31" s="657">
        <v>4.0049999999999998E-5</v>
      </c>
      <c r="Q31" s="658">
        <v>4.0049999999999998E-5</v>
      </c>
      <c r="R31" s="656"/>
      <c r="S31" s="659" t="s">
        <v>1423</v>
      </c>
      <c r="X31" s="179"/>
      <c r="Y31" s="179"/>
      <c r="Z31" s="364"/>
    </row>
    <row r="32" spans="1:79" s="660" customFormat="1" outlineLevel="1" x14ac:dyDescent="0.35">
      <c r="B32" s="393" t="s">
        <v>1426</v>
      </c>
      <c r="C32" s="661" t="s">
        <v>432</v>
      </c>
      <c r="D32" s="470" t="s">
        <v>38</v>
      </c>
      <c r="E32" s="1016">
        <f>40.2*1000</f>
        <v>40200</v>
      </c>
      <c r="F32" s="650" t="s">
        <v>650</v>
      </c>
      <c r="G32" s="1033">
        <v>806000</v>
      </c>
      <c r="H32" s="650" t="s">
        <v>650</v>
      </c>
      <c r="I32" s="873">
        <f t="shared" ref="I32:I75" si="0">G32*E32/1000000</f>
        <v>32401.200000000001</v>
      </c>
      <c r="J32" s="657">
        <v>2.8E-5</v>
      </c>
      <c r="K32" s="657">
        <v>2.7999999999999998E-4</v>
      </c>
      <c r="L32" s="657">
        <v>2.7999999999999998E-4</v>
      </c>
      <c r="M32" s="657">
        <v>8.3999999999999995E-3</v>
      </c>
      <c r="N32" s="657">
        <v>4.1999999999999998E-5</v>
      </c>
      <c r="O32" s="657">
        <v>4.1999999999999998E-5</v>
      </c>
      <c r="P32" s="657">
        <v>4.1999999999999998E-5</v>
      </c>
      <c r="Q32" s="658">
        <v>4.1999999999999998E-5</v>
      </c>
      <c r="R32" s="656"/>
      <c r="S32" s="662" t="s">
        <v>50</v>
      </c>
      <c r="X32" s="179"/>
      <c r="Y32" s="179"/>
      <c r="Z32" s="364"/>
    </row>
    <row r="33" spans="2:26" s="660" customFormat="1" outlineLevel="1" x14ac:dyDescent="0.35">
      <c r="B33" s="393" t="s">
        <v>473</v>
      </c>
      <c r="C33" s="661" t="s">
        <v>433</v>
      </c>
      <c r="D33" s="470" t="s">
        <v>38</v>
      </c>
      <c r="E33" s="1016">
        <f>40.2*1000</f>
        <v>40200</v>
      </c>
      <c r="F33" s="650" t="s">
        <v>650</v>
      </c>
      <c r="G33" s="1033">
        <v>806000</v>
      </c>
      <c r="H33" s="650" t="s">
        <v>650</v>
      </c>
      <c r="I33" s="873">
        <f t="shared" si="0"/>
        <v>32401.200000000001</v>
      </c>
      <c r="J33" s="657">
        <v>1.206E-4</v>
      </c>
      <c r="K33" s="657">
        <v>1.206E-4</v>
      </c>
      <c r="L33" s="657">
        <v>4.0199999999999996E-4</v>
      </c>
      <c r="M33" s="657">
        <v>4.0199999999999996E-4</v>
      </c>
      <c r="N33" s="657">
        <v>2.4119999999999999E-5</v>
      </c>
      <c r="O33" s="657">
        <v>2.4119999999999999E-5</v>
      </c>
      <c r="P33" s="657">
        <v>2.4119999999999999E-5</v>
      </c>
      <c r="Q33" s="658">
        <v>2.4119999999999999E-5</v>
      </c>
      <c r="R33" s="656"/>
      <c r="S33" s="662" t="s">
        <v>50</v>
      </c>
      <c r="X33" s="179"/>
      <c r="Y33" s="179"/>
      <c r="Z33" s="364"/>
    </row>
    <row r="34" spans="2:26" s="660" customFormat="1" ht="77.5" outlineLevel="1" x14ac:dyDescent="0.35">
      <c r="B34" s="366" t="s">
        <v>1424</v>
      </c>
      <c r="C34" s="661" t="s">
        <v>486</v>
      </c>
      <c r="D34" s="470" t="s">
        <v>38</v>
      </c>
      <c r="E34" s="1016">
        <f>20*1000</f>
        <v>20000</v>
      </c>
      <c r="F34" s="650" t="s">
        <v>650</v>
      </c>
      <c r="G34" s="1033">
        <v>101100</v>
      </c>
      <c r="H34" s="650" t="s">
        <v>650</v>
      </c>
      <c r="I34" s="873">
        <f t="shared" si="0"/>
        <v>2022</v>
      </c>
      <c r="J34" s="657">
        <v>2.0699999999999998E-5</v>
      </c>
      <c r="K34" s="657">
        <v>2.0699999999999999E-4</v>
      </c>
      <c r="L34" s="657">
        <v>2.0699999999999999E-4</v>
      </c>
      <c r="M34" s="657">
        <v>6.2099999999999994E-3</v>
      </c>
      <c r="N34" s="657">
        <v>3.1049999999999996E-5</v>
      </c>
      <c r="O34" s="657">
        <v>3.1049999999999996E-5</v>
      </c>
      <c r="P34" s="657">
        <v>3.1049999999999996E-5</v>
      </c>
      <c r="Q34" s="658">
        <v>3.1049999999999996E-5</v>
      </c>
      <c r="R34" s="656"/>
      <c r="S34" s="393" t="s">
        <v>1013</v>
      </c>
      <c r="W34" s="179"/>
      <c r="X34" s="179"/>
      <c r="Y34" s="179"/>
      <c r="Z34" s="364"/>
    </row>
    <row r="35" spans="2:26" s="660" customFormat="1" ht="31" outlineLevel="1" x14ac:dyDescent="0.35">
      <c r="B35" s="393" t="s">
        <v>1048</v>
      </c>
      <c r="C35" s="661" t="s">
        <v>453</v>
      </c>
      <c r="D35" s="470" t="s">
        <v>38</v>
      </c>
      <c r="E35" s="1016">
        <f>40.2*1000</f>
        <v>40200</v>
      </c>
      <c r="F35" s="650" t="s">
        <v>852</v>
      </c>
      <c r="G35" s="1033">
        <v>73300</v>
      </c>
      <c r="H35" s="650" t="s">
        <v>651</v>
      </c>
      <c r="I35" s="873">
        <f t="shared" si="0"/>
        <v>2946.66</v>
      </c>
      <c r="J35" s="657">
        <v>1.206E-4</v>
      </c>
      <c r="K35" s="657">
        <v>1.206E-4</v>
      </c>
      <c r="L35" s="657">
        <v>4.0199999999999996E-4</v>
      </c>
      <c r="M35" s="657">
        <v>4.0199999999999996E-4</v>
      </c>
      <c r="N35" s="657">
        <v>2.4119999999999999E-5</v>
      </c>
      <c r="O35" s="657">
        <v>2.4119999999999999E-5</v>
      </c>
      <c r="P35" s="657">
        <v>2.4119999999999999E-5</v>
      </c>
      <c r="Q35" s="658">
        <v>2.4119999999999999E-5</v>
      </c>
      <c r="R35" s="656"/>
      <c r="S35" s="662" t="s">
        <v>50</v>
      </c>
      <c r="T35" s="179"/>
      <c r="U35" s="179"/>
      <c r="V35" s="179"/>
      <c r="W35" s="179"/>
      <c r="X35" s="179"/>
      <c r="Y35" s="179"/>
      <c r="Z35" s="364"/>
    </row>
    <row r="36" spans="2:26" s="660" customFormat="1" ht="62" outlineLevel="1" x14ac:dyDescent="0.35">
      <c r="B36" s="393" t="s">
        <v>12</v>
      </c>
      <c r="C36" s="661" t="s">
        <v>434</v>
      </c>
      <c r="D36" s="470" t="s">
        <v>707</v>
      </c>
      <c r="E36" s="1016">
        <v>28.2</v>
      </c>
      <c r="F36" s="650" t="s">
        <v>650</v>
      </c>
      <c r="G36" s="1033">
        <v>9450</v>
      </c>
      <c r="H36" s="650" t="s">
        <v>650</v>
      </c>
      <c r="I36" s="873">
        <f t="shared" si="0"/>
        <v>0.26649</v>
      </c>
      <c r="J36" s="657">
        <v>2.8199999999999998E-5</v>
      </c>
      <c r="K36" s="657">
        <v>2.8199999999999997E-4</v>
      </c>
      <c r="L36" s="657">
        <v>2.8199999999999997E-4</v>
      </c>
      <c r="M36" s="657">
        <v>8.4599999999999988E-3</v>
      </c>
      <c r="N36" s="657">
        <v>4.2299999999999998E-5</v>
      </c>
      <c r="O36" s="657">
        <v>4.2299999999999998E-5</v>
      </c>
      <c r="P36" s="657">
        <v>4.2299999999999998E-5</v>
      </c>
      <c r="Q36" s="658">
        <v>4.2299999999999998E-5</v>
      </c>
      <c r="R36" s="656"/>
      <c r="S36" s="393" t="s">
        <v>1456</v>
      </c>
      <c r="T36" s="179"/>
      <c r="U36" s="179"/>
      <c r="V36" s="179"/>
      <c r="W36" s="179"/>
      <c r="X36" s="179"/>
      <c r="Y36" s="179"/>
      <c r="Z36" s="364"/>
    </row>
    <row r="37" spans="2:26" s="660" customFormat="1" ht="170.5" outlineLevel="1" x14ac:dyDescent="0.35">
      <c r="B37" s="393" t="s">
        <v>1425</v>
      </c>
      <c r="C37" s="661" t="s">
        <v>436</v>
      </c>
      <c r="D37" s="470" t="s">
        <v>707</v>
      </c>
      <c r="E37" s="1016">
        <f>(28.2+28.5)/2</f>
        <v>28.35</v>
      </c>
      <c r="F37" s="650" t="s">
        <v>650</v>
      </c>
      <c r="G37" s="1033">
        <v>107000</v>
      </c>
      <c r="H37" s="650" t="s">
        <v>650</v>
      </c>
      <c r="I37" s="873">
        <f t="shared" si="0"/>
        <v>3.0334500000000002</v>
      </c>
      <c r="J37" s="657">
        <v>2.8199999999999998E-5</v>
      </c>
      <c r="K37" s="657">
        <v>2.8199999999999997E-4</v>
      </c>
      <c r="L37" s="657">
        <v>2.8199999999999997E-4</v>
      </c>
      <c r="M37" s="657">
        <v>8.4599999999999988E-3</v>
      </c>
      <c r="N37" s="657">
        <v>4.2299999999999998E-5</v>
      </c>
      <c r="O37" s="657">
        <v>4.2299999999999998E-5</v>
      </c>
      <c r="P37" s="657">
        <v>4.2299999999999998E-5</v>
      </c>
      <c r="Q37" s="658">
        <v>4.2299999999999998E-5</v>
      </c>
      <c r="R37" s="656"/>
      <c r="S37" s="393" t="s">
        <v>1442</v>
      </c>
      <c r="T37" s="179"/>
      <c r="U37" s="179"/>
      <c r="V37" s="179"/>
      <c r="W37" s="179"/>
      <c r="X37" s="179"/>
      <c r="Y37" s="179"/>
      <c r="Z37" s="364"/>
    </row>
    <row r="38" spans="2:26" s="660" customFormat="1" outlineLevel="1" x14ac:dyDescent="0.35">
      <c r="B38" s="393" t="s">
        <v>437</v>
      </c>
      <c r="C38" s="661" t="s">
        <v>438</v>
      </c>
      <c r="D38" s="470" t="s">
        <v>707</v>
      </c>
      <c r="E38" s="1016">
        <f>(31+32.5)/2</f>
        <v>31.75</v>
      </c>
      <c r="F38" s="650" t="s">
        <v>650</v>
      </c>
      <c r="G38" s="1033">
        <v>97500</v>
      </c>
      <c r="H38" s="650" t="s">
        <v>650</v>
      </c>
      <c r="I38" s="873">
        <f t="shared" si="0"/>
        <v>3.0956250000000001</v>
      </c>
      <c r="J38" s="657">
        <v>9.7499999999999998E-5</v>
      </c>
      <c r="K38" s="657">
        <v>9.7499999999999998E-5</v>
      </c>
      <c r="L38" s="657">
        <v>3.2499999999999999E-4</v>
      </c>
      <c r="M38" s="657">
        <v>3.2499999999999999E-4</v>
      </c>
      <c r="N38" s="657">
        <v>1.95E-5</v>
      </c>
      <c r="O38" s="657">
        <v>1.95E-5</v>
      </c>
      <c r="P38" s="657">
        <v>1.95E-5</v>
      </c>
      <c r="Q38" s="658">
        <v>1.95E-5</v>
      </c>
      <c r="R38" s="656"/>
      <c r="S38" s="662" t="s">
        <v>50</v>
      </c>
      <c r="T38" s="364"/>
      <c r="U38" s="364"/>
      <c r="V38" s="364"/>
      <c r="W38" s="364"/>
      <c r="X38" s="364"/>
      <c r="Y38" s="364"/>
      <c r="Z38" s="364"/>
    </row>
    <row r="39" spans="2:26" s="660" customFormat="1" ht="33" outlineLevel="1" x14ac:dyDescent="0.35">
      <c r="B39" s="393" t="s">
        <v>5</v>
      </c>
      <c r="C39" s="661" t="s">
        <v>439</v>
      </c>
      <c r="D39" s="470" t="s">
        <v>707</v>
      </c>
      <c r="E39" s="1016">
        <f>46.4</f>
        <v>46.4</v>
      </c>
      <c r="F39" s="650" t="s">
        <v>852</v>
      </c>
      <c r="G39" s="1033">
        <v>61600</v>
      </c>
      <c r="H39" s="650" t="s">
        <v>651</v>
      </c>
      <c r="I39" s="873">
        <f t="shared" si="0"/>
        <v>2.8582399999999999</v>
      </c>
      <c r="J39" s="657">
        <v>6.032E-8</v>
      </c>
      <c r="K39" s="657">
        <v>6.032E-8</v>
      </c>
      <c r="L39" s="657">
        <v>3.016E-7</v>
      </c>
      <c r="M39" s="657">
        <v>3.016E-7</v>
      </c>
      <c r="N39" s="657">
        <v>6.0319999999999998E-9</v>
      </c>
      <c r="O39" s="657">
        <v>6.0319999999999998E-9</v>
      </c>
      <c r="P39" s="657">
        <v>6.0319999999999998E-9</v>
      </c>
      <c r="Q39" s="658">
        <v>6.0319999999999998E-9</v>
      </c>
      <c r="R39" s="656"/>
      <c r="S39" s="393" t="s">
        <v>1513</v>
      </c>
      <c r="T39" s="364"/>
      <c r="U39" s="364"/>
      <c r="V39" s="364"/>
      <c r="W39" s="364"/>
      <c r="X39" s="364"/>
      <c r="Y39" s="364"/>
      <c r="Z39" s="364"/>
    </row>
    <row r="40" spans="2:26" s="653" customFormat="1" ht="62" outlineLevel="1" x14ac:dyDescent="0.35">
      <c r="B40" s="393" t="s">
        <v>1047</v>
      </c>
      <c r="C40" s="661" t="s">
        <v>449</v>
      </c>
      <c r="D40" s="470" t="s">
        <v>34</v>
      </c>
      <c r="E40" s="1016">
        <f>41.2*0.944</f>
        <v>38.892800000000001</v>
      </c>
      <c r="F40" s="650" t="s">
        <v>1622</v>
      </c>
      <c r="G40" s="1033">
        <v>77300</v>
      </c>
      <c r="H40" s="650" t="s">
        <v>651</v>
      </c>
      <c r="I40" s="873">
        <f t="shared" si="0"/>
        <v>3.0064134399999998</v>
      </c>
      <c r="J40" s="657">
        <v>1.13928E-7</v>
      </c>
      <c r="K40" s="657">
        <v>1.13928E-7</v>
      </c>
      <c r="L40" s="657">
        <v>3.7976000000000001E-7</v>
      </c>
      <c r="M40" s="657">
        <v>3.7976000000000001E-7</v>
      </c>
      <c r="N40" s="657">
        <v>2.2785599999999995E-8</v>
      </c>
      <c r="O40" s="657">
        <v>2.2785599999999995E-8</v>
      </c>
      <c r="P40" s="657">
        <v>2.2785599999999995E-8</v>
      </c>
      <c r="Q40" s="658">
        <v>2.2785599999999995E-8</v>
      </c>
      <c r="R40" s="656">
        <v>2.2411459459459466E-6</v>
      </c>
      <c r="S40" s="662" t="s">
        <v>50</v>
      </c>
      <c r="T40" s="471"/>
      <c r="U40" s="471"/>
      <c r="V40" s="471"/>
      <c r="W40" s="471"/>
      <c r="X40" s="471"/>
      <c r="Y40" s="471"/>
      <c r="Z40" s="471"/>
    </row>
    <row r="41" spans="2:26" s="660" customFormat="1" ht="46.5" outlineLevel="1" x14ac:dyDescent="0.35">
      <c r="B41" s="393" t="s">
        <v>474</v>
      </c>
      <c r="C41" s="661" t="s">
        <v>487</v>
      </c>
      <c r="D41" s="470" t="s">
        <v>707</v>
      </c>
      <c r="E41" s="1016">
        <v>2.5</v>
      </c>
      <c r="F41" s="650" t="s">
        <v>650</v>
      </c>
      <c r="G41" s="1033">
        <v>259399.99999999997</v>
      </c>
      <c r="H41" s="650" t="s">
        <v>651</v>
      </c>
      <c r="I41" s="873">
        <f t="shared" si="0"/>
        <v>0.64849999999999985</v>
      </c>
      <c r="J41" s="657">
        <v>2.4700000000000001E-6</v>
      </c>
      <c r="K41" s="657">
        <v>2.4700000000000001E-6</v>
      </c>
      <c r="L41" s="657">
        <v>1.235E-5</v>
      </c>
      <c r="M41" s="657">
        <v>1.235E-5</v>
      </c>
      <c r="N41" s="657">
        <v>2.4700000000000003E-7</v>
      </c>
      <c r="O41" s="657">
        <v>2.4700000000000003E-7</v>
      </c>
      <c r="P41" s="657">
        <v>2.4700000000000003E-7</v>
      </c>
      <c r="Q41" s="658">
        <v>2.4700000000000003E-7</v>
      </c>
      <c r="R41" s="656"/>
      <c r="S41" s="393" t="s">
        <v>1016</v>
      </c>
      <c r="T41" s="364"/>
      <c r="U41" s="364"/>
      <c r="V41" s="364"/>
      <c r="W41" s="364"/>
      <c r="X41" s="364"/>
      <c r="Y41" s="364"/>
      <c r="Z41" s="364"/>
    </row>
    <row r="42" spans="2:26" s="660" customFormat="1" ht="31" outlineLevel="1" x14ac:dyDescent="0.35">
      <c r="B42" s="393" t="s">
        <v>475</v>
      </c>
      <c r="C42" s="661" t="s">
        <v>440</v>
      </c>
      <c r="D42" s="470" t="s">
        <v>707</v>
      </c>
      <c r="E42" s="1016">
        <v>38.700000000000003</v>
      </c>
      <c r="F42" s="650" t="s">
        <v>650</v>
      </c>
      <c r="G42" s="1033">
        <v>44700</v>
      </c>
      <c r="H42" s="650" t="s">
        <v>650</v>
      </c>
      <c r="I42" s="873">
        <f t="shared" si="0"/>
        <v>1.7298900000000001</v>
      </c>
      <c r="J42" s="657">
        <v>2.8199999999999998E-5</v>
      </c>
      <c r="K42" s="657">
        <v>2.8199999999999998E-5</v>
      </c>
      <c r="L42" s="657">
        <v>1.4099999999999998E-4</v>
      </c>
      <c r="M42" s="657">
        <v>1.4099999999999998E-4</v>
      </c>
      <c r="N42" s="657">
        <v>2.8200000000000001E-6</v>
      </c>
      <c r="O42" s="657">
        <v>2.8200000000000001E-6</v>
      </c>
      <c r="P42" s="657">
        <v>2.8200000000000001E-6</v>
      </c>
      <c r="Q42" s="658">
        <v>2.8200000000000001E-6</v>
      </c>
      <c r="R42" s="656"/>
      <c r="S42" s="393" t="s">
        <v>1015</v>
      </c>
      <c r="T42" s="364"/>
      <c r="U42" s="364"/>
      <c r="V42" s="364"/>
      <c r="W42" s="364"/>
      <c r="X42" s="364"/>
      <c r="Y42" s="364"/>
      <c r="Z42" s="364"/>
    </row>
    <row r="43" spans="2:26" s="660" customFormat="1" ht="325.5" outlineLevel="1" x14ac:dyDescent="0.35">
      <c r="B43" s="393" t="s">
        <v>1014</v>
      </c>
      <c r="C43" s="661" t="s">
        <v>488</v>
      </c>
      <c r="D43" s="470" t="s">
        <v>707</v>
      </c>
      <c r="E43" s="1016">
        <v>38.700000000000003</v>
      </c>
      <c r="F43" s="650" t="s">
        <v>650</v>
      </c>
      <c r="G43" s="1033">
        <v>44700</v>
      </c>
      <c r="H43" s="650" t="s">
        <v>650</v>
      </c>
      <c r="I43" s="873">
        <f t="shared" si="0"/>
        <v>1.7298900000000001</v>
      </c>
      <c r="J43" s="657">
        <v>3.8699999999999999E-5</v>
      </c>
      <c r="K43" s="657">
        <v>3.8699999999999999E-5</v>
      </c>
      <c r="L43" s="657">
        <v>1.9349999999999999E-4</v>
      </c>
      <c r="M43" s="657">
        <v>1.9349999999999999E-4</v>
      </c>
      <c r="N43" s="657">
        <v>3.8700000000000002E-6</v>
      </c>
      <c r="O43" s="657">
        <v>3.8700000000000002E-6</v>
      </c>
      <c r="P43" s="657">
        <v>3.8700000000000002E-6</v>
      </c>
      <c r="Q43" s="658">
        <v>3.8700000000000002E-6</v>
      </c>
      <c r="R43" s="656"/>
      <c r="S43" s="393" t="s">
        <v>1444</v>
      </c>
      <c r="T43" s="364"/>
      <c r="U43" s="364"/>
      <c r="V43" s="364"/>
      <c r="W43" s="364"/>
      <c r="X43" s="364"/>
      <c r="Y43" s="364"/>
      <c r="Z43" s="364"/>
    </row>
    <row r="44" spans="2:26" s="660" customFormat="1" outlineLevel="1" x14ac:dyDescent="0.35">
      <c r="B44" s="393" t="s">
        <v>1427</v>
      </c>
      <c r="C44" s="661" t="s">
        <v>489</v>
      </c>
      <c r="D44" s="470" t="s">
        <v>707</v>
      </c>
      <c r="E44" s="1016">
        <v>7.1</v>
      </c>
      <c r="F44" s="650" t="s">
        <v>650</v>
      </c>
      <c r="G44" s="1033">
        <v>171800</v>
      </c>
      <c r="H44" s="650" t="s">
        <v>650</v>
      </c>
      <c r="I44" s="873">
        <f t="shared" si="0"/>
        <v>1.2197800000000001</v>
      </c>
      <c r="J44" s="657">
        <v>7.0599999999999993E-6</v>
      </c>
      <c r="K44" s="657">
        <v>7.0599999999999993E-6</v>
      </c>
      <c r="L44" s="657">
        <v>3.5299999999999997E-5</v>
      </c>
      <c r="M44" s="657">
        <v>3.5299999999999997E-5</v>
      </c>
      <c r="N44" s="657">
        <v>7.0599999999999989E-7</v>
      </c>
      <c r="O44" s="657">
        <v>7.0599999999999989E-7</v>
      </c>
      <c r="P44" s="657">
        <v>7.0599999999999989E-7</v>
      </c>
      <c r="Q44" s="658">
        <v>7.0599999999999989E-7</v>
      </c>
      <c r="R44" s="656"/>
      <c r="S44" s="662" t="s">
        <v>50</v>
      </c>
      <c r="T44" s="364"/>
      <c r="U44" s="364"/>
      <c r="V44" s="364"/>
      <c r="W44" s="364"/>
      <c r="X44" s="364"/>
      <c r="Y44" s="364"/>
      <c r="Z44" s="364"/>
    </row>
    <row r="45" spans="2:26" s="653" customFormat="1" ht="110.5" outlineLevel="1" x14ac:dyDescent="0.35">
      <c r="B45" s="393" t="s">
        <v>1429</v>
      </c>
      <c r="C45" s="661" t="s">
        <v>442</v>
      </c>
      <c r="D45" s="470" t="s">
        <v>34</v>
      </c>
      <c r="E45" s="1016">
        <f>(46+47.3)/2*0.502</f>
        <v>23.418299999999999</v>
      </c>
      <c r="F45" s="650" t="s">
        <v>1623</v>
      </c>
      <c r="G45" s="1033">
        <v>63000</v>
      </c>
      <c r="H45" s="650" t="s">
        <v>650</v>
      </c>
      <c r="I45" s="873">
        <f t="shared" si="0"/>
        <v>1.4753528999999999</v>
      </c>
      <c r="J45" s="657">
        <v>2.5542000000000001E-8</v>
      </c>
      <c r="K45" s="657">
        <v>2.5542000000000001E-8</v>
      </c>
      <c r="L45" s="657">
        <v>1.2771000000000002E-7</v>
      </c>
      <c r="M45" s="657">
        <v>1.2771000000000002E-7</v>
      </c>
      <c r="N45" s="657">
        <v>2.5541999999999997E-9</v>
      </c>
      <c r="O45" s="657">
        <v>2.5541999999999997E-9</v>
      </c>
      <c r="P45" s="657">
        <v>2.5541999999999997E-9</v>
      </c>
      <c r="Q45" s="658">
        <v>2.5541999999999997E-9</v>
      </c>
      <c r="R45" s="656">
        <v>2.2411459459459466E-6</v>
      </c>
      <c r="S45" s="393" t="s">
        <v>1514</v>
      </c>
      <c r="T45" s="471"/>
      <c r="U45" s="471"/>
      <c r="V45" s="471"/>
      <c r="W45" s="471"/>
      <c r="X45" s="471"/>
      <c r="Y45" s="471"/>
      <c r="Z45" s="471"/>
    </row>
    <row r="46" spans="2:26" s="660" customFormat="1" outlineLevel="1" x14ac:dyDescent="0.35">
      <c r="B46" s="393" t="s">
        <v>1044</v>
      </c>
      <c r="C46" s="661" t="s">
        <v>441</v>
      </c>
      <c r="D46" s="470" t="s">
        <v>707</v>
      </c>
      <c r="E46" s="1016">
        <v>49.5</v>
      </c>
      <c r="F46" s="650" t="s">
        <v>650</v>
      </c>
      <c r="G46" s="1033">
        <v>51300</v>
      </c>
      <c r="H46" s="650" t="s">
        <v>650</v>
      </c>
      <c r="I46" s="873">
        <f t="shared" si="0"/>
        <v>2.5393500000000002</v>
      </c>
      <c r="J46" s="657">
        <v>4.9499999999999997E-5</v>
      </c>
      <c r="K46" s="657">
        <v>4.9499999999999997E-5</v>
      </c>
      <c r="L46" s="657">
        <v>2.475E-4</v>
      </c>
      <c r="M46" s="657">
        <v>2.475E-4</v>
      </c>
      <c r="N46" s="657">
        <v>4.95E-6</v>
      </c>
      <c r="O46" s="657">
        <v>4.95E-6</v>
      </c>
      <c r="P46" s="657">
        <v>4.95E-6</v>
      </c>
      <c r="Q46" s="658">
        <v>4.95E-6</v>
      </c>
      <c r="R46" s="656"/>
      <c r="S46" s="662" t="s">
        <v>50</v>
      </c>
      <c r="T46" s="364"/>
      <c r="U46" s="364"/>
      <c r="V46" s="364"/>
      <c r="W46" s="364"/>
      <c r="X46" s="364"/>
      <c r="Y46" s="364"/>
      <c r="Z46" s="364"/>
    </row>
    <row r="47" spans="2:26" s="660" customFormat="1" ht="170.5" outlineLevel="1" x14ac:dyDescent="0.35">
      <c r="B47" s="393" t="s">
        <v>476</v>
      </c>
      <c r="C47" s="661" t="s">
        <v>443</v>
      </c>
      <c r="D47" s="470" t="s">
        <v>1365</v>
      </c>
      <c r="E47" s="1016">
        <f>45.1*0.8404</f>
        <v>37.90204</v>
      </c>
      <c r="F47" s="650" t="s">
        <v>650</v>
      </c>
      <c r="G47" s="1033">
        <v>64099.999999999993</v>
      </c>
      <c r="H47" s="650" t="s">
        <v>650</v>
      </c>
      <c r="I47" s="873">
        <f t="shared" si="0"/>
        <v>2.4295207639999994</v>
      </c>
      <c r="J47" s="657"/>
      <c r="K47" s="657"/>
      <c r="L47" s="657"/>
      <c r="M47" s="657"/>
      <c r="N47" s="657"/>
      <c r="O47" s="657"/>
      <c r="P47" s="657"/>
      <c r="Q47" s="658"/>
      <c r="R47" s="656">
        <v>1.759262433046875E-5</v>
      </c>
      <c r="S47" s="393" t="s">
        <v>19</v>
      </c>
      <c r="T47" s="364"/>
      <c r="U47" s="364"/>
      <c r="V47" s="364"/>
      <c r="W47" s="364"/>
      <c r="X47" s="364"/>
      <c r="Y47" s="364"/>
      <c r="Z47" s="364"/>
    </row>
    <row r="48" spans="2:26" s="660" customFormat="1" ht="31" outlineLevel="1" x14ac:dyDescent="0.35">
      <c r="B48" s="393" t="s">
        <v>477</v>
      </c>
      <c r="C48" s="661" t="s">
        <v>443</v>
      </c>
      <c r="D48" s="470" t="s">
        <v>33</v>
      </c>
      <c r="E48" s="1016">
        <f>(47.2+48)/2*0.8404</f>
        <v>40.003040000000006</v>
      </c>
      <c r="F48" s="650" t="s">
        <v>650</v>
      </c>
      <c r="G48" s="1033">
        <v>56100</v>
      </c>
      <c r="H48" s="650" t="s">
        <v>651</v>
      </c>
      <c r="I48" s="1021">
        <f t="shared" si="0"/>
        <v>2.2441705440000002</v>
      </c>
      <c r="J48" s="657">
        <v>3.3599999999999996E-8</v>
      </c>
      <c r="K48" s="657">
        <v>3.3599999999999996E-8</v>
      </c>
      <c r="L48" s="657">
        <v>1.6799999999999997E-7</v>
      </c>
      <c r="M48" s="657">
        <v>1.6799999999999997E-7</v>
      </c>
      <c r="N48" s="657">
        <v>3.3600000000000004E-9</v>
      </c>
      <c r="O48" s="657">
        <v>3.3600000000000004E-9</v>
      </c>
      <c r="P48" s="657">
        <v>3.3600000000000004E-9</v>
      </c>
      <c r="Q48" s="658">
        <v>3.3600000000000004E-9</v>
      </c>
      <c r="R48" s="656">
        <v>1.759262433046875E-5</v>
      </c>
      <c r="S48" s="662" t="s">
        <v>50</v>
      </c>
      <c r="T48" s="364"/>
      <c r="U48" s="364"/>
      <c r="V48" s="364"/>
      <c r="W48" s="364"/>
      <c r="X48" s="364"/>
      <c r="Y48" s="364"/>
      <c r="Z48" s="364"/>
    </row>
    <row r="49" spans="2:26" s="660" customFormat="1" ht="77.5" outlineLevel="1" x14ac:dyDescent="0.35">
      <c r="B49" s="393" t="s">
        <v>1428</v>
      </c>
      <c r="C49" s="661" t="s">
        <v>446</v>
      </c>
      <c r="D49" s="470" t="s">
        <v>707</v>
      </c>
      <c r="E49" s="1016">
        <f>(44.2+45.2)/2</f>
        <v>44.7</v>
      </c>
      <c r="F49" s="650" t="s">
        <v>650</v>
      </c>
      <c r="G49" s="1033">
        <v>64100</v>
      </c>
      <c r="H49" s="650" t="s">
        <v>651</v>
      </c>
      <c r="I49" s="873">
        <f t="shared" si="0"/>
        <v>2.8652700000000002</v>
      </c>
      <c r="J49" s="657">
        <v>1.3260000000000002E-4</v>
      </c>
      <c r="K49" s="657">
        <v>1.3260000000000002E-4</v>
      </c>
      <c r="L49" s="657">
        <v>4.4199999999999996E-4</v>
      </c>
      <c r="M49" s="657">
        <v>4.4199999999999996E-4</v>
      </c>
      <c r="N49" s="657">
        <v>2.6519999999999997E-5</v>
      </c>
      <c r="O49" s="657">
        <v>2.6519999999999997E-5</v>
      </c>
      <c r="P49" s="657">
        <v>2.6519999999999997E-5</v>
      </c>
      <c r="Q49" s="658">
        <v>2.6519999999999997E-5</v>
      </c>
      <c r="R49" s="656"/>
      <c r="S49" s="393" t="s">
        <v>1041</v>
      </c>
      <c r="T49" s="364"/>
      <c r="U49" s="364"/>
      <c r="V49" s="364"/>
      <c r="W49" s="364"/>
      <c r="X49" s="364"/>
      <c r="Y49" s="364"/>
      <c r="Z49" s="364"/>
    </row>
    <row r="50" spans="2:26" s="653" customFormat="1" ht="62" outlineLevel="1" x14ac:dyDescent="0.35">
      <c r="B50" s="393" t="s">
        <v>1430</v>
      </c>
      <c r="C50" s="661" t="s">
        <v>490</v>
      </c>
      <c r="D50" s="470" t="s">
        <v>34</v>
      </c>
      <c r="E50" s="1016">
        <f>(42.3+43.3)/2*0.837</f>
        <v>35.823599999999999</v>
      </c>
      <c r="F50" s="650" t="s">
        <v>1624</v>
      </c>
      <c r="G50" s="1033">
        <v>74000</v>
      </c>
      <c r="H50" s="650" t="s">
        <v>650</v>
      </c>
      <c r="I50" s="873">
        <f t="shared" si="0"/>
        <v>2.6509464</v>
      </c>
      <c r="J50" s="657">
        <v>1.0836E-7</v>
      </c>
      <c r="K50" s="657">
        <v>1.0836E-7</v>
      </c>
      <c r="L50" s="657">
        <v>3.6119999999999998E-7</v>
      </c>
      <c r="M50" s="657">
        <v>3.6119999999999998E-7</v>
      </c>
      <c r="N50" s="657">
        <v>2.1671999999999997E-8</v>
      </c>
      <c r="O50" s="657">
        <v>2.1671999999999997E-8</v>
      </c>
      <c r="P50" s="657">
        <v>2.1671999999999997E-8</v>
      </c>
      <c r="Q50" s="658">
        <v>2.1671999999999997E-8</v>
      </c>
      <c r="R50" s="656">
        <v>2.2411459459459466E-6</v>
      </c>
      <c r="S50" s="393" t="s">
        <v>1043</v>
      </c>
      <c r="T50" s="471"/>
      <c r="U50" s="471"/>
      <c r="V50" s="471"/>
      <c r="W50" s="471"/>
      <c r="X50" s="471"/>
      <c r="Y50" s="471"/>
      <c r="Z50" s="471"/>
    </row>
    <row r="51" spans="2:26" s="664" customFormat="1" ht="141.5" outlineLevel="1" x14ac:dyDescent="0.35">
      <c r="B51" s="393" t="s">
        <v>13</v>
      </c>
      <c r="C51" s="661" t="s">
        <v>444</v>
      </c>
      <c r="D51" s="470" t="s">
        <v>34</v>
      </c>
      <c r="E51" s="1016">
        <f>(44.5*(715+780)/2)/1000</f>
        <v>33.263750000000002</v>
      </c>
      <c r="F51" s="650" t="s">
        <v>853</v>
      </c>
      <c r="G51" s="1033">
        <v>69200</v>
      </c>
      <c r="H51" s="650" t="s">
        <v>651</v>
      </c>
      <c r="I51" s="873">
        <f>G51*E51/1000000</f>
        <v>2.3018515000000002</v>
      </c>
      <c r="J51" s="657">
        <v>9.8345999999999986E-8</v>
      </c>
      <c r="K51" s="657">
        <v>9.8345999999999986E-8</v>
      </c>
      <c r="L51" s="657">
        <v>3.2781999999999998E-7</v>
      </c>
      <c r="M51" s="657">
        <v>3.2781999999999998E-7</v>
      </c>
      <c r="N51" s="657">
        <v>1.9669199999999997E-8</v>
      </c>
      <c r="O51" s="657">
        <v>1.9669199999999997E-8</v>
      </c>
      <c r="P51" s="657">
        <v>1.9669199999999997E-8</v>
      </c>
      <c r="Q51" s="658">
        <v>1.9669199999999997E-8</v>
      </c>
      <c r="R51" s="656">
        <v>2.2411459459459466E-6</v>
      </c>
      <c r="S51" s="393" t="s">
        <v>1512</v>
      </c>
      <c r="T51" s="663"/>
      <c r="U51" s="663"/>
      <c r="V51" s="663"/>
      <c r="W51" s="663"/>
      <c r="X51" s="663"/>
      <c r="Y51" s="663"/>
      <c r="Z51" s="663"/>
    </row>
    <row r="52" spans="2:26" s="653" customFormat="1" ht="56" customHeight="1" outlineLevel="1" x14ac:dyDescent="0.35">
      <c r="B52" s="393" t="s">
        <v>192</v>
      </c>
      <c r="C52" s="661" t="s">
        <v>445</v>
      </c>
      <c r="D52" s="470" t="s">
        <v>34</v>
      </c>
      <c r="E52" s="1016">
        <f>(44.3*(715+780)/2)/1000</f>
        <v>33.114249999999998</v>
      </c>
      <c r="F52" s="650" t="s">
        <v>1625</v>
      </c>
      <c r="G52" s="1033">
        <v>70000</v>
      </c>
      <c r="H52" s="650" t="s">
        <v>652</v>
      </c>
      <c r="I52" s="873">
        <f t="shared" si="0"/>
        <v>2.3179975000000002</v>
      </c>
      <c r="J52" s="657">
        <v>9.4358999999999978E-8</v>
      </c>
      <c r="K52" s="657">
        <v>9.4358999999999978E-8</v>
      </c>
      <c r="L52" s="657">
        <v>3.1453E-7</v>
      </c>
      <c r="M52" s="657">
        <v>3.1453E-7</v>
      </c>
      <c r="N52" s="657">
        <v>1.8871799999999998E-8</v>
      </c>
      <c r="O52" s="657">
        <v>1.8871799999999998E-8</v>
      </c>
      <c r="P52" s="657">
        <v>1.8871799999999998E-8</v>
      </c>
      <c r="Q52" s="658">
        <v>1.8871799999999998E-8</v>
      </c>
      <c r="R52" s="656">
        <v>2.2411459459459466E-6</v>
      </c>
      <c r="S52" s="662" t="s">
        <v>50</v>
      </c>
      <c r="T52" s="471"/>
      <c r="U52" s="471"/>
      <c r="V52" s="471"/>
      <c r="W52" s="471"/>
      <c r="X52" s="471"/>
      <c r="Y52" s="471"/>
      <c r="Z52" s="471"/>
    </row>
    <row r="53" spans="2:26" s="653" customFormat="1" ht="46.5" outlineLevel="1" x14ac:dyDescent="0.35">
      <c r="B53" s="393" t="s">
        <v>1061</v>
      </c>
      <c r="C53" s="661" t="s">
        <v>491</v>
      </c>
      <c r="D53" s="470" t="s">
        <v>34</v>
      </c>
      <c r="E53" s="1016">
        <f>E52</f>
        <v>33.114249999999998</v>
      </c>
      <c r="F53" s="650" t="str">
        <f>F52</f>
        <v xml:space="preserve">PCI - IPCC 2006; 
Densidade - https://www.engineeringtoolbox.com/fuels-densities-specific-volumes-d_166.html </v>
      </c>
      <c r="G53" s="1033">
        <v>70000</v>
      </c>
      <c r="H53" s="650" t="s">
        <v>652</v>
      </c>
      <c r="I53" s="873">
        <f t="shared" si="0"/>
        <v>2.3179975000000002</v>
      </c>
      <c r="J53" s="657">
        <v>1.3289999999999998E-4</v>
      </c>
      <c r="K53" s="657">
        <v>1.3289999999999998E-4</v>
      </c>
      <c r="L53" s="657">
        <v>4.4299999999999998E-4</v>
      </c>
      <c r="M53" s="657">
        <v>4.4299999999999998E-4</v>
      </c>
      <c r="N53" s="657">
        <v>2.6579999999999996E-5</v>
      </c>
      <c r="O53" s="657">
        <v>2.6579999999999996E-5</v>
      </c>
      <c r="P53" s="657">
        <v>2.6579999999999996E-5</v>
      </c>
      <c r="Q53" s="658">
        <v>2.6579999999999996E-5</v>
      </c>
      <c r="R53" s="656">
        <v>2.2411459459459466E-6</v>
      </c>
      <c r="S53" s="662" t="s">
        <v>50</v>
      </c>
      <c r="T53" s="471"/>
      <c r="U53" s="471"/>
      <c r="V53" s="471"/>
      <c r="W53" s="471"/>
      <c r="X53" s="471"/>
      <c r="Y53" s="471"/>
      <c r="Z53" s="471"/>
    </row>
    <row r="54" spans="2:26" s="660" customFormat="1" ht="170.5" outlineLevel="1" x14ac:dyDescent="0.35">
      <c r="B54" s="393" t="s">
        <v>1621</v>
      </c>
      <c r="C54" s="661" t="s">
        <v>492</v>
      </c>
      <c r="D54" s="470" t="s">
        <v>707</v>
      </c>
      <c r="E54" s="1016">
        <f>(5.6+10.5)/2</f>
        <v>8.0500000000000007</v>
      </c>
      <c r="F54" s="650" t="s">
        <v>650</v>
      </c>
      <c r="G54" s="1033">
        <v>101100</v>
      </c>
      <c r="H54" s="650" t="s">
        <v>650</v>
      </c>
      <c r="I54" s="873">
        <f t="shared" si="0"/>
        <v>0.81385500000000011</v>
      </c>
      <c r="J54" s="657">
        <v>1.19E-5</v>
      </c>
      <c r="K54" s="657">
        <v>1.1899999999999999E-4</v>
      </c>
      <c r="L54" s="657">
        <v>1.1899999999999999E-4</v>
      </c>
      <c r="M54" s="657">
        <v>3.5699999999999998E-3</v>
      </c>
      <c r="N54" s="657">
        <v>1.785E-5</v>
      </c>
      <c r="O54" s="657">
        <v>1.785E-5</v>
      </c>
      <c r="P54" s="657">
        <v>1.785E-5</v>
      </c>
      <c r="Q54" s="658">
        <v>1.785E-5</v>
      </c>
      <c r="R54" s="656"/>
      <c r="S54" s="393" t="s">
        <v>1011</v>
      </c>
      <c r="T54" s="364"/>
      <c r="U54" s="364"/>
      <c r="V54" s="364"/>
      <c r="W54" s="364"/>
      <c r="X54" s="364"/>
      <c r="Y54" s="364"/>
      <c r="Z54" s="364"/>
    </row>
    <row r="55" spans="2:26" s="660" customFormat="1" outlineLevel="1" x14ac:dyDescent="0.35">
      <c r="B55" s="393" t="s">
        <v>1433</v>
      </c>
      <c r="C55" s="661" t="s">
        <v>493</v>
      </c>
      <c r="D55" s="470" t="s">
        <v>707</v>
      </c>
      <c r="E55" s="1016">
        <f>(10+21)/2</f>
        <v>15.5</v>
      </c>
      <c r="F55" s="650" t="s">
        <v>650</v>
      </c>
      <c r="G55" s="1033">
        <v>101100</v>
      </c>
      <c r="H55" s="650" t="s">
        <v>650</v>
      </c>
      <c r="I55" s="873">
        <f t="shared" si="0"/>
        <v>1.5670500000000001</v>
      </c>
      <c r="J55" s="657">
        <v>2.8199999999999998E-5</v>
      </c>
      <c r="K55" s="657">
        <v>2.8199999999999997E-4</v>
      </c>
      <c r="L55" s="657">
        <v>2.8199999999999997E-4</v>
      </c>
      <c r="M55" s="657">
        <v>8.4599999999999988E-3</v>
      </c>
      <c r="N55" s="657">
        <v>4.2299999999999998E-5</v>
      </c>
      <c r="O55" s="657">
        <v>4.2299999999999998E-5</v>
      </c>
      <c r="P55" s="657">
        <v>4.2299999999999998E-5</v>
      </c>
      <c r="Q55" s="658">
        <v>4.2299999999999998E-5</v>
      </c>
      <c r="R55" s="656"/>
      <c r="S55" s="662" t="s">
        <v>50</v>
      </c>
      <c r="T55" s="364"/>
      <c r="U55" s="364"/>
      <c r="V55" s="364"/>
      <c r="W55" s="364"/>
      <c r="X55" s="364"/>
      <c r="Y55" s="364"/>
      <c r="Z55" s="364"/>
    </row>
    <row r="56" spans="2:26" s="660" customFormat="1" ht="93" outlineLevel="1" x14ac:dyDescent="0.35">
      <c r="B56" s="393" t="s">
        <v>6</v>
      </c>
      <c r="C56" s="661" t="s">
        <v>447</v>
      </c>
      <c r="D56" s="470" t="s">
        <v>707</v>
      </c>
      <c r="E56" s="1016">
        <v>40.200000000000003</v>
      </c>
      <c r="F56" s="650" t="s">
        <v>650</v>
      </c>
      <c r="G56" s="1033">
        <v>73300</v>
      </c>
      <c r="H56" s="650" t="s">
        <v>651</v>
      </c>
      <c r="I56" s="873">
        <f t="shared" si="0"/>
        <v>2.9466600000000001</v>
      </c>
      <c r="J56" s="657">
        <v>1.2060000000000001E-7</v>
      </c>
      <c r="K56" s="657">
        <v>1.2060000000000001E-7</v>
      </c>
      <c r="L56" s="657">
        <v>4.0200000000000003E-7</v>
      </c>
      <c r="M56" s="657">
        <v>4.0200000000000003E-7</v>
      </c>
      <c r="N56" s="657">
        <v>2.412E-8</v>
      </c>
      <c r="O56" s="657">
        <v>2.412E-8</v>
      </c>
      <c r="P56" s="657">
        <v>2.412E-8</v>
      </c>
      <c r="Q56" s="658">
        <v>2.412E-8</v>
      </c>
      <c r="R56" s="656"/>
      <c r="S56" s="393" t="s">
        <v>1518</v>
      </c>
      <c r="T56" s="364"/>
      <c r="U56" s="364"/>
      <c r="V56" s="364"/>
      <c r="W56" s="364"/>
      <c r="X56" s="364"/>
      <c r="Y56" s="364"/>
      <c r="Z56" s="364"/>
    </row>
    <row r="57" spans="2:26" s="660" customFormat="1" ht="124" outlineLevel="1" x14ac:dyDescent="0.35">
      <c r="B57" s="393" t="s">
        <v>15</v>
      </c>
      <c r="C57" s="661" t="s">
        <v>494</v>
      </c>
      <c r="D57" s="470" t="s">
        <v>707</v>
      </c>
      <c r="E57" s="1016">
        <v>43</v>
      </c>
      <c r="F57" s="650" t="s">
        <v>650</v>
      </c>
      <c r="G57" s="1033">
        <v>73300</v>
      </c>
      <c r="H57" s="650" t="s">
        <v>651</v>
      </c>
      <c r="I57" s="873">
        <f t="shared" si="0"/>
        <v>3.1518999999999999</v>
      </c>
      <c r="J57" s="657">
        <v>1.2899999999999999E-4</v>
      </c>
      <c r="K57" s="657">
        <v>1.2899999999999999E-4</v>
      </c>
      <c r="L57" s="657">
        <v>4.2999999999999999E-4</v>
      </c>
      <c r="M57" s="657">
        <v>4.2999999999999999E-4</v>
      </c>
      <c r="N57" s="657">
        <v>2.58E-5</v>
      </c>
      <c r="O57" s="657">
        <v>2.58E-5</v>
      </c>
      <c r="P57" s="657">
        <v>2.58E-5</v>
      </c>
      <c r="Q57" s="658">
        <v>2.58E-5</v>
      </c>
      <c r="R57" s="656"/>
      <c r="S57" s="393" t="s">
        <v>1042</v>
      </c>
      <c r="T57" s="364"/>
      <c r="U57" s="364"/>
      <c r="V57" s="364"/>
      <c r="W57" s="364"/>
      <c r="X57" s="364"/>
      <c r="Y57" s="364"/>
      <c r="Z57" s="364"/>
    </row>
    <row r="58" spans="2:26" s="653" customFormat="1" ht="79.5" outlineLevel="1" x14ac:dyDescent="0.35">
      <c r="B58" s="393" t="s">
        <v>1045</v>
      </c>
      <c r="C58" s="661" t="s">
        <v>448</v>
      </c>
      <c r="D58" s="470" t="s">
        <v>34</v>
      </c>
      <c r="E58" s="1016">
        <f>44.5*(0.62+0.88)/2</f>
        <v>33.375</v>
      </c>
      <c r="F58" s="650" t="s">
        <v>1626</v>
      </c>
      <c r="G58" s="1033">
        <v>73300</v>
      </c>
      <c r="H58" s="650" t="s">
        <v>651</v>
      </c>
      <c r="I58" s="873">
        <f t="shared" si="0"/>
        <v>2.4463875000000002</v>
      </c>
      <c r="J58" s="657">
        <v>1.02795E-7</v>
      </c>
      <c r="K58" s="657">
        <v>1.02795E-7</v>
      </c>
      <c r="L58" s="657">
        <v>3.4265000000000001E-7</v>
      </c>
      <c r="M58" s="657">
        <v>3.4265000000000001E-7</v>
      </c>
      <c r="N58" s="657">
        <v>2.0559000000000002E-8</v>
      </c>
      <c r="O58" s="657">
        <v>2.0559000000000002E-8</v>
      </c>
      <c r="P58" s="657">
        <v>2.0559000000000002E-8</v>
      </c>
      <c r="Q58" s="658">
        <v>2.0559000000000002E-8</v>
      </c>
      <c r="R58" s="656">
        <v>2.2411459459459466E-6</v>
      </c>
      <c r="S58" s="393" t="s">
        <v>1517</v>
      </c>
      <c r="T58" s="471"/>
      <c r="U58" s="471"/>
      <c r="V58" s="471"/>
      <c r="W58" s="471"/>
      <c r="X58" s="471"/>
      <c r="Y58" s="471"/>
      <c r="Z58" s="471"/>
    </row>
    <row r="59" spans="2:26" s="660" customFormat="1" ht="31" outlineLevel="1" x14ac:dyDescent="0.35">
      <c r="B59" s="393" t="s">
        <v>450</v>
      </c>
      <c r="C59" s="661" t="s">
        <v>451</v>
      </c>
      <c r="D59" s="470" t="s">
        <v>707</v>
      </c>
      <c r="E59" s="1016">
        <v>38.1</v>
      </c>
      <c r="F59" s="650" t="s">
        <v>650</v>
      </c>
      <c r="G59" s="1033">
        <v>73300</v>
      </c>
      <c r="H59" s="650" t="s">
        <v>651</v>
      </c>
      <c r="I59" s="873">
        <f t="shared" si="0"/>
        <v>2.7927300000000002</v>
      </c>
      <c r="J59" s="657">
        <v>1.1430000000000001E-7</v>
      </c>
      <c r="K59" s="657">
        <v>1.1430000000000001E-7</v>
      </c>
      <c r="L59" s="657">
        <v>3.8099999999999998E-7</v>
      </c>
      <c r="M59" s="657">
        <v>3.8099999999999998E-7</v>
      </c>
      <c r="N59" s="657">
        <v>2.2860000000000001E-8</v>
      </c>
      <c r="O59" s="657">
        <v>2.2860000000000001E-8</v>
      </c>
      <c r="P59" s="657">
        <v>2.2860000000000001E-8</v>
      </c>
      <c r="Q59" s="658">
        <v>2.2860000000000001E-8</v>
      </c>
      <c r="R59" s="656"/>
      <c r="S59" s="393" t="s">
        <v>22</v>
      </c>
      <c r="T59" s="364"/>
      <c r="U59" s="364"/>
      <c r="V59" s="364"/>
      <c r="W59" s="364"/>
      <c r="X59" s="364"/>
      <c r="Y59" s="364"/>
      <c r="Z59" s="364"/>
    </row>
    <row r="60" spans="2:26" s="660" customFormat="1" ht="31" outlineLevel="1" x14ac:dyDescent="0.35">
      <c r="B60" s="393" t="s">
        <v>478</v>
      </c>
      <c r="C60" s="661" t="s">
        <v>452</v>
      </c>
      <c r="D60" s="470" t="s">
        <v>707</v>
      </c>
      <c r="E60" s="1016">
        <v>40.200000000000003</v>
      </c>
      <c r="F60" s="650" t="s">
        <v>650</v>
      </c>
      <c r="G60" s="1033">
        <v>73300</v>
      </c>
      <c r="H60" s="650" t="s">
        <v>651</v>
      </c>
      <c r="I60" s="873">
        <f t="shared" si="0"/>
        <v>2.9466600000000001</v>
      </c>
      <c r="J60" s="657">
        <v>1.206E-3</v>
      </c>
      <c r="K60" s="657">
        <v>1.206E-3</v>
      </c>
      <c r="L60" s="657">
        <v>1.206E-2</v>
      </c>
      <c r="M60" s="657">
        <v>1.206E-2</v>
      </c>
      <c r="N60" s="657">
        <v>1.6080000000000001E-4</v>
      </c>
      <c r="O60" s="657">
        <v>1.6080000000000001E-4</v>
      </c>
      <c r="P60" s="657">
        <v>1.6080000000000001E-4</v>
      </c>
      <c r="Q60" s="658">
        <v>1.6080000000000001E-4</v>
      </c>
      <c r="R60" s="656"/>
      <c r="S60" s="662" t="s">
        <v>50</v>
      </c>
      <c r="T60" s="364"/>
      <c r="U60" s="364"/>
      <c r="V60" s="364"/>
      <c r="W60" s="364"/>
      <c r="X60" s="364"/>
      <c r="Y60" s="364"/>
      <c r="Z60" s="364"/>
    </row>
    <row r="61" spans="2:26" s="660" customFormat="1" ht="31" outlineLevel="1" x14ac:dyDescent="0.35">
      <c r="B61" s="393" t="s">
        <v>479</v>
      </c>
      <c r="C61" s="661" t="s">
        <v>495</v>
      </c>
      <c r="D61" s="470" t="s">
        <v>707</v>
      </c>
      <c r="E61" s="1016">
        <v>27.5</v>
      </c>
      <c r="F61" s="650" t="s">
        <v>650</v>
      </c>
      <c r="G61" s="1033">
        <v>76900</v>
      </c>
      <c r="H61" s="650" t="s">
        <v>651</v>
      </c>
      <c r="I61" s="873">
        <f t="shared" si="0"/>
        <v>2.1147499999999999</v>
      </c>
      <c r="J61" s="657">
        <v>8.25E-5</v>
      </c>
      <c r="K61" s="657">
        <v>8.25E-5</v>
      </c>
      <c r="L61" s="657">
        <v>2.7499999999999996E-4</v>
      </c>
      <c r="M61" s="657">
        <v>2.7499999999999996E-4</v>
      </c>
      <c r="N61" s="657">
        <v>1.6499999999999998E-5</v>
      </c>
      <c r="O61" s="657">
        <v>1.6499999999999998E-5</v>
      </c>
      <c r="P61" s="657">
        <v>1.6499999999999998E-5</v>
      </c>
      <c r="Q61" s="658">
        <v>1.6499999999999998E-5</v>
      </c>
      <c r="R61" s="656"/>
      <c r="S61" s="662" t="s">
        <v>50</v>
      </c>
      <c r="T61" s="364"/>
      <c r="U61" s="364"/>
      <c r="V61" s="364"/>
      <c r="W61" s="364"/>
      <c r="X61" s="364"/>
      <c r="Y61" s="364"/>
      <c r="Z61" s="364"/>
    </row>
    <row r="62" spans="2:26" s="660" customFormat="1" outlineLevel="1" x14ac:dyDescent="0.35">
      <c r="B62" s="393" t="s">
        <v>480</v>
      </c>
      <c r="C62" s="661" t="s">
        <v>435</v>
      </c>
      <c r="D62" s="470" t="s">
        <v>707</v>
      </c>
      <c r="E62" s="1016">
        <v>25.8</v>
      </c>
      <c r="F62" s="650" t="s">
        <v>652</v>
      </c>
      <c r="G62" s="1033">
        <v>94600</v>
      </c>
      <c r="H62" s="650" t="s">
        <v>652</v>
      </c>
      <c r="I62" s="873">
        <f t="shared" si="0"/>
        <v>2.44068</v>
      </c>
      <c r="J62" s="657">
        <v>2.58E-5</v>
      </c>
      <c r="K62" s="657">
        <v>2.5799999999999998E-4</v>
      </c>
      <c r="L62" s="657">
        <v>2.5799999999999998E-4</v>
      </c>
      <c r="M62" s="657">
        <v>7.7399999999999995E-3</v>
      </c>
      <c r="N62" s="657">
        <v>3.8699999999999999E-5</v>
      </c>
      <c r="O62" s="657">
        <v>3.8699999999999999E-5</v>
      </c>
      <c r="P62" s="657">
        <v>3.8699999999999999E-5</v>
      </c>
      <c r="Q62" s="658">
        <v>3.8699999999999999E-5</v>
      </c>
      <c r="R62" s="656"/>
      <c r="S62" s="662" t="s">
        <v>50</v>
      </c>
      <c r="T62" s="364"/>
      <c r="U62" s="364"/>
      <c r="V62" s="364"/>
      <c r="W62" s="364"/>
      <c r="X62" s="364"/>
      <c r="Y62" s="364"/>
      <c r="Z62" s="364"/>
    </row>
    <row r="63" spans="2:26" s="653" customFormat="1" ht="124" outlineLevel="1" x14ac:dyDescent="0.35">
      <c r="B63" s="393" t="s">
        <v>454</v>
      </c>
      <c r="C63" s="661" t="s">
        <v>455</v>
      </c>
      <c r="D63" s="470" t="s">
        <v>34</v>
      </c>
      <c r="E63" s="1016">
        <f>42.3*850/1000</f>
        <v>35.954999999999998</v>
      </c>
      <c r="F63" s="650" t="s">
        <v>1627</v>
      </c>
      <c r="G63" s="1033">
        <v>73300</v>
      </c>
      <c r="H63" s="650" t="s">
        <v>651</v>
      </c>
      <c r="I63" s="873">
        <f t="shared" si="0"/>
        <v>2.6355015000000002</v>
      </c>
      <c r="J63" s="657">
        <v>1.0151999999999999E-7</v>
      </c>
      <c r="K63" s="657">
        <v>1.0151999999999999E-7</v>
      </c>
      <c r="L63" s="657">
        <v>3.3840000000000001E-7</v>
      </c>
      <c r="M63" s="657">
        <v>3.3840000000000001E-7</v>
      </c>
      <c r="N63" s="657">
        <v>2.0304000000000001E-8</v>
      </c>
      <c r="O63" s="657">
        <v>2.0304000000000001E-8</v>
      </c>
      <c r="P63" s="657">
        <v>2.0304000000000001E-8</v>
      </c>
      <c r="Q63" s="658">
        <v>2.0304000000000001E-8</v>
      </c>
      <c r="R63" s="656">
        <v>2.2411459459459466E-6</v>
      </c>
      <c r="S63" s="393" t="s">
        <v>1516</v>
      </c>
      <c r="T63" s="471"/>
      <c r="U63" s="471"/>
      <c r="V63" s="471"/>
      <c r="W63" s="471"/>
      <c r="X63" s="471"/>
      <c r="Y63" s="471"/>
      <c r="Z63" s="471"/>
    </row>
    <row r="64" spans="2:26" s="653" customFormat="1" ht="112.5" outlineLevel="1" x14ac:dyDescent="0.35">
      <c r="B64" s="393" t="s">
        <v>1046</v>
      </c>
      <c r="C64" s="661" t="s">
        <v>456</v>
      </c>
      <c r="D64" s="470" t="s">
        <v>34</v>
      </c>
      <c r="E64" s="1016">
        <f>43.8*(775+840)/2/1000</f>
        <v>35.368499999999997</v>
      </c>
      <c r="F64" s="650" t="s">
        <v>1628</v>
      </c>
      <c r="G64" s="1033">
        <v>71800</v>
      </c>
      <c r="H64" s="650" t="s">
        <v>652</v>
      </c>
      <c r="I64" s="873">
        <f t="shared" si="0"/>
        <v>2.5394582999999997</v>
      </c>
      <c r="J64" s="657">
        <v>1.0451700000000001E-7</v>
      </c>
      <c r="K64" s="657">
        <v>1.0451700000000001E-7</v>
      </c>
      <c r="L64" s="657">
        <v>3.4839000000000001E-7</v>
      </c>
      <c r="M64" s="657">
        <v>3.4839000000000001E-7</v>
      </c>
      <c r="N64" s="657">
        <v>2.09034E-8</v>
      </c>
      <c r="O64" s="657">
        <v>2.09034E-8</v>
      </c>
      <c r="P64" s="657">
        <v>2.09034E-8</v>
      </c>
      <c r="Q64" s="658">
        <v>2.09034E-8</v>
      </c>
      <c r="R64" s="656">
        <v>2.2411459459459466E-6</v>
      </c>
      <c r="S64" s="393" t="s">
        <v>1515</v>
      </c>
      <c r="T64" s="471"/>
      <c r="U64" s="471"/>
      <c r="V64" s="471"/>
      <c r="W64" s="471"/>
      <c r="X64" s="471"/>
      <c r="Y64" s="471"/>
      <c r="Z64" s="471"/>
    </row>
    <row r="65" spans="1:86" s="665" customFormat="1" ht="93" outlineLevel="1" x14ac:dyDescent="0.35">
      <c r="B65" s="393" t="s">
        <v>1431</v>
      </c>
      <c r="C65" s="661" t="s">
        <v>457</v>
      </c>
      <c r="D65" s="470" t="s">
        <v>707</v>
      </c>
      <c r="E65" s="1016">
        <v>10</v>
      </c>
      <c r="F65" s="650" t="s">
        <v>652</v>
      </c>
      <c r="G65" s="1033">
        <v>91700</v>
      </c>
      <c r="H65" s="650" t="s">
        <v>652</v>
      </c>
      <c r="I65" s="873">
        <f t="shared" si="0"/>
        <v>0.91700000000000004</v>
      </c>
      <c r="J65" s="657">
        <v>2.9999999999999997E-4</v>
      </c>
      <c r="K65" s="657">
        <v>2.9999999999999997E-4</v>
      </c>
      <c r="L65" s="657">
        <v>3.0000000000000001E-3</v>
      </c>
      <c r="M65" s="657">
        <v>3.0000000000000001E-3</v>
      </c>
      <c r="N65" s="657">
        <v>3.9999999999999996E-5</v>
      </c>
      <c r="O65" s="657">
        <v>3.9999999999999996E-5</v>
      </c>
      <c r="P65" s="657">
        <v>3.9999999999999996E-5</v>
      </c>
      <c r="Q65" s="658">
        <v>3.9999999999999996E-5</v>
      </c>
      <c r="R65" s="656"/>
      <c r="S65" s="393" t="s">
        <v>17</v>
      </c>
      <c r="T65" s="179"/>
      <c r="U65" s="179"/>
      <c r="V65" s="179"/>
      <c r="W65" s="179"/>
      <c r="X65" s="179"/>
      <c r="Y65" s="179"/>
      <c r="Z65" s="179"/>
    </row>
    <row r="66" spans="1:86" s="660" customFormat="1" ht="155" outlineLevel="1" x14ac:dyDescent="0.35">
      <c r="B66" s="393" t="s">
        <v>459</v>
      </c>
      <c r="C66" s="661" t="s">
        <v>460</v>
      </c>
      <c r="D66" s="470" t="s">
        <v>707</v>
      </c>
      <c r="E66" s="1016">
        <v>8.5</v>
      </c>
      <c r="F66" s="650" t="s">
        <v>650</v>
      </c>
      <c r="G66" s="1033">
        <v>106600</v>
      </c>
      <c r="H66" s="650" t="s">
        <v>651</v>
      </c>
      <c r="I66" s="873">
        <f t="shared" si="0"/>
        <v>0.90610000000000002</v>
      </c>
      <c r="J66" s="657">
        <v>8.8999999999999995E-6</v>
      </c>
      <c r="K66" s="657">
        <v>8.8999999999999995E-5</v>
      </c>
      <c r="L66" s="657">
        <v>8.8999999999999995E-5</v>
      </c>
      <c r="M66" s="657">
        <v>2.6700000000000001E-3</v>
      </c>
      <c r="N66" s="657">
        <v>1.3350000000000001E-5</v>
      </c>
      <c r="O66" s="657">
        <v>1.3350000000000001E-5</v>
      </c>
      <c r="P66" s="657">
        <v>1.3350000000000001E-5</v>
      </c>
      <c r="Q66" s="658">
        <v>1.3350000000000001E-5</v>
      </c>
      <c r="R66" s="656"/>
      <c r="S66" s="393" t="s">
        <v>20</v>
      </c>
      <c r="T66" s="364"/>
      <c r="U66" s="364"/>
      <c r="V66" s="364"/>
      <c r="W66" s="364"/>
      <c r="X66" s="364"/>
      <c r="Y66" s="364"/>
      <c r="Z66" s="364"/>
    </row>
    <row r="67" spans="1:86" s="660" customFormat="1" ht="31" outlineLevel="1" x14ac:dyDescent="0.35">
      <c r="B67" s="393" t="s">
        <v>10</v>
      </c>
      <c r="C67" s="661" t="s">
        <v>463</v>
      </c>
      <c r="D67" s="470" t="s">
        <v>707</v>
      </c>
      <c r="E67" s="1016">
        <v>27</v>
      </c>
      <c r="F67" s="650" t="s">
        <v>652</v>
      </c>
      <c r="G67" s="1033">
        <v>70800</v>
      </c>
      <c r="H67" s="650" t="s">
        <v>652</v>
      </c>
      <c r="I67" s="873">
        <f t="shared" si="0"/>
        <v>1.9116</v>
      </c>
      <c r="J67" s="657">
        <v>8.099999999999999E-5</v>
      </c>
      <c r="K67" s="657">
        <v>8.099999999999999E-5</v>
      </c>
      <c r="L67" s="657">
        <v>2.7E-4</v>
      </c>
      <c r="M67" s="657">
        <v>2.7E-4</v>
      </c>
      <c r="N67" s="657">
        <v>1.6199999999999997E-5</v>
      </c>
      <c r="O67" s="657">
        <v>1.6199999999999997E-5</v>
      </c>
      <c r="P67" s="657">
        <v>1.6199999999999997E-5</v>
      </c>
      <c r="Q67" s="658">
        <v>1.6199999999999997E-5</v>
      </c>
      <c r="R67" s="656"/>
      <c r="S67" s="393" t="s">
        <v>619</v>
      </c>
      <c r="T67" s="364"/>
      <c r="U67" s="364"/>
      <c r="V67" s="364"/>
      <c r="W67" s="364"/>
      <c r="X67" s="364"/>
      <c r="Y67" s="364"/>
      <c r="Z67" s="364"/>
    </row>
    <row r="68" spans="1:86" s="660" customFormat="1" ht="139.5" outlineLevel="1" x14ac:dyDescent="0.35">
      <c r="B68" s="393" t="s">
        <v>11</v>
      </c>
      <c r="C68" s="666" t="s">
        <v>496</v>
      </c>
      <c r="D68" s="470" t="s">
        <v>707</v>
      </c>
      <c r="E68" s="1016">
        <v>27</v>
      </c>
      <c r="F68" s="650" t="s">
        <v>652</v>
      </c>
      <c r="G68" s="1033">
        <v>70800</v>
      </c>
      <c r="H68" s="650" t="s">
        <v>652</v>
      </c>
      <c r="I68" s="873">
        <f t="shared" si="0"/>
        <v>1.9116</v>
      </c>
      <c r="J68" s="657">
        <v>8.099999999999999E-5</v>
      </c>
      <c r="K68" s="657">
        <v>8.099999999999999E-5</v>
      </c>
      <c r="L68" s="657">
        <v>2.7E-4</v>
      </c>
      <c r="M68" s="657">
        <v>2.7E-4</v>
      </c>
      <c r="N68" s="657">
        <v>1.6199999999999997E-5</v>
      </c>
      <c r="O68" s="657">
        <v>1.6199999999999997E-5</v>
      </c>
      <c r="P68" s="657">
        <v>1.6199999999999997E-5</v>
      </c>
      <c r="Q68" s="658">
        <v>1.6199999999999997E-5</v>
      </c>
      <c r="R68" s="656"/>
      <c r="S68" s="393" t="s">
        <v>620</v>
      </c>
      <c r="T68" s="364"/>
      <c r="U68" s="364"/>
      <c r="V68" s="364"/>
      <c r="W68" s="364"/>
      <c r="X68" s="364"/>
      <c r="Y68" s="364"/>
      <c r="Z68" s="364"/>
    </row>
    <row r="69" spans="1:86" s="660" customFormat="1" ht="46.5" outlineLevel="1" x14ac:dyDescent="0.35">
      <c r="B69" s="393" t="s">
        <v>464</v>
      </c>
      <c r="C69" s="661" t="s">
        <v>465</v>
      </c>
      <c r="D69" s="470" t="s">
        <v>707</v>
      </c>
      <c r="E69" s="1016">
        <v>29.5</v>
      </c>
      <c r="F69" s="650" t="s">
        <v>652</v>
      </c>
      <c r="G69" s="1033">
        <v>112000</v>
      </c>
      <c r="H69" s="650" t="s">
        <v>652</v>
      </c>
      <c r="I69" s="873">
        <f t="shared" si="0"/>
        <v>3.3039999999999998</v>
      </c>
      <c r="J69" s="657">
        <v>5.8999999999999999E-3</v>
      </c>
      <c r="K69" s="657">
        <v>5.8999999999999999E-3</v>
      </c>
      <c r="L69" s="657">
        <v>5.8999999999999999E-3</v>
      </c>
      <c r="M69" s="657">
        <v>5.8999999999999999E-3</v>
      </c>
      <c r="N69" s="657">
        <v>1.18E-4</v>
      </c>
      <c r="O69" s="657">
        <v>1.18E-4</v>
      </c>
      <c r="P69" s="657">
        <v>2.9499999999999999E-5</v>
      </c>
      <c r="Q69" s="658">
        <v>2.9499999999999999E-5</v>
      </c>
      <c r="R69" s="656"/>
      <c r="S69" s="393" t="s">
        <v>16</v>
      </c>
      <c r="T69" s="364"/>
      <c r="U69" s="364"/>
      <c r="V69" s="364"/>
      <c r="W69" s="364"/>
      <c r="X69" s="364"/>
      <c r="Y69" s="364"/>
      <c r="Z69" s="364"/>
    </row>
    <row r="70" spans="1:86" s="660" customFormat="1" ht="46.5" outlineLevel="1" x14ac:dyDescent="0.35">
      <c r="B70" s="393" t="s">
        <v>481</v>
      </c>
      <c r="C70" s="661" t="s">
        <v>497</v>
      </c>
      <c r="D70" s="470" t="s">
        <v>707</v>
      </c>
      <c r="E70" s="1016">
        <v>50.4</v>
      </c>
      <c r="F70" s="650" t="s">
        <v>652</v>
      </c>
      <c r="G70" s="1033">
        <v>54600</v>
      </c>
      <c r="H70" s="650" t="s">
        <v>652</v>
      </c>
      <c r="I70" s="873">
        <f t="shared" si="0"/>
        <v>2.7518400000000001</v>
      </c>
      <c r="J70" s="657">
        <v>5.0399999999999999E-5</v>
      </c>
      <c r="K70" s="657">
        <v>5.0399999999999999E-5</v>
      </c>
      <c r="L70" s="657">
        <v>2.52E-4</v>
      </c>
      <c r="M70" s="657">
        <v>2.52E-4</v>
      </c>
      <c r="N70" s="657">
        <v>5.04E-6</v>
      </c>
      <c r="O70" s="657">
        <v>5.04E-6</v>
      </c>
      <c r="P70" s="657">
        <v>5.04E-6</v>
      </c>
      <c r="Q70" s="658">
        <v>5.04E-6</v>
      </c>
      <c r="R70" s="656"/>
      <c r="S70" s="393" t="s">
        <v>23</v>
      </c>
      <c r="T70" s="364"/>
      <c r="U70" s="364"/>
      <c r="V70" s="364"/>
      <c r="W70" s="364"/>
      <c r="X70" s="364"/>
      <c r="Y70" s="364"/>
      <c r="Z70" s="364"/>
    </row>
    <row r="71" spans="1:86" s="660" customFormat="1" ht="77.5" outlineLevel="1" x14ac:dyDescent="0.35">
      <c r="B71" s="393" t="s">
        <v>1432</v>
      </c>
      <c r="C71" s="661" t="s">
        <v>466</v>
      </c>
      <c r="D71" s="393" t="s">
        <v>707</v>
      </c>
      <c r="E71" s="1016">
        <v>15.6</v>
      </c>
      <c r="F71" s="650" t="s">
        <v>652</v>
      </c>
      <c r="G71" s="1033">
        <v>112000</v>
      </c>
      <c r="H71" s="650" t="s">
        <v>652</v>
      </c>
      <c r="I71" s="873">
        <f t="shared" si="0"/>
        <v>1.7472000000000001</v>
      </c>
      <c r="J71" s="657">
        <v>4.6799999999999999E-4</v>
      </c>
      <c r="K71" s="657">
        <v>4.6799999999999999E-4</v>
      </c>
      <c r="L71" s="657">
        <v>4.6800000000000001E-3</v>
      </c>
      <c r="M71" s="657">
        <v>4.6800000000000001E-3</v>
      </c>
      <c r="N71" s="657">
        <v>6.2399999999999999E-5</v>
      </c>
      <c r="O71" s="657">
        <v>6.2399999999999999E-5</v>
      </c>
      <c r="P71" s="657">
        <v>6.2399999999999999E-5</v>
      </c>
      <c r="Q71" s="658">
        <v>6.2399999999999999E-5</v>
      </c>
      <c r="R71" s="656"/>
      <c r="S71" s="393" t="s">
        <v>24</v>
      </c>
      <c r="T71" s="364"/>
      <c r="U71" s="364"/>
      <c r="V71" s="364"/>
      <c r="W71" s="364"/>
      <c r="X71" s="364"/>
      <c r="Y71" s="364"/>
      <c r="Z71" s="364"/>
    </row>
    <row r="72" spans="1:86" s="660" customFormat="1" outlineLevel="1" x14ac:dyDescent="0.35">
      <c r="B72" s="393" t="s">
        <v>482</v>
      </c>
      <c r="C72" s="661" t="s">
        <v>462</v>
      </c>
      <c r="D72" s="393" t="s">
        <v>707</v>
      </c>
      <c r="E72" s="1016">
        <v>11.6</v>
      </c>
      <c r="F72" s="650" t="s">
        <v>652</v>
      </c>
      <c r="G72" s="1033">
        <v>100000</v>
      </c>
      <c r="H72" s="650" t="s">
        <v>652</v>
      </c>
      <c r="I72" s="873">
        <f t="shared" si="0"/>
        <v>1.1599999999999999</v>
      </c>
      <c r="J72" s="657">
        <v>3.48E-4</v>
      </c>
      <c r="K72" s="657">
        <v>2.32E-4</v>
      </c>
      <c r="L72" s="657">
        <v>3.48E-3</v>
      </c>
      <c r="M72" s="657">
        <v>3.48E-3</v>
      </c>
      <c r="N72" s="657">
        <v>4.6399999999999996E-5</v>
      </c>
      <c r="O72" s="657">
        <v>4.6399999999999996E-5</v>
      </c>
      <c r="P72" s="657">
        <v>4.6399999999999996E-5</v>
      </c>
      <c r="Q72" s="658">
        <v>4.6399999999999996E-5</v>
      </c>
      <c r="R72" s="656"/>
      <c r="S72" s="662" t="s">
        <v>50</v>
      </c>
      <c r="T72" s="364"/>
      <c r="U72" s="364"/>
      <c r="V72" s="364"/>
      <c r="W72" s="364"/>
      <c r="X72" s="364"/>
      <c r="Y72" s="364"/>
      <c r="Z72" s="364"/>
    </row>
    <row r="73" spans="1:86" s="660" customFormat="1" ht="31" outlineLevel="1" x14ac:dyDescent="0.35">
      <c r="B73" s="393" t="s">
        <v>483</v>
      </c>
      <c r="C73" s="661" t="s">
        <v>461</v>
      </c>
      <c r="D73" s="393" t="s">
        <v>707</v>
      </c>
      <c r="E73" s="1016">
        <v>27.4</v>
      </c>
      <c r="F73" s="650" t="s">
        <v>652</v>
      </c>
      <c r="G73" s="1033">
        <v>79600</v>
      </c>
      <c r="H73" s="650" t="s">
        <v>652</v>
      </c>
      <c r="I73" s="873">
        <f t="shared" si="0"/>
        <v>2.1810399999999999</v>
      </c>
      <c r="J73" s="657">
        <v>8.2199999999999979E-5</v>
      </c>
      <c r="K73" s="657">
        <v>8.2199999999999979E-5</v>
      </c>
      <c r="L73" s="657">
        <v>2.7399999999999999E-4</v>
      </c>
      <c r="M73" s="657">
        <v>2.7399999999999999E-4</v>
      </c>
      <c r="N73" s="657">
        <v>1.6439999999999998E-5</v>
      </c>
      <c r="O73" s="657">
        <v>1.6439999999999998E-5</v>
      </c>
      <c r="P73" s="657">
        <v>1.6439999999999998E-5</v>
      </c>
      <c r="Q73" s="658">
        <v>1.6439999999999998E-5</v>
      </c>
      <c r="R73" s="656"/>
      <c r="S73" s="393" t="s">
        <v>21</v>
      </c>
      <c r="T73" s="364"/>
      <c r="U73" s="364"/>
      <c r="V73" s="364"/>
      <c r="W73" s="364"/>
      <c r="X73" s="364"/>
      <c r="Y73" s="364"/>
      <c r="Z73" s="364"/>
    </row>
    <row r="74" spans="1:86" s="660" customFormat="1" ht="77.5" outlineLevel="1" x14ac:dyDescent="0.35">
      <c r="B74" s="393" t="s">
        <v>484</v>
      </c>
      <c r="C74" s="661" t="s">
        <v>467</v>
      </c>
      <c r="D74" s="393" t="s">
        <v>707</v>
      </c>
      <c r="E74" s="1016">
        <v>11.6</v>
      </c>
      <c r="F74" s="650" t="s">
        <v>652</v>
      </c>
      <c r="G74" s="1033">
        <v>100000</v>
      </c>
      <c r="H74" s="650" t="s">
        <v>652</v>
      </c>
      <c r="I74" s="873">
        <f t="shared" si="0"/>
        <v>1.1599999999999999</v>
      </c>
      <c r="J74" s="657">
        <v>3.48E-4</v>
      </c>
      <c r="K74" s="657">
        <v>3.48E-4</v>
      </c>
      <c r="L74" s="657">
        <v>3.48E-3</v>
      </c>
      <c r="M74" s="657">
        <v>3.48E-3</v>
      </c>
      <c r="N74" s="657">
        <v>4.6399999999999996E-5</v>
      </c>
      <c r="O74" s="657">
        <v>4.6399999999999996E-5</v>
      </c>
      <c r="P74" s="657">
        <v>4.6399999999999996E-5</v>
      </c>
      <c r="Q74" s="658">
        <v>4.6399999999999996E-5</v>
      </c>
      <c r="R74" s="656"/>
      <c r="S74" s="393" t="s">
        <v>18</v>
      </c>
      <c r="T74" s="364"/>
      <c r="U74" s="364"/>
      <c r="V74" s="364"/>
      <c r="W74" s="364"/>
      <c r="X74" s="364"/>
      <c r="Y74" s="364"/>
      <c r="Z74" s="364"/>
    </row>
    <row r="75" spans="1:86" s="660" customFormat="1" ht="108.5" outlineLevel="1" x14ac:dyDescent="0.35">
      <c r="B75" s="393" t="s">
        <v>30</v>
      </c>
      <c r="C75" s="661" t="s">
        <v>458</v>
      </c>
      <c r="D75" s="393" t="s">
        <v>707</v>
      </c>
      <c r="E75" s="1016">
        <v>9.76</v>
      </c>
      <c r="F75" s="650" t="s">
        <v>652</v>
      </c>
      <c r="G75" s="1033">
        <v>106000</v>
      </c>
      <c r="H75" s="650" t="s">
        <v>652</v>
      </c>
      <c r="I75" s="873">
        <f t="shared" si="0"/>
        <v>1.0345599999999999</v>
      </c>
      <c r="J75" s="657">
        <v>9.7599999999999997E-6</v>
      </c>
      <c r="K75" s="657">
        <v>1.9519999999999999E-5</v>
      </c>
      <c r="L75" s="657">
        <v>9.7599999999999987E-5</v>
      </c>
      <c r="M75" s="657">
        <v>2.928E-3</v>
      </c>
      <c r="N75" s="657">
        <v>1.464E-5</v>
      </c>
      <c r="O75" s="657">
        <v>1.464E-5</v>
      </c>
      <c r="P75" s="657">
        <v>1.3663999999999998E-5</v>
      </c>
      <c r="Q75" s="658">
        <v>1.3663999999999998E-5</v>
      </c>
      <c r="R75" s="656"/>
      <c r="S75" s="393" t="s">
        <v>1012</v>
      </c>
      <c r="T75" s="364"/>
      <c r="U75" s="364"/>
      <c r="V75" s="364"/>
      <c r="W75" s="364"/>
      <c r="X75" s="364"/>
      <c r="Y75" s="364"/>
      <c r="Z75" s="364"/>
    </row>
    <row r="76" spans="1:86" s="641" customFormat="1" ht="14.65" customHeight="1" outlineLevel="1" x14ac:dyDescent="0.35">
      <c r="C76" s="660"/>
    </row>
    <row r="77" spans="1:86" s="645" customFormat="1" x14ac:dyDescent="0.35">
      <c r="A77" s="641"/>
      <c r="B77" s="169"/>
      <c r="C77" s="667"/>
      <c r="D77" s="169"/>
      <c r="E77" s="169"/>
      <c r="F77" s="169"/>
      <c r="G77" s="169"/>
      <c r="H77" s="169"/>
      <c r="I77" s="169"/>
      <c r="J77" s="169"/>
      <c r="K77" s="169"/>
      <c r="L77" s="644"/>
      <c r="M77" s="644"/>
      <c r="N77" s="644"/>
      <c r="O77" s="644"/>
      <c r="P77" s="644"/>
      <c r="Q77" s="644"/>
      <c r="R77" s="644"/>
      <c r="S77" s="644"/>
      <c r="T77" s="644"/>
      <c r="U77" s="644"/>
      <c r="V77" s="644"/>
      <c r="W77" s="644"/>
      <c r="X77" s="644"/>
      <c r="Y77" s="644"/>
      <c r="Z77" s="644"/>
      <c r="AA77" s="644"/>
      <c r="AB77" s="644"/>
      <c r="AC77" s="644"/>
      <c r="AD77" s="644"/>
      <c r="AE77" s="644"/>
      <c r="AF77" s="644"/>
      <c r="AG77" s="644"/>
      <c r="AH77" s="644"/>
      <c r="AI77" s="644"/>
      <c r="AJ77" s="644"/>
      <c r="AK77" s="644"/>
      <c r="AL77" s="644"/>
      <c r="AM77" s="644"/>
      <c r="AN77" s="644"/>
      <c r="AO77" s="644"/>
      <c r="AP77" s="644"/>
      <c r="AQ77" s="644"/>
      <c r="AR77" s="644"/>
      <c r="AS77" s="644"/>
      <c r="AT77" s="644"/>
      <c r="AU77" s="644"/>
      <c r="AV77" s="644"/>
      <c r="AW77" s="644"/>
      <c r="AX77" s="644"/>
      <c r="AY77" s="644"/>
      <c r="AZ77" s="644"/>
      <c r="BA77" s="644"/>
      <c r="BB77" s="644"/>
      <c r="BC77" s="644"/>
      <c r="BD77" s="644"/>
      <c r="BE77" s="644"/>
      <c r="BF77" s="644"/>
      <c r="BG77" s="644"/>
      <c r="BH77" s="644"/>
      <c r="BI77" s="644"/>
      <c r="BJ77" s="644"/>
      <c r="BK77" s="644"/>
      <c r="BL77" s="644"/>
      <c r="BM77" s="644"/>
      <c r="BN77" s="644"/>
      <c r="BO77" s="644"/>
      <c r="BP77" s="644"/>
      <c r="BQ77" s="644"/>
      <c r="BR77" s="644"/>
      <c r="BS77" s="644"/>
      <c r="BT77" s="644"/>
      <c r="BU77" s="644"/>
      <c r="BV77" s="644"/>
      <c r="BW77" s="644"/>
    </row>
    <row r="78" spans="1:86" s="673" customFormat="1" ht="30" customHeight="1" x14ac:dyDescent="0.35">
      <c r="A78" s="668"/>
      <c r="B78" s="634" t="s">
        <v>240</v>
      </c>
      <c r="C78" s="669"/>
      <c r="D78" s="670"/>
      <c r="E78" s="670"/>
      <c r="F78" s="670"/>
      <c r="G78" s="670"/>
      <c r="H78" s="670"/>
      <c r="I78" s="670"/>
      <c r="J78" s="670"/>
      <c r="K78" s="670"/>
      <c r="L78" s="670"/>
      <c r="M78" s="670"/>
      <c r="N78" s="670"/>
      <c r="O78" s="670"/>
      <c r="P78" s="670"/>
      <c r="Q78" s="670"/>
      <c r="R78" s="670"/>
      <c r="S78" s="670"/>
      <c r="T78" s="670"/>
      <c r="U78" s="670"/>
      <c r="V78" s="670"/>
      <c r="W78" s="670"/>
      <c r="X78" s="670"/>
      <c r="Y78" s="670"/>
      <c r="Z78" s="670"/>
      <c r="AA78" s="670"/>
      <c r="AB78" s="670"/>
      <c r="AC78" s="670"/>
      <c r="AD78" s="670"/>
      <c r="AE78" s="670"/>
      <c r="AF78" s="670"/>
      <c r="AG78" s="670"/>
      <c r="AH78" s="670"/>
      <c r="AI78" s="670"/>
      <c r="AJ78" s="670"/>
      <c r="AK78" s="670"/>
      <c r="AL78" s="670"/>
      <c r="AM78" s="670"/>
      <c r="AN78" s="670"/>
      <c r="AO78" s="670"/>
      <c r="AP78" s="670"/>
      <c r="AQ78" s="670"/>
      <c r="AR78" s="670"/>
      <c r="AS78" s="670"/>
      <c r="AT78" s="670"/>
      <c r="AU78" s="670"/>
      <c r="AV78" s="670"/>
      <c r="AW78" s="670"/>
      <c r="AX78" s="670"/>
      <c r="AY78" s="670"/>
      <c r="AZ78" s="670"/>
      <c r="BA78" s="670"/>
      <c r="BB78" s="670"/>
      <c r="BC78" s="670"/>
      <c r="BD78" s="670"/>
      <c r="BE78" s="670"/>
      <c r="BF78" s="670"/>
      <c r="BG78" s="670"/>
      <c r="BH78" s="670"/>
      <c r="BI78" s="670"/>
      <c r="BJ78" s="670"/>
      <c r="BK78" s="670"/>
      <c r="BL78" s="670"/>
      <c r="BM78" s="670"/>
      <c r="BN78" s="670"/>
      <c r="BO78" s="670"/>
      <c r="BP78" s="670"/>
      <c r="BQ78" s="670"/>
      <c r="BR78" s="670"/>
      <c r="BS78" s="670"/>
      <c r="BT78" s="670"/>
      <c r="BU78" s="670"/>
      <c r="BV78" s="670"/>
      <c r="BW78" s="670"/>
      <c r="BX78" s="671"/>
      <c r="BY78" s="671"/>
      <c r="BZ78" s="671"/>
      <c r="CA78" s="672"/>
    </row>
    <row r="79" spans="1:86" ht="15.75" customHeight="1" outlineLevel="1" x14ac:dyDescent="0.35">
      <c r="A79" s="674"/>
      <c r="B79" s="675"/>
      <c r="C79" s="675"/>
      <c r="D79" s="676"/>
      <c r="E79" s="676"/>
      <c r="F79" s="676"/>
      <c r="G79" s="676"/>
      <c r="H79" s="676"/>
      <c r="I79" s="676"/>
      <c r="J79" s="676"/>
      <c r="K79" s="676"/>
      <c r="L79" s="676"/>
      <c r="M79" s="676"/>
      <c r="N79" s="676"/>
      <c r="O79" s="676"/>
      <c r="P79" s="676"/>
      <c r="Q79" s="676"/>
      <c r="R79" s="676"/>
      <c r="S79" s="676"/>
      <c r="T79" s="676"/>
      <c r="U79" s="676"/>
      <c r="V79" s="676"/>
      <c r="W79" s="676"/>
      <c r="X79" s="676"/>
      <c r="Y79" s="676"/>
      <c r="Z79" s="676"/>
      <c r="AA79" s="676"/>
      <c r="AB79" s="676"/>
      <c r="AC79" s="676"/>
      <c r="AD79" s="676"/>
      <c r="AE79" s="676"/>
      <c r="AF79" s="676"/>
      <c r="AG79" s="676"/>
      <c r="AH79" s="676"/>
      <c r="AI79" s="676"/>
      <c r="AJ79" s="676"/>
      <c r="AK79" s="676"/>
      <c r="AL79" s="676"/>
      <c r="AM79" s="676"/>
      <c r="AN79" s="676"/>
      <c r="AO79" s="676"/>
      <c r="AP79" s="676"/>
      <c r="AQ79" s="676"/>
      <c r="AR79" s="676"/>
      <c r="AS79" s="676"/>
      <c r="AT79" s="676"/>
      <c r="AU79" s="676"/>
      <c r="AV79" s="676"/>
      <c r="AW79" s="676"/>
      <c r="AX79" s="676"/>
      <c r="AY79" s="676"/>
      <c r="AZ79" s="676"/>
      <c r="BA79" s="676"/>
      <c r="BB79" s="676"/>
      <c r="BC79" s="676"/>
      <c r="BD79" s="676"/>
      <c r="BE79" s="676"/>
      <c r="BF79" s="676"/>
      <c r="BG79" s="676"/>
      <c r="BH79" s="676"/>
      <c r="BI79" s="676"/>
      <c r="BJ79" s="676"/>
      <c r="BK79" s="676"/>
      <c r="BL79" s="676"/>
      <c r="BM79" s="676"/>
      <c r="BN79" s="676"/>
      <c r="BO79" s="676"/>
      <c r="BP79" s="676"/>
      <c r="BQ79" s="676"/>
      <c r="BR79" s="676"/>
      <c r="BS79" s="676"/>
      <c r="BT79" s="676"/>
      <c r="BU79" s="676"/>
      <c r="BV79" s="676"/>
      <c r="BW79" s="676"/>
      <c r="BX79" s="676"/>
      <c r="BY79" s="676"/>
      <c r="BZ79" s="676"/>
      <c r="CA79" s="676"/>
      <c r="CB79" s="676"/>
      <c r="CC79" s="676"/>
      <c r="CD79" s="676"/>
      <c r="CE79" s="676"/>
      <c r="CF79" s="676"/>
      <c r="CG79" s="676"/>
      <c r="CH79" s="676"/>
    </row>
    <row r="80" spans="1:86" ht="18.5" outlineLevel="1" x14ac:dyDescent="0.45">
      <c r="A80" s="677"/>
      <c r="B80" s="678" t="s">
        <v>193</v>
      </c>
      <c r="D80" s="170"/>
      <c r="E80" s="170"/>
      <c r="F80" s="170"/>
      <c r="G80" s="170"/>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679"/>
      <c r="AJ80" s="170"/>
      <c r="AK80" s="170"/>
      <c r="AL80" s="170"/>
      <c r="AM80" s="170"/>
      <c r="AN80" s="170"/>
      <c r="AO80" s="170"/>
      <c r="AP80" s="170"/>
      <c r="AQ80" s="170"/>
      <c r="AR80" s="170"/>
      <c r="AS80" s="170"/>
      <c r="AT80" s="170"/>
      <c r="AU80" s="170"/>
      <c r="AV80" s="170"/>
      <c r="AW80" s="170"/>
      <c r="AX80" s="170"/>
      <c r="AY80" s="170"/>
      <c r="AZ80" s="170"/>
      <c r="BA80" s="170"/>
      <c r="BB80" s="170"/>
      <c r="BC80" s="170"/>
      <c r="BD80" s="170"/>
      <c r="BE80" s="170"/>
      <c r="BF80" s="170"/>
      <c r="BG80" s="170"/>
      <c r="BH80" s="170"/>
      <c r="BI80" s="170"/>
      <c r="BJ80" s="170"/>
      <c r="BK80" s="170"/>
      <c r="BL80" s="170"/>
      <c r="BM80" s="170"/>
      <c r="BN80" s="170"/>
      <c r="BO80" s="170"/>
      <c r="BP80" s="170"/>
      <c r="BQ80" s="170"/>
      <c r="BR80" s="170"/>
      <c r="BS80" s="170"/>
      <c r="BT80" s="170"/>
      <c r="BU80" s="170"/>
      <c r="BV80" s="170"/>
      <c r="BW80" s="170"/>
      <c r="BX80" s="170"/>
      <c r="BY80" s="170"/>
      <c r="BZ80" s="170"/>
      <c r="CA80" s="170"/>
      <c r="CB80" s="170"/>
      <c r="CC80" s="170"/>
      <c r="CD80" s="170"/>
      <c r="CE80" s="170"/>
      <c r="CF80" s="170"/>
      <c r="CG80" s="170"/>
      <c r="CH80" s="170"/>
    </row>
    <row r="81" spans="1:86" ht="15.75" customHeight="1" outlineLevel="1" x14ac:dyDescent="0.35">
      <c r="A81" s="677"/>
      <c r="B81" s="680"/>
      <c r="C81" s="681"/>
      <c r="D81" s="170"/>
      <c r="E81" s="170"/>
      <c r="F81" s="170"/>
      <c r="G81" s="170"/>
      <c r="H81" s="170"/>
      <c r="I81" s="170"/>
      <c r="J81" s="170"/>
      <c r="K81" s="170"/>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679"/>
      <c r="AJ81" s="170"/>
      <c r="AK81" s="170"/>
      <c r="AL81" s="170"/>
      <c r="AM81" s="170"/>
      <c r="AN81" s="170"/>
      <c r="AO81" s="170"/>
      <c r="AP81" s="170"/>
      <c r="AQ81" s="170"/>
      <c r="AR81" s="170"/>
      <c r="AS81" s="170"/>
      <c r="AT81" s="170"/>
      <c r="AU81" s="170"/>
      <c r="AV81" s="170"/>
      <c r="AW81" s="170"/>
      <c r="AX81" s="170"/>
      <c r="AY81" s="170"/>
      <c r="AZ81" s="170"/>
      <c r="BA81" s="170"/>
      <c r="BB81" s="170"/>
      <c r="BC81" s="170"/>
      <c r="BD81" s="170"/>
      <c r="BE81" s="170"/>
      <c r="BF81" s="170"/>
      <c r="BG81" s="170"/>
      <c r="BH81" s="170"/>
      <c r="BI81" s="170"/>
      <c r="BJ81" s="170"/>
      <c r="BK81" s="170"/>
      <c r="BL81" s="170"/>
      <c r="BM81" s="170"/>
      <c r="BN81" s="170"/>
      <c r="BO81" s="170"/>
      <c r="BP81" s="170"/>
      <c r="BQ81" s="170"/>
      <c r="BR81" s="170"/>
      <c r="BS81" s="170"/>
      <c r="BT81" s="170"/>
      <c r="BU81" s="170"/>
      <c r="BV81" s="170"/>
      <c r="BW81" s="170"/>
      <c r="BX81" s="170"/>
      <c r="BY81" s="170"/>
      <c r="BZ81" s="170"/>
      <c r="CA81" s="170"/>
      <c r="CB81" s="170"/>
      <c r="CC81" s="170"/>
      <c r="CD81" s="170"/>
      <c r="CE81" s="170"/>
      <c r="CF81" s="170"/>
      <c r="CG81" s="170"/>
      <c r="CH81" s="170"/>
    </row>
    <row r="82" spans="1:86" outlineLevel="1" x14ac:dyDescent="0.35">
      <c r="A82" s="682"/>
      <c r="B82" s="683" t="s">
        <v>1596</v>
      </c>
      <c r="D82" s="684"/>
      <c r="E82" s="685"/>
      <c r="F82" s="685"/>
      <c r="G82" s="685"/>
      <c r="H82" s="685"/>
      <c r="I82" s="685"/>
      <c r="J82" s="685"/>
      <c r="K82" s="685"/>
      <c r="L82" s="685"/>
      <c r="M82" s="685"/>
      <c r="N82" s="685"/>
      <c r="O82" s="685"/>
      <c r="P82" s="685"/>
      <c r="Q82" s="685"/>
      <c r="R82" s="685"/>
      <c r="S82" s="686"/>
      <c r="T82" s="686"/>
      <c r="U82" s="686"/>
      <c r="V82" s="686"/>
      <c r="W82" s="686"/>
      <c r="X82" s="686"/>
      <c r="Y82" s="686"/>
      <c r="Z82" s="686"/>
      <c r="AA82" s="686"/>
      <c r="AB82" s="686"/>
      <c r="AC82" s="686"/>
      <c r="AD82" s="686"/>
      <c r="AE82" s="686"/>
      <c r="AF82" s="686"/>
      <c r="AG82" s="686"/>
      <c r="AH82" s="686"/>
      <c r="AI82" s="686"/>
      <c r="AJ82" s="686"/>
      <c r="AK82" s="686"/>
      <c r="AL82" s="686"/>
      <c r="AM82" s="686"/>
      <c r="AN82" s="686"/>
      <c r="AO82" s="686"/>
      <c r="AP82" s="686"/>
      <c r="AQ82" s="686"/>
      <c r="AR82" s="686"/>
      <c r="AS82" s="686"/>
      <c r="AT82" s="686"/>
      <c r="AU82" s="686"/>
      <c r="AV82" s="686"/>
      <c r="AW82" s="686"/>
      <c r="AX82" s="686"/>
      <c r="AY82" s="686"/>
      <c r="AZ82" s="686"/>
      <c r="BA82" s="686"/>
      <c r="BB82" s="686"/>
      <c r="BC82" s="686"/>
      <c r="BD82" s="686"/>
      <c r="BE82" s="686"/>
      <c r="BF82" s="686"/>
      <c r="BG82" s="686"/>
      <c r="BH82" s="686"/>
      <c r="BI82" s="686"/>
      <c r="BJ82" s="686"/>
      <c r="BK82" s="686"/>
      <c r="BL82" s="686"/>
      <c r="BM82" s="686"/>
      <c r="BN82" s="686"/>
      <c r="BO82" s="686"/>
      <c r="BP82" s="686"/>
      <c r="BQ82" s="686"/>
      <c r="BR82" s="686"/>
      <c r="BS82" s="686"/>
      <c r="BT82" s="686"/>
      <c r="BU82" s="686"/>
      <c r="BV82" s="686"/>
      <c r="BW82" s="686"/>
      <c r="BX82" s="686"/>
      <c r="BY82" s="686"/>
      <c r="BZ82" s="686"/>
      <c r="CA82" s="686"/>
      <c r="CB82" s="686"/>
      <c r="CC82" s="686"/>
      <c r="CD82" s="686"/>
      <c r="CE82" s="686"/>
      <c r="CF82" s="686"/>
      <c r="CG82" s="686"/>
      <c r="CH82" s="686"/>
    </row>
    <row r="83" spans="1:86" ht="15.75" customHeight="1" outlineLevel="1" x14ac:dyDescent="0.35">
      <c r="A83" s="687"/>
      <c r="B83" s="1294" t="s">
        <v>194</v>
      </c>
      <c r="C83" s="1284" t="s">
        <v>1598</v>
      </c>
      <c r="D83" s="1284" t="s">
        <v>196</v>
      </c>
      <c r="E83" s="1287" t="s">
        <v>197</v>
      </c>
      <c r="F83" s="1288"/>
      <c r="G83" s="1288"/>
      <c r="H83" s="1288"/>
      <c r="I83" s="1288"/>
      <c r="J83" s="1289"/>
      <c r="K83" s="1284" t="s">
        <v>1579</v>
      </c>
    </row>
    <row r="84" spans="1:86" ht="15.75" customHeight="1" outlineLevel="1" x14ac:dyDescent="0.35">
      <c r="A84" s="687"/>
      <c r="B84" s="1295"/>
      <c r="C84" s="1286"/>
      <c r="D84" s="1286"/>
      <c r="E84" s="1287" t="s">
        <v>1386</v>
      </c>
      <c r="F84" s="1289"/>
      <c r="G84" s="1287" t="s">
        <v>1387</v>
      </c>
      <c r="H84" s="1289"/>
      <c r="I84" s="1287" t="s">
        <v>1388</v>
      </c>
      <c r="J84" s="1289"/>
      <c r="K84" s="1285"/>
    </row>
    <row r="85" spans="1:86" ht="15.75" customHeight="1" outlineLevel="1" x14ac:dyDescent="0.35">
      <c r="A85" s="690"/>
      <c r="B85" s="1296"/>
      <c r="C85" s="1285"/>
      <c r="D85" s="1285"/>
      <c r="E85" s="691" t="s">
        <v>201</v>
      </c>
      <c r="F85" s="691" t="s">
        <v>202</v>
      </c>
      <c r="G85" s="691" t="s">
        <v>201</v>
      </c>
      <c r="H85" s="691" t="s">
        <v>202</v>
      </c>
      <c r="I85" s="691" t="s">
        <v>201</v>
      </c>
      <c r="J85" s="691" t="s">
        <v>202</v>
      </c>
      <c r="K85" s="691" t="s">
        <v>1578</v>
      </c>
    </row>
    <row r="86" spans="1:86" s="171" customFormat="1" outlineLevel="1" x14ac:dyDescent="0.35">
      <c r="A86" s="692"/>
      <c r="B86" s="1281" t="s">
        <v>1597</v>
      </c>
      <c r="C86" s="693" t="s">
        <v>686</v>
      </c>
      <c r="D86" s="693" t="s">
        <v>1606</v>
      </c>
      <c r="E86" s="1015">
        <v>1.2365801818672599</v>
      </c>
      <c r="F86" s="694" t="s">
        <v>205</v>
      </c>
      <c r="G86" s="704">
        <v>3.6518426691235979E-5</v>
      </c>
      <c r="H86" s="694" t="s">
        <v>205</v>
      </c>
      <c r="I86" s="704">
        <v>2.2929464768585739E-5</v>
      </c>
      <c r="J86" s="694" t="s">
        <v>205</v>
      </c>
      <c r="K86" s="1015">
        <v>50</v>
      </c>
    </row>
    <row r="87" spans="1:86" s="171" customFormat="1" ht="31" outlineLevel="1" x14ac:dyDescent="0.35">
      <c r="A87" s="692"/>
      <c r="B87" s="1282"/>
      <c r="C87" s="693" t="s">
        <v>687</v>
      </c>
      <c r="D87" s="693" t="s">
        <v>1607</v>
      </c>
      <c r="E87" s="1015">
        <v>1.3414289724865387</v>
      </c>
      <c r="F87" s="694" t="s">
        <v>205</v>
      </c>
      <c r="G87" s="704">
        <v>9.9015638033824621E-4</v>
      </c>
      <c r="H87" s="694" t="s">
        <v>205</v>
      </c>
      <c r="I87" s="704">
        <v>1.0099999999999997E-4</v>
      </c>
      <c r="J87" s="694" t="s">
        <v>205</v>
      </c>
      <c r="K87" s="1015">
        <v>50</v>
      </c>
    </row>
    <row r="88" spans="1:86" s="171" customFormat="1" outlineLevel="1" x14ac:dyDescent="0.35">
      <c r="A88" s="692"/>
      <c r="B88" s="1281" t="s">
        <v>204</v>
      </c>
      <c r="C88" s="693" t="s">
        <v>206</v>
      </c>
      <c r="D88" s="693" t="s">
        <v>680</v>
      </c>
      <c r="E88" s="1015">
        <v>0.20118384183006019</v>
      </c>
      <c r="F88" s="694" t="s">
        <v>205</v>
      </c>
      <c r="G88" s="704">
        <v>2.1321149436039102E-5</v>
      </c>
      <c r="H88" s="694" t="s">
        <v>205</v>
      </c>
      <c r="I88" s="704">
        <v>3.6176876092941249E-6</v>
      </c>
      <c r="J88" s="694" t="s">
        <v>205</v>
      </c>
      <c r="K88" s="1015">
        <v>1.6</v>
      </c>
    </row>
    <row r="89" spans="1:86" s="171" customFormat="1" ht="31" outlineLevel="1" x14ac:dyDescent="0.35">
      <c r="A89" s="692"/>
      <c r="B89" s="1290"/>
      <c r="C89" s="693" t="s">
        <v>1599</v>
      </c>
      <c r="D89" s="693" t="s">
        <v>1608</v>
      </c>
      <c r="E89" s="1015">
        <v>0.19742789870610386</v>
      </c>
      <c r="F89" s="694" t="s">
        <v>205</v>
      </c>
      <c r="G89" s="704">
        <v>1.9917681448415988E-5</v>
      </c>
      <c r="H89" s="694" t="s">
        <v>205</v>
      </c>
      <c r="I89" s="704">
        <v>1.3661553613445701E-6</v>
      </c>
      <c r="J89" s="694" t="s">
        <v>205</v>
      </c>
      <c r="K89" s="1015">
        <v>1.6</v>
      </c>
    </row>
    <row r="90" spans="1:86" s="171" customFormat="1" outlineLevel="1" x14ac:dyDescent="0.35">
      <c r="A90" s="692"/>
      <c r="B90" s="1290"/>
      <c r="C90" s="693" t="s">
        <v>207</v>
      </c>
      <c r="D90" s="693" t="s">
        <v>681</v>
      </c>
      <c r="E90" s="1015">
        <v>0.19490828375720448</v>
      </c>
      <c r="F90" s="694" t="s">
        <v>205</v>
      </c>
      <c r="G90" s="704">
        <v>1.5231922893389618E-6</v>
      </c>
      <c r="H90" s="694" t="s">
        <v>205</v>
      </c>
      <c r="I90" s="704">
        <v>7.131907726462517E-6</v>
      </c>
      <c r="J90" s="694" t="s">
        <v>205</v>
      </c>
      <c r="K90" s="1015">
        <v>1.6</v>
      </c>
    </row>
    <row r="91" spans="1:86" s="171" customFormat="1" outlineLevel="1" x14ac:dyDescent="0.35">
      <c r="A91" s="692"/>
      <c r="B91" s="1290"/>
      <c r="C91" s="693" t="s">
        <v>208</v>
      </c>
      <c r="D91" s="693" t="s">
        <v>682</v>
      </c>
      <c r="E91" s="1015">
        <v>0.19249836458762193</v>
      </c>
      <c r="F91" s="694" t="s">
        <v>205</v>
      </c>
      <c r="G91" s="704">
        <v>3.2586128791557811E-5</v>
      </c>
      <c r="H91" s="694" t="s">
        <v>205</v>
      </c>
      <c r="I91" s="704">
        <v>7.2113257762979195E-6</v>
      </c>
      <c r="J91" s="694" t="s">
        <v>205</v>
      </c>
      <c r="K91" s="1015">
        <v>1.6</v>
      </c>
    </row>
    <row r="92" spans="1:86" s="171" customFormat="1" outlineLevel="1" x14ac:dyDescent="0.35">
      <c r="A92" s="692"/>
      <c r="B92" s="1281" t="s">
        <v>209</v>
      </c>
      <c r="C92" s="693" t="s">
        <v>580</v>
      </c>
      <c r="D92" s="693" t="s">
        <v>683</v>
      </c>
      <c r="E92" s="1015">
        <v>0.27321188831224225</v>
      </c>
      <c r="F92" s="693" t="s">
        <v>205</v>
      </c>
      <c r="G92" s="704">
        <v>7.9390758907095502E-5</v>
      </c>
      <c r="H92" s="693" t="s">
        <v>205</v>
      </c>
      <c r="I92" s="704">
        <v>8.7709660733900193E-6</v>
      </c>
      <c r="J92" s="693" t="s">
        <v>205</v>
      </c>
      <c r="K92" s="1015">
        <v>2</v>
      </c>
    </row>
    <row r="93" spans="1:86" s="171" customFormat="1" outlineLevel="1" x14ac:dyDescent="0.35">
      <c r="A93" s="692"/>
      <c r="B93" s="1282"/>
      <c r="C93" s="693" t="s">
        <v>684</v>
      </c>
      <c r="D93" s="693" t="s">
        <v>685</v>
      </c>
      <c r="E93" s="1015">
        <v>0.23494996089308748</v>
      </c>
      <c r="F93" s="693" t="s">
        <v>205</v>
      </c>
      <c r="G93" s="704">
        <v>2.9070363422638654E-6</v>
      </c>
      <c r="H93" s="693" t="s">
        <v>205</v>
      </c>
      <c r="I93" s="704">
        <v>6.3813062958675234E-6</v>
      </c>
      <c r="J93" s="693" t="s">
        <v>205</v>
      </c>
      <c r="K93" s="1015">
        <v>2</v>
      </c>
    </row>
    <row r="94" spans="1:86" s="171" customFormat="1" outlineLevel="1" x14ac:dyDescent="0.35">
      <c r="A94" s="692"/>
      <c r="B94" s="695" t="s">
        <v>1601</v>
      </c>
      <c r="C94" s="693" t="s">
        <v>580</v>
      </c>
      <c r="D94" s="693" t="s">
        <v>1600</v>
      </c>
      <c r="E94" s="1015">
        <v>6.8381323910644123E-2</v>
      </c>
      <c r="F94" s="693" t="s">
        <v>205</v>
      </c>
      <c r="G94" s="704">
        <v>1.1739773397979467E-4</v>
      </c>
      <c r="H94" s="693" t="s">
        <v>205</v>
      </c>
      <c r="I94" s="704">
        <v>9.9999999999999995E-7</v>
      </c>
      <c r="J94" s="693" t="s">
        <v>205</v>
      </c>
      <c r="K94" s="1015">
        <v>1</v>
      </c>
    </row>
    <row r="95" spans="1:86" s="171" customFormat="1" outlineLevel="1" x14ac:dyDescent="0.35">
      <c r="A95" s="692"/>
      <c r="B95" s="695" t="s">
        <v>1602</v>
      </c>
      <c r="C95" s="693" t="s">
        <v>580</v>
      </c>
      <c r="D95" s="693" t="s">
        <v>1603</v>
      </c>
      <c r="E95" s="1015">
        <v>0.12339634826187987</v>
      </c>
      <c r="F95" s="693" t="s">
        <v>205</v>
      </c>
      <c r="G95" s="704">
        <v>4.999004555652371E-5</v>
      </c>
      <c r="H95" s="693" t="s">
        <v>205</v>
      </c>
      <c r="I95" s="704">
        <v>2.0000000000000003E-6</v>
      </c>
      <c r="J95" s="693" t="s">
        <v>205</v>
      </c>
      <c r="K95" s="1015">
        <v>1</v>
      </c>
    </row>
    <row r="96" spans="1:86" s="171" customFormat="1" outlineLevel="1" x14ac:dyDescent="0.35">
      <c r="A96" s="692"/>
      <c r="B96" s="695" t="s">
        <v>1605</v>
      </c>
      <c r="C96" s="694" t="s">
        <v>686</v>
      </c>
      <c r="D96" s="694" t="s">
        <v>1604</v>
      </c>
      <c r="E96" s="1015">
        <v>0.56653051346699956</v>
      </c>
      <c r="F96" s="694" t="s">
        <v>205</v>
      </c>
      <c r="G96" s="704">
        <v>1.7547740228426985E-5</v>
      </c>
      <c r="H96" s="694" t="s">
        <v>205</v>
      </c>
      <c r="I96" s="704">
        <v>2.5729090230462178E-5</v>
      </c>
      <c r="J96" s="694" t="s">
        <v>205</v>
      </c>
      <c r="K96" s="1016">
        <v>2</v>
      </c>
    </row>
    <row r="97" spans="1:87" ht="15.75" customHeight="1" outlineLevel="1" x14ac:dyDescent="0.35">
      <c r="A97" s="687"/>
      <c r="B97" s="696"/>
      <c r="C97" s="697"/>
      <c r="D97" s="698"/>
      <c r="E97" s="699"/>
      <c r="F97" s="700"/>
      <c r="G97" s="699"/>
      <c r="H97" s="699"/>
      <c r="I97" s="682"/>
      <c r="J97" s="682"/>
      <c r="K97" s="686"/>
      <c r="L97" s="686"/>
      <c r="M97" s="686"/>
      <c r="N97" s="682"/>
      <c r="O97" s="682"/>
      <c r="P97" s="682"/>
      <c r="Q97" s="682"/>
      <c r="R97" s="682"/>
      <c r="S97" s="682"/>
      <c r="T97" s="682"/>
      <c r="U97" s="682"/>
      <c r="V97" s="682"/>
      <c r="W97" s="682"/>
      <c r="X97" s="176"/>
      <c r="Y97" s="176"/>
      <c r="Z97" s="682"/>
      <c r="AA97" s="682"/>
      <c r="AB97" s="682"/>
      <c r="AC97" s="682"/>
      <c r="AD97" s="682"/>
      <c r="AE97" s="682"/>
      <c r="AF97" s="682"/>
      <c r="AG97" s="682"/>
      <c r="AH97" s="682"/>
      <c r="AI97" s="682"/>
      <c r="AJ97" s="682"/>
      <c r="AK97" s="682"/>
      <c r="AL97" s="682"/>
      <c r="AM97" s="682"/>
      <c r="AN97" s="682"/>
      <c r="AO97" s="682"/>
      <c r="AP97" s="682"/>
      <c r="AQ97" s="682"/>
      <c r="AR97" s="682"/>
      <c r="AS97" s="682"/>
      <c r="AT97" s="682"/>
      <c r="AU97" s="682"/>
      <c r="AV97" s="682"/>
      <c r="AW97" s="682"/>
      <c r="AX97" s="682"/>
      <c r="AY97" s="682"/>
      <c r="AZ97" s="682"/>
      <c r="BA97" s="682"/>
      <c r="BB97" s="682"/>
      <c r="BC97" s="682"/>
      <c r="BD97" s="682"/>
      <c r="BE97" s="682"/>
      <c r="BF97" s="682"/>
      <c r="BG97" s="176"/>
      <c r="BH97" s="176"/>
      <c r="BI97" s="176"/>
      <c r="BJ97" s="176"/>
      <c r="BK97" s="176"/>
      <c r="BL97" s="176"/>
      <c r="BM97" s="176"/>
      <c r="BN97" s="176"/>
      <c r="BO97" s="176"/>
      <c r="BP97" s="176"/>
      <c r="BQ97" s="176"/>
      <c r="BR97" s="176"/>
      <c r="BS97" s="176"/>
      <c r="BT97" s="176"/>
      <c r="BU97" s="176"/>
      <c r="BV97" s="176"/>
      <c r="BW97" s="176"/>
      <c r="BX97" s="176"/>
      <c r="BY97" s="176"/>
      <c r="BZ97" s="176"/>
      <c r="CA97" s="176"/>
      <c r="CB97" s="176"/>
      <c r="CC97" s="176"/>
      <c r="CD97" s="176"/>
      <c r="CE97" s="176"/>
      <c r="CF97" s="176"/>
      <c r="CG97" s="176"/>
      <c r="CH97" s="176"/>
      <c r="CI97" s="176"/>
    </row>
    <row r="98" spans="1:87" ht="15.75" customHeight="1" outlineLevel="1" x14ac:dyDescent="0.35">
      <c r="A98" s="687"/>
      <c r="B98" s="176"/>
      <c r="C98" s="697"/>
      <c r="D98" s="698"/>
      <c r="E98" s="699"/>
      <c r="F98" s="700"/>
      <c r="G98" s="699"/>
      <c r="H98" s="699"/>
      <c r="I98" s="176"/>
      <c r="J98" s="176"/>
      <c r="K98" s="176"/>
      <c r="L98" s="176"/>
      <c r="M98" s="176"/>
      <c r="N98" s="176"/>
      <c r="O98" s="176"/>
      <c r="P98" s="176"/>
      <c r="Q98" s="176"/>
      <c r="R98" s="176"/>
      <c r="S98" s="176"/>
      <c r="T98" s="176"/>
      <c r="U98" s="176"/>
      <c r="V98" s="176"/>
      <c r="W98" s="176"/>
      <c r="X98" s="176"/>
      <c r="Y98" s="176"/>
      <c r="Z98" s="176"/>
      <c r="AA98" s="682"/>
      <c r="AB98" s="682"/>
      <c r="AC98" s="682"/>
      <c r="AD98" s="682"/>
      <c r="AE98" s="682"/>
      <c r="AF98" s="682"/>
      <c r="AG98" s="682"/>
      <c r="AH98" s="682"/>
      <c r="AI98" s="682"/>
      <c r="AJ98" s="682"/>
      <c r="AK98" s="682"/>
      <c r="AL98" s="176"/>
      <c r="AM98" s="176"/>
      <c r="AN98" s="682"/>
      <c r="AO98" s="682"/>
      <c r="AP98" s="682"/>
      <c r="AQ98" s="682"/>
      <c r="AR98" s="682"/>
      <c r="AS98" s="682"/>
      <c r="AT98" s="682"/>
      <c r="AU98" s="682"/>
      <c r="AV98" s="682"/>
      <c r="AW98" s="682"/>
      <c r="AX98" s="682"/>
      <c r="AY98" s="682"/>
      <c r="AZ98" s="682"/>
      <c r="BA98" s="682"/>
      <c r="BB98" s="682"/>
      <c r="BC98" s="682"/>
      <c r="BD98" s="682"/>
      <c r="BE98" s="682"/>
      <c r="BF98" s="682"/>
      <c r="BG98" s="176"/>
      <c r="BH98" s="176"/>
      <c r="BI98" s="176"/>
      <c r="BJ98" s="176"/>
      <c r="BK98" s="176"/>
      <c r="BL98" s="176"/>
      <c r="BM98" s="176"/>
      <c r="BN98" s="176"/>
      <c r="BO98" s="176"/>
      <c r="BP98" s="176"/>
      <c r="BQ98" s="176"/>
      <c r="BR98" s="176"/>
      <c r="BS98" s="176"/>
      <c r="BT98" s="176"/>
      <c r="BU98" s="176"/>
      <c r="BV98" s="176"/>
      <c r="BW98" s="176"/>
      <c r="BX98" s="176"/>
      <c r="BY98" s="176"/>
      <c r="BZ98" s="176"/>
      <c r="CA98" s="176"/>
      <c r="CB98" s="176"/>
      <c r="CC98" s="176"/>
      <c r="CD98" s="176"/>
      <c r="CE98" s="176"/>
      <c r="CF98" s="176"/>
      <c r="CG98" s="176"/>
      <c r="CH98" s="176"/>
      <c r="CI98" s="176"/>
    </row>
    <row r="99" spans="1:87" ht="18.5" outlineLevel="1" x14ac:dyDescent="0.45">
      <c r="A99" s="687"/>
      <c r="B99" s="678" t="s">
        <v>241</v>
      </c>
      <c r="D99" s="170"/>
      <c r="E99" s="170"/>
      <c r="F99" s="170"/>
      <c r="G99" s="170"/>
      <c r="H99" s="170"/>
      <c r="I99" s="170"/>
      <c r="J99" s="170"/>
      <c r="K99" s="170"/>
      <c r="L99" s="176"/>
      <c r="M99" s="176"/>
      <c r="N99" s="176"/>
      <c r="O99" s="176"/>
      <c r="P99" s="176"/>
      <c r="Q99" s="176"/>
      <c r="R99" s="176"/>
      <c r="S99" s="176"/>
      <c r="T99" s="176"/>
      <c r="U99" s="176"/>
      <c r="V99" s="176"/>
      <c r="W99" s="176"/>
      <c r="X99" s="176"/>
      <c r="Y99" s="176"/>
      <c r="Z99" s="176"/>
      <c r="AA99" s="682"/>
      <c r="AB99" s="682"/>
      <c r="AC99" s="682"/>
      <c r="AD99" s="682"/>
      <c r="AE99" s="682"/>
      <c r="AF99" s="682"/>
      <c r="AG99" s="682"/>
      <c r="AH99" s="682"/>
      <c r="AI99" s="682"/>
      <c r="AJ99" s="682"/>
      <c r="AK99" s="682"/>
      <c r="AL99" s="176"/>
      <c r="AM99" s="176"/>
      <c r="AN99" s="701"/>
      <c r="AO99" s="701"/>
      <c r="AP99" s="701"/>
      <c r="AQ99" s="701"/>
      <c r="AR99" s="701"/>
      <c r="AS99" s="701"/>
      <c r="AT99" s="701"/>
      <c r="AU99" s="701"/>
      <c r="AV99" s="701"/>
      <c r="AW99" s="701"/>
      <c r="AX99" s="701"/>
      <c r="AY99" s="701"/>
      <c r="AZ99" s="701"/>
      <c r="BA99" s="701"/>
      <c r="BB99" s="701"/>
      <c r="BC99" s="701"/>
      <c r="BD99" s="701"/>
      <c r="BE99" s="701"/>
      <c r="BF99" s="701"/>
      <c r="BG99" s="701"/>
      <c r="BH99" s="701"/>
      <c r="BI99" s="701"/>
      <c r="BJ99" s="701"/>
      <c r="BK99" s="701"/>
      <c r="BL99" s="701"/>
      <c r="BM99" s="701"/>
      <c r="BN99" s="701"/>
      <c r="BO99" s="701"/>
      <c r="BP99" s="701"/>
      <c r="BQ99" s="701"/>
      <c r="BR99" s="701"/>
      <c r="BS99" s="701"/>
      <c r="BT99" s="701"/>
      <c r="BU99" s="701"/>
      <c r="BV99" s="701"/>
      <c r="BW99" s="682"/>
      <c r="BX99" s="682"/>
      <c r="BY99" s="682"/>
      <c r="BZ99" s="682"/>
      <c r="CA99" s="687"/>
      <c r="CB99" s="176"/>
      <c r="CC99" s="682"/>
      <c r="CD99" s="682"/>
      <c r="CE99" s="682"/>
      <c r="CF99" s="682"/>
      <c r="CG99" s="682"/>
      <c r="CH99" s="682"/>
    </row>
    <row r="100" spans="1:87" ht="15.75" customHeight="1" outlineLevel="1" x14ac:dyDescent="0.35">
      <c r="A100" s="687"/>
      <c r="B100" s="702"/>
      <c r="D100" s="170"/>
      <c r="E100" s="170"/>
      <c r="F100" s="170"/>
      <c r="G100" s="170"/>
      <c r="H100" s="170"/>
      <c r="I100" s="170"/>
      <c r="J100" s="170"/>
      <c r="K100" s="170"/>
      <c r="L100" s="176"/>
      <c r="M100" s="176"/>
      <c r="N100" s="176"/>
      <c r="O100" s="176"/>
      <c r="P100" s="176"/>
      <c r="Q100" s="176"/>
      <c r="R100" s="176"/>
      <c r="S100" s="176"/>
      <c r="T100" s="176"/>
      <c r="U100" s="176"/>
      <c r="V100" s="176"/>
      <c r="W100" s="176"/>
      <c r="X100" s="176"/>
      <c r="Y100" s="176"/>
      <c r="Z100" s="176"/>
      <c r="AA100" s="682"/>
      <c r="AB100" s="682"/>
      <c r="AC100" s="682"/>
      <c r="AD100" s="682"/>
      <c r="AE100" s="682"/>
      <c r="AF100" s="682"/>
      <c r="AG100" s="682"/>
      <c r="AH100" s="682"/>
      <c r="AI100" s="682"/>
      <c r="AJ100" s="682"/>
      <c r="AK100" s="682"/>
      <c r="AL100" s="176"/>
      <c r="AM100" s="176"/>
      <c r="AN100" s="701"/>
      <c r="AO100" s="701"/>
      <c r="AP100" s="701"/>
      <c r="AQ100" s="701"/>
      <c r="AR100" s="701"/>
      <c r="AS100" s="701"/>
      <c r="AT100" s="701"/>
      <c r="AU100" s="701"/>
      <c r="AV100" s="701"/>
      <c r="AW100" s="701"/>
      <c r="AX100" s="701"/>
      <c r="AY100" s="701"/>
      <c r="AZ100" s="701"/>
      <c r="BA100" s="701"/>
      <c r="BB100" s="701"/>
      <c r="BC100" s="701"/>
      <c r="BD100" s="701"/>
      <c r="BE100" s="701"/>
      <c r="BF100" s="701"/>
      <c r="BG100" s="701"/>
      <c r="BH100" s="701"/>
      <c r="BI100" s="701"/>
      <c r="BJ100" s="701"/>
      <c r="BK100" s="701"/>
      <c r="BL100" s="701"/>
      <c r="BM100" s="701"/>
      <c r="BN100" s="701"/>
      <c r="BO100" s="701"/>
      <c r="BP100" s="701"/>
      <c r="BQ100" s="701"/>
      <c r="BR100" s="701"/>
      <c r="BS100" s="701"/>
      <c r="BT100" s="701"/>
      <c r="BU100" s="701"/>
      <c r="BV100" s="701"/>
      <c r="BW100" s="682"/>
      <c r="BX100" s="682"/>
      <c r="BY100" s="682"/>
      <c r="BZ100" s="682"/>
      <c r="CA100" s="687"/>
      <c r="CB100" s="176"/>
      <c r="CC100" s="682"/>
      <c r="CD100" s="682"/>
      <c r="CE100" s="682"/>
      <c r="CF100" s="682"/>
      <c r="CG100" s="682"/>
      <c r="CH100" s="682"/>
    </row>
    <row r="101" spans="1:87" outlineLevel="1" x14ac:dyDescent="0.35">
      <c r="A101" s="687"/>
      <c r="B101" s="683" t="s">
        <v>527</v>
      </c>
      <c r="D101" s="684"/>
      <c r="E101" s="685"/>
      <c r="F101" s="685"/>
      <c r="G101" s="685"/>
      <c r="H101" s="685"/>
      <c r="I101" s="685"/>
      <c r="J101" s="685"/>
      <c r="K101" s="685"/>
      <c r="L101" s="176"/>
      <c r="M101" s="176"/>
      <c r="N101" s="176"/>
      <c r="O101" s="176"/>
      <c r="P101" s="176"/>
      <c r="Q101" s="176"/>
      <c r="R101" s="176"/>
      <c r="S101" s="176"/>
      <c r="T101" s="176"/>
      <c r="U101" s="176"/>
      <c r="V101" s="176"/>
      <c r="W101" s="176"/>
      <c r="X101" s="176"/>
      <c r="Y101" s="176"/>
      <c r="Z101" s="176"/>
      <c r="AA101" s="682"/>
      <c r="AB101" s="682"/>
      <c r="AC101" s="682"/>
      <c r="AD101" s="682"/>
      <c r="AE101" s="682"/>
      <c r="AF101" s="682"/>
      <c r="AG101" s="682"/>
      <c r="AH101" s="682"/>
      <c r="AI101" s="682"/>
      <c r="AJ101" s="682"/>
      <c r="AK101" s="682"/>
      <c r="AL101" s="176"/>
      <c r="AM101" s="176"/>
      <c r="AN101" s="701"/>
      <c r="AO101" s="701"/>
      <c r="AP101" s="701"/>
      <c r="AQ101" s="701"/>
      <c r="AR101" s="701"/>
      <c r="AS101" s="701"/>
      <c r="AT101" s="701"/>
      <c r="AU101" s="701"/>
      <c r="AV101" s="701"/>
      <c r="AW101" s="701"/>
      <c r="AX101" s="701"/>
      <c r="AY101" s="701"/>
      <c r="AZ101" s="701"/>
      <c r="BA101" s="701"/>
      <c r="BB101" s="701"/>
      <c r="BC101" s="701"/>
      <c r="BD101" s="701"/>
      <c r="BE101" s="701"/>
      <c r="BF101" s="701"/>
      <c r="BG101" s="701"/>
      <c r="BH101" s="701"/>
      <c r="BI101" s="701"/>
      <c r="BJ101" s="701"/>
      <c r="BK101" s="701"/>
      <c r="BL101" s="701"/>
      <c r="BM101" s="701"/>
      <c r="BN101" s="701"/>
      <c r="BO101" s="701"/>
      <c r="BP101" s="701"/>
      <c r="BQ101" s="701"/>
      <c r="BR101" s="701"/>
      <c r="BS101" s="701"/>
      <c r="BT101" s="701"/>
      <c r="BU101" s="701"/>
      <c r="BV101" s="701"/>
      <c r="BW101" s="682"/>
      <c r="BX101" s="682"/>
      <c r="BY101" s="682"/>
      <c r="BZ101" s="682"/>
      <c r="CA101" s="687"/>
      <c r="CB101" s="176"/>
      <c r="CC101" s="682"/>
      <c r="CD101" s="682"/>
      <c r="CE101" s="682"/>
      <c r="CF101" s="682"/>
      <c r="CG101" s="682"/>
      <c r="CH101" s="682"/>
    </row>
    <row r="102" spans="1:87" ht="15.75" customHeight="1" outlineLevel="1" x14ac:dyDescent="0.35">
      <c r="A102" s="687"/>
      <c r="B102" s="1294" t="s">
        <v>194</v>
      </c>
      <c r="C102" s="1284" t="s">
        <v>195</v>
      </c>
      <c r="D102" s="1284" t="s">
        <v>196</v>
      </c>
      <c r="E102" s="1287" t="s">
        <v>219</v>
      </c>
      <c r="F102" s="1288"/>
      <c r="G102" s="1288"/>
      <c r="H102" s="1288"/>
      <c r="I102" s="1288"/>
      <c r="J102" s="1289"/>
      <c r="K102" s="176"/>
      <c r="L102" s="176"/>
      <c r="M102" s="176"/>
      <c r="N102" s="176"/>
      <c r="O102" s="176"/>
      <c r="P102" s="176"/>
      <c r="Q102" s="176"/>
      <c r="R102" s="176"/>
      <c r="S102" s="176"/>
      <c r="T102" s="176"/>
      <c r="U102" s="176"/>
      <c r="V102" s="176"/>
      <c r="W102" s="176"/>
      <c r="X102" s="176"/>
      <c r="Y102" s="176"/>
      <c r="Z102" s="682"/>
      <c r="AA102" s="682"/>
      <c r="AB102" s="682"/>
      <c r="AC102" s="682"/>
      <c r="AD102" s="682"/>
      <c r="AE102" s="682"/>
      <c r="AF102" s="682"/>
      <c r="AG102" s="682"/>
      <c r="AH102" s="682"/>
      <c r="AI102" s="682"/>
      <c r="AJ102" s="682"/>
      <c r="AK102" s="176"/>
      <c r="AL102" s="176"/>
      <c r="AM102" s="701"/>
      <c r="AN102" s="701"/>
      <c r="AO102" s="701"/>
      <c r="AP102" s="701"/>
      <c r="AQ102" s="701"/>
      <c r="AR102" s="701"/>
      <c r="AS102" s="701"/>
      <c r="AT102" s="701"/>
      <c r="AU102" s="701"/>
      <c r="AV102" s="701"/>
      <c r="AW102" s="701"/>
      <c r="AX102" s="701"/>
      <c r="AY102" s="701"/>
      <c r="AZ102" s="701"/>
      <c r="BA102" s="701"/>
      <c r="BB102" s="701"/>
      <c r="BC102" s="701"/>
      <c r="BD102" s="701"/>
      <c r="BE102" s="701"/>
      <c r="BF102" s="701"/>
      <c r="BG102" s="701"/>
      <c r="BH102" s="701"/>
      <c r="BI102" s="701"/>
      <c r="BJ102" s="701"/>
      <c r="BK102" s="701"/>
      <c r="BL102" s="701"/>
      <c r="BM102" s="701"/>
      <c r="BN102" s="701"/>
      <c r="BO102" s="701"/>
      <c r="BP102" s="701"/>
      <c r="BQ102" s="701"/>
      <c r="BR102" s="701"/>
      <c r="BS102" s="701"/>
      <c r="BT102" s="701"/>
      <c r="BU102" s="701"/>
      <c r="BV102" s="682"/>
      <c r="BW102" s="682"/>
      <c r="BX102" s="682"/>
      <c r="BY102" s="682"/>
      <c r="BZ102" s="687"/>
      <c r="CA102" s="176"/>
      <c r="CB102" s="682"/>
      <c r="CC102" s="682"/>
      <c r="CD102" s="682"/>
      <c r="CE102" s="682"/>
      <c r="CF102" s="682"/>
      <c r="CG102" s="682"/>
    </row>
    <row r="103" spans="1:87" ht="15.75" customHeight="1" outlineLevel="1" x14ac:dyDescent="0.35">
      <c r="A103" s="687"/>
      <c r="B103" s="1295"/>
      <c r="C103" s="1286"/>
      <c r="D103" s="1286"/>
      <c r="E103" s="1287" t="s">
        <v>1386</v>
      </c>
      <c r="F103" s="1289"/>
      <c r="G103" s="1287" t="s">
        <v>1387</v>
      </c>
      <c r="H103" s="1289"/>
      <c r="I103" s="1287" t="s">
        <v>1388</v>
      </c>
      <c r="J103" s="1289"/>
      <c r="K103" s="176"/>
      <c r="L103" s="176"/>
      <c r="M103" s="176"/>
      <c r="N103" s="176"/>
      <c r="O103" s="176"/>
      <c r="P103" s="176"/>
      <c r="Q103" s="176"/>
      <c r="R103" s="176"/>
      <c r="S103" s="176"/>
      <c r="T103" s="176"/>
      <c r="U103" s="176"/>
      <c r="V103" s="176"/>
      <c r="W103" s="176"/>
      <c r="X103" s="176"/>
      <c r="Y103" s="176"/>
      <c r="Z103" s="682"/>
      <c r="AA103" s="682"/>
      <c r="AB103" s="682"/>
      <c r="AC103" s="682"/>
      <c r="AD103" s="682"/>
      <c r="AE103" s="682"/>
      <c r="AF103" s="682"/>
      <c r="AG103" s="682"/>
      <c r="AH103" s="682"/>
      <c r="AI103" s="682"/>
      <c r="AJ103" s="682"/>
      <c r="AK103" s="176"/>
      <c r="AL103" s="176"/>
      <c r="AM103" s="701"/>
      <c r="AN103" s="701"/>
      <c r="AO103" s="701"/>
      <c r="AP103" s="701"/>
      <c r="AQ103" s="701"/>
      <c r="AR103" s="701"/>
      <c r="AS103" s="701"/>
      <c r="AT103" s="701"/>
      <c r="AU103" s="701"/>
      <c r="AV103" s="701"/>
      <c r="AW103" s="701"/>
      <c r="AX103" s="701"/>
      <c r="AY103" s="701"/>
      <c r="AZ103" s="701"/>
      <c r="BA103" s="701"/>
      <c r="BB103" s="701"/>
      <c r="BC103" s="701"/>
      <c r="BD103" s="701"/>
      <c r="BE103" s="701"/>
      <c r="BF103" s="701"/>
      <c r="BG103" s="701"/>
      <c r="BH103" s="701"/>
      <c r="BI103" s="701"/>
      <c r="BJ103" s="701"/>
      <c r="BK103" s="701"/>
      <c r="BL103" s="701"/>
      <c r="BM103" s="701"/>
      <c r="BN103" s="701"/>
      <c r="BO103" s="701"/>
      <c r="BP103" s="701"/>
      <c r="BQ103" s="701"/>
      <c r="BR103" s="701"/>
      <c r="BS103" s="701"/>
      <c r="BT103" s="701"/>
      <c r="BU103" s="701"/>
      <c r="BV103" s="682"/>
      <c r="BW103" s="682"/>
      <c r="BX103" s="682"/>
      <c r="BY103" s="682"/>
      <c r="BZ103" s="687"/>
      <c r="CA103" s="176"/>
      <c r="CB103" s="682"/>
      <c r="CC103" s="682"/>
      <c r="CD103" s="682"/>
      <c r="CE103" s="682"/>
      <c r="CF103" s="682"/>
      <c r="CG103" s="682"/>
    </row>
    <row r="104" spans="1:87" ht="15.75" customHeight="1" outlineLevel="1" x14ac:dyDescent="0.35">
      <c r="A104" s="687"/>
      <c r="B104" s="1296"/>
      <c r="C104" s="1285"/>
      <c r="D104" s="1285"/>
      <c r="E104" s="691" t="s">
        <v>201</v>
      </c>
      <c r="F104" s="691" t="s">
        <v>202</v>
      </c>
      <c r="G104" s="691" t="s">
        <v>201</v>
      </c>
      <c r="H104" s="691" t="s">
        <v>202</v>
      </c>
      <c r="I104" s="691" t="s">
        <v>201</v>
      </c>
      <c r="J104" s="691" t="s">
        <v>202</v>
      </c>
      <c r="K104" s="176"/>
      <c r="L104" s="176"/>
      <c r="M104" s="176"/>
      <c r="N104" s="176"/>
      <c r="O104" s="176"/>
      <c r="P104" s="176"/>
      <c r="Q104" s="176"/>
      <c r="R104" s="176"/>
      <c r="S104" s="176"/>
      <c r="T104" s="176"/>
      <c r="U104" s="176"/>
      <c r="V104" s="176"/>
      <c r="W104" s="176"/>
      <c r="X104" s="176"/>
      <c r="Y104" s="176"/>
      <c r="Z104" s="682"/>
      <c r="AA104" s="682"/>
      <c r="AB104" s="682"/>
      <c r="AC104" s="682"/>
      <c r="AD104" s="682"/>
      <c r="AE104" s="682"/>
      <c r="AF104" s="682"/>
      <c r="AG104" s="682"/>
      <c r="AH104" s="682"/>
      <c r="AI104" s="682"/>
      <c r="AJ104" s="682"/>
      <c r="AK104" s="176"/>
      <c r="AL104" s="176"/>
      <c r="AM104" s="701"/>
      <c r="AN104" s="701"/>
      <c r="AO104" s="701"/>
      <c r="AP104" s="701"/>
      <c r="AQ104" s="701"/>
      <c r="AR104" s="701"/>
      <c r="AS104" s="701"/>
      <c r="AT104" s="701"/>
      <c r="AU104" s="701"/>
      <c r="AV104" s="701"/>
      <c r="AW104" s="701"/>
      <c r="AX104" s="701"/>
      <c r="AY104" s="701"/>
      <c r="AZ104" s="701"/>
      <c r="BA104" s="701"/>
      <c r="BB104" s="701"/>
      <c r="BC104" s="701"/>
      <c r="BD104" s="701"/>
      <c r="BE104" s="701"/>
      <c r="BF104" s="701"/>
      <c r="BG104" s="701"/>
      <c r="BH104" s="701"/>
      <c r="BI104" s="701"/>
      <c r="BJ104" s="701"/>
      <c r="BK104" s="701"/>
      <c r="BL104" s="701"/>
      <c r="BM104" s="701"/>
      <c r="BN104" s="701"/>
      <c r="BO104" s="701"/>
      <c r="BP104" s="701"/>
      <c r="BQ104" s="701"/>
      <c r="BR104" s="701"/>
      <c r="BS104" s="701"/>
      <c r="BT104" s="701"/>
      <c r="BU104" s="701"/>
      <c r="BV104" s="682"/>
      <c r="BW104" s="682"/>
      <c r="BX104" s="682"/>
      <c r="BY104" s="682"/>
      <c r="BZ104" s="687"/>
      <c r="CA104" s="176"/>
      <c r="CB104" s="682"/>
      <c r="CC104" s="682"/>
      <c r="CD104" s="682"/>
      <c r="CE104" s="682"/>
      <c r="CF104" s="682"/>
      <c r="CG104" s="682"/>
    </row>
    <row r="105" spans="1:87" ht="21.4" customHeight="1" outlineLevel="1" x14ac:dyDescent="0.35">
      <c r="A105" s="687"/>
      <c r="B105" s="1281" t="s">
        <v>221</v>
      </c>
      <c r="C105" s="694" t="s">
        <v>688</v>
      </c>
      <c r="D105" s="694" t="s">
        <v>688</v>
      </c>
      <c r="E105" s="703">
        <f>0*1000</f>
        <v>0</v>
      </c>
      <c r="F105" s="694" t="s">
        <v>203</v>
      </c>
      <c r="G105" s="703">
        <v>1.9E-6</v>
      </c>
      <c r="H105" s="694" t="s">
        <v>203</v>
      </c>
      <c r="I105" s="703">
        <v>1.3999999999999999E-6</v>
      </c>
      <c r="J105" s="694" t="s">
        <v>203</v>
      </c>
      <c r="K105" s="176"/>
      <c r="L105" s="176"/>
      <c r="M105" s="176"/>
      <c r="N105" s="176"/>
      <c r="O105" s="176"/>
      <c r="P105" s="176"/>
      <c r="Q105" s="176"/>
      <c r="R105" s="176"/>
      <c r="S105" s="176"/>
      <c r="T105" s="176"/>
      <c r="U105" s="176"/>
      <c r="V105" s="176"/>
      <c r="W105" s="176"/>
      <c r="X105" s="176"/>
      <c r="Y105" s="176"/>
      <c r="Z105" s="682"/>
      <c r="AA105" s="682"/>
      <c r="AB105" s="682"/>
      <c r="AC105" s="682"/>
      <c r="AD105" s="682"/>
      <c r="AE105" s="682"/>
      <c r="AF105" s="682"/>
      <c r="AG105" s="682"/>
      <c r="AH105" s="682"/>
      <c r="AI105" s="682"/>
      <c r="AJ105" s="682"/>
      <c r="AK105" s="176"/>
      <c r="AL105" s="176"/>
      <c r="AM105" s="701"/>
      <c r="AN105" s="701"/>
      <c r="AO105" s="701"/>
      <c r="AP105" s="701"/>
      <c r="AQ105" s="701"/>
      <c r="AR105" s="701"/>
      <c r="AS105" s="701"/>
      <c r="AT105" s="701"/>
      <c r="AU105" s="701"/>
      <c r="AV105" s="701"/>
      <c r="AW105" s="701"/>
      <c r="AX105" s="701"/>
      <c r="AY105" s="701"/>
      <c r="AZ105" s="701"/>
      <c r="BA105" s="701"/>
      <c r="BB105" s="701"/>
      <c r="BC105" s="701"/>
      <c r="BD105" s="701"/>
      <c r="BE105" s="701"/>
      <c r="BF105" s="701"/>
      <c r="BG105" s="701"/>
      <c r="BH105" s="701"/>
      <c r="BI105" s="701"/>
      <c r="BJ105" s="701"/>
      <c r="BK105" s="701"/>
      <c r="BL105" s="701"/>
      <c r="BM105" s="701"/>
      <c r="BN105" s="701"/>
      <c r="BO105" s="701"/>
      <c r="BP105" s="701"/>
      <c r="BQ105" s="701"/>
      <c r="BR105" s="701"/>
      <c r="BS105" s="701"/>
      <c r="BT105" s="701"/>
      <c r="BU105" s="701"/>
      <c r="BV105" s="682"/>
      <c r="BW105" s="682"/>
      <c r="BX105" s="682"/>
      <c r="BY105" s="682"/>
      <c r="BZ105" s="687"/>
      <c r="CA105" s="176"/>
      <c r="CB105" s="682"/>
      <c r="CC105" s="682"/>
      <c r="CD105" s="682"/>
      <c r="CE105" s="682"/>
      <c r="CF105" s="682"/>
      <c r="CG105" s="682"/>
    </row>
    <row r="106" spans="1:87" outlineLevel="1" x14ac:dyDescent="0.35">
      <c r="A106" s="687"/>
      <c r="B106" s="1290"/>
      <c r="C106" s="693" t="s">
        <v>242</v>
      </c>
      <c r="D106" s="693" t="s">
        <v>216</v>
      </c>
      <c r="E106" s="704">
        <f>0.0000534*1000</f>
        <v>5.3399999999999996E-2</v>
      </c>
      <c r="F106" s="694" t="s">
        <v>203</v>
      </c>
      <c r="G106" s="704">
        <v>2.8600000000000001E-6</v>
      </c>
      <c r="H106" s="694" t="s">
        <v>203</v>
      </c>
      <c r="I106" s="704">
        <v>9.7999999999999977E-6</v>
      </c>
      <c r="J106" s="694" t="s">
        <v>203</v>
      </c>
      <c r="K106" s="176"/>
      <c r="L106" s="176"/>
      <c r="M106" s="176"/>
      <c r="N106" s="176"/>
      <c r="O106" s="176"/>
      <c r="P106" s="176"/>
      <c r="Q106" s="176"/>
      <c r="R106" s="176"/>
      <c r="S106" s="176"/>
      <c r="T106" s="176"/>
      <c r="U106" s="176"/>
      <c r="V106" s="176"/>
      <c r="W106" s="176"/>
      <c r="X106" s="176"/>
      <c r="Y106" s="176"/>
      <c r="Z106" s="682"/>
      <c r="AA106" s="682"/>
      <c r="AB106" s="682"/>
      <c r="AC106" s="682"/>
      <c r="AD106" s="682"/>
      <c r="AE106" s="682"/>
      <c r="AF106" s="682"/>
      <c r="AG106" s="682"/>
      <c r="AH106" s="682"/>
      <c r="AI106" s="682"/>
      <c r="AJ106" s="682"/>
      <c r="AK106" s="176"/>
      <c r="AL106" s="176"/>
      <c r="AM106" s="701"/>
      <c r="AN106" s="701"/>
      <c r="AO106" s="701"/>
      <c r="AP106" s="701"/>
      <c r="AQ106" s="701"/>
      <c r="AR106" s="701"/>
      <c r="AS106" s="701"/>
      <c r="AT106" s="701"/>
      <c r="AU106" s="701"/>
      <c r="AV106" s="701"/>
      <c r="AW106" s="701"/>
      <c r="AX106" s="701"/>
      <c r="AY106" s="701"/>
      <c r="AZ106" s="701"/>
      <c r="BA106" s="701"/>
      <c r="BB106" s="701"/>
      <c r="BC106" s="701"/>
      <c r="BD106" s="701"/>
      <c r="BE106" s="701"/>
      <c r="BF106" s="701"/>
      <c r="BG106" s="701"/>
      <c r="BH106" s="701"/>
      <c r="BI106" s="701"/>
      <c r="BJ106" s="701"/>
      <c r="BK106" s="701"/>
      <c r="BL106" s="701"/>
      <c r="BM106" s="701"/>
      <c r="BN106" s="701"/>
      <c r="BO106" s="701"/>
      <c r="BP106" s="701"/>
      <c r="BQ106" s="701"/>
      <c r="BR106" s="701"/>
      <c r="BS106" s="701"/>
      <c r="BT106" s="701"/>
      <c r="BU106" s="701"/>
      <c r="BV106" s="682"/>
      <c r="BW106" s="682"/>
      <c r="BX106" s="682"/>
      <c r="BY106" s="682"/>
      <c r="BZ106" s="687"/>
      <c r="CA106" s="176"/>
      <c r="CB106" s="682"/>
      <c r="CC106" s="682"/>
      <c r="CD106" s="682"/>
      <c r="CE106" s="682"/>
      <c r="CF106" s="682"/>
      <c r="CG106" s="682"/>
    </row>
    <row r="107" spans="1:87" ht="21.4" customHeight="1" outlineLevel="1" x14ac:dyDescent="0.35">
      <c r="A107" s="687"/>
      <c r="B107" s="1282"/>
      <c r="C107" s="693" t="s">
        <v>217</v>
      </c>
      <c r="D107" s="693" t="s">
        <v>217</v>
      </c>
      <c r="E107" s="704">
        <f>0.00007414*1000</f>
        <v>7.4140000000000011E-2</v>
      </c>
      <c r="F107" s="694" t="s">
        <v>203</v>
      </c>
      <c r="G107" s="704">
        <v>1.9E-6</v>
      </c>
      <c r="H107" s="694" t="s">
        <v>203</v>
      </c>
      <c r="I107" s="704">
        <v>1.3999999999999999E-6</v>
      </c>
      <c r="J107" s="694" t="s">
        <v>203</v>
      </c>
      <c r="K107" s="176"/>
      <c r="L107" s="176"/>
      <c r="M107" s="176"/>
      <c r="N107" s="176"/>
      <c r="O107" s="176"/>
      <c r="P107" s="176"/>
      <c r="Q107" s="176"/>
      <c r="R107" s="176"/>
      <c r="S107" s="176"/>
      <c r="T107" s="176"/>
      <c r="U107" s="176"/>
      <c r="V107" s="176"/>
      <c r="W107" s="176"/>
      <c r="X107" s="176"/>
      <c r="Y107" s="176"/>
      <c r="Z107" s="682"/>
      <c r="AA107" s="682"/>
      <c r="AB107" s="682"/>
      <c r="AC107" s="682"/>
      <c r="AD107" s="682"/>
      <c r="AE107" s="682"/>
      <c r="AF107" s="682"/>
      <c r="AG107" s="682"/>
      <c r="AH107" s="682"/>
      <c r="AI107" s="682"/>
      <c r="AJ107" s="682"/>
      <c r="AK107" s="176"/>
      <c r="AL107" s="176"/>
      <c r="AM107" s="701"/>
      <c r="AN107" s="701"/>
      <c r="AO107" s="701"/>
      <c r="AP107" s="701"/>
      <c r="AQ107" s="701"/>
      <c r="AR107" s="701"/>
      <c r="AS107" s="701"/>
      <c r="AT107" s="701"/>
      <c r="AU107" s="701"/>
      <c r="AV107" s="701"/>
      <c r="AW107" s="701"/>
      <c r="AX107" s="701"/>
      <c r="AY107" s="701"/>
      <c r="AZ107" s="701"/>
      <c r="BA107" s="701"/>
      <c r="BB107" s="701"/>
      <c r="BC107" s="701"/>
      <c r="BD107" s="701"/>
      <c r="BE107" s="701"/>
      <c r="BF107" s="701"/>
      <c r="BG107" s="701"/>
      <c r="BH107" s="701"/>
      <c r="BI107" s="701"/>
      <c r="BJ107" s="701"/>
      <c r="BK107" s="701"/>
      <c r="BL107" s="701"/>
      <c r="BM107" s="701"/>
      <c r="BN107" s="701"/>
      <c r="BO107" s="701"/>
      <c r="BP107" s="701"/>
      <c r="BQ107" s="701"/>
      <c r="BR107" s="701"/>
      <c r="BS107" s="701"/>
      <c r="BT107" s="701"/>
      <c r="BU107" s="701"/>
      <c r="BV107" s="682"/>
      <c r="BW107" s="682"/>
      <c r="BX107" s="682"/>
      <c r="BY107" s="682"/>
      <c r="BZ107" s="687"/>
      <c r="CA107" s="176"/>
      <c r="CB107" s="682"/>
      <c r="CC107" s="682"/>
      <c r="CD107" s="682"/>
      <c r="CE107" s="682"/>
      <c r="CF107" s="682"/>
      <c r="CG107" s="682"/>
    </row>
    <row r="108" spans="1:87" outlineLevel="1" x14ac:dyDescent="0.35">
      <c r="A108" s="687"/>
      <c r="B108" s="695" t="s">
        <v>243</v>
      </c>
      <c r="C108" s="693" t="s">
        <v>242</v>
      </c>
      <c r="D108" s="693" t="s">
        <v>218</v>
      </c>
      <c r="E108" s="704">
        <f>0*1000</f>
        <v>0</v>
      </c>
      <c r="F108" s="694" t="s">
        <v>210</v>
      </c>
      <c r="G108" s="704">
        <v>1.3698889852995631E-6</v>
      </c>
      <c r="H108" s="693" t="s">
        <v>210</v>
      </c>
      <c r="I108" s="704">
        <v>4.1096669558986883E-7</v>
      </c>
      <c r="J108" s="693" t="s">
        <v>210</v>
      </c>
      <c r="K108" s="176"/>
      <c r="L108" s="176"/>
      <c r="M108" s="176"/>
      <c r="N108" s="176"/>
      <c r="O108" s="176"/>
      <c r="P108" s="176"/>
      <c r="Q108" s="176"/>
      <c r="R108" s="176"/>
      <c r="S108" s="176"/>
      <c r="T108" s="176"/>
      <c r="U108" s="176"/>
      <c r="V108" s="176"/>
      <c r="W108" s="176"/>
      <c r="X108" s="176"/>
      <c r="Y108" s="176"/>
      <c r="Z108" s="682"/>
      <c r="AA108" s="682"/>
      <c r="AB108" s="682"/>
      <c r="AC108" s="682"/>
      <c r="AD108" s="682"/>
      <c r="AE108" s="682"/>
      <c r="AF108" s="682"/>
      <c r="AG108" s="682"/>
      <c r="AH108" s="682"/>
      <c r="AI108" s="682"/>
      <c r="AJ108" s="682"/>
      <c r="AK108" s="176"/>
      <c r="AL108" s="176"/>
      <c r="AM108" s="701"/>
      <c r="AN108" s="701"/>
      <c r="AO108" s="701"/>
      <c r="AP108" s="701"/>
      <c r="AQ108" s="701"/>
      <c r="AR108" s="701"/>
      <c r="AS108" s="701"/>
      <c r="AT108" s="701"/>
      <c r="AU108" s="701"/>
      <c r="AV108" s="701"/>
      <c r="AW108" s="701"/>
      <c r="AX108" s="701"/>
      <c r="AY108" s="701"/>
      <c r="AZ108" s="701"/>
      <c r="BA108" s="701"/>
      <c r="BB108" s="701"/>
      <c r="BC108" s="701"/>
      <c r="BD108" s="701"/>
      <c r="BE108" s="701"/>
      <c r="BF108" s="701"/>
      <c r="BG108" s="701"/>
      <c r="BH108" s="701"/>
      <c r="BI108" s="701"/>
      <c r="BJ108" s="701"/>
      <c r="BK108" s="701"/>
      <c r="BL108" s="701"/>
      <c r="BM108" s="701"/>
      <c r="BN108" s="701"/>
      <c r="BO108" s="701"/>
      <c r="BP108" s="701"/>
      <c r="BQ108" s="701"/>
      <c r="BR108" s="701"/>
      <c r="BS108" s="701"/>
      <c r="BT108" s="701"/>
      <c r="BU108" s="701"/>
      <c r="BV108" s="682"/>
      <c r="BW108" s="682"/>
      <c r="BX108" s="682"/>
      <c r="BY108" s="682"/>
      <c r="BZ108" s="687"/>
      <c r="CA108" s="176"/>
      <c r="CB108" s="682"/>
      <c r="CC108" s="682"/>
      <c r="CD108" s="682"/>
      <c r="CE108" s="682"/>
      <c r="CF108" s="682"/>
      <c r="CG108" s="682"/>
    </row>
    <row r="109" spans="1:87" ht="15.75" customHeight="1" outlineLevel="1" x14ac:dyDescent="0.35">
      <c r="A109" s="687"/>
      <c r="B109" s="687"/>
      <c r="C109" s="705"/>
      <c r="D109" s="706"/>
      <c r="E109" s="706"/>
      <c r="F109" s="706"/>
      <c r="G109" s="176"/>
      <c r="H109" s="176"/>
      <c r="I109" s="176"/>
      <c r="J109" s="176"/>
      <c r="K109" s="176"/>
      <c r="L109" s="176"/>
      <c r="M109" s="176"/>
      <c r="N109" s="176"/>
      <c r="O109" s="176"/>
      <c r="P109" s="176"/>
      <c r="Q109" s="176"/>
      <c r="R109" s="176"/>
      <c r="S109" s="176"/>
      <c r="T109" s="176"/>
      <c r="U109" s="176"/>
      <c r="V109" s="176"/>
      <c r="W109" s="176"/>
      <c r="X109" s="176"/>
      <c r="Y109" s="176"/>
      <c r="Z109" s="176"/>
      <c r="AA109" s="682"/>
      <c r="AB109" s="682"/>
      <c r="AC109" s="682"/>
      <c r="AD109" s="682"/>
      <c r="AE109" s="682"/>
      <c r="AF109" s="682"/>
      <c r="AG109" s="682"/>
      <c r="AH109" s="682"/>
      <c r="AI109" s="682"/>
      <c r="AJ109" s="682"/>
      <c r="AK109" s="682"/>
      <c r="AL109" s="176"/>
      <c r="AM109" s="176"/>
      <c r="AN109" s="701"/>
      <c r="AO109" s="701"/>
      <c r="AP109" s="701"/>
      <c r="AQ109" s="701"/>
      <c r="AR109" s="701"/>
      <c r="AS109" s="701"/>
      <c r="AT109" s="701"/>
      <c r="AU109" s="701"/>
      <c r="AV109" s="701"/>
      <c r="AW109" s="701"/>
      <c r="AX109" s="701"/>
      <c r="AY109" s="701"/>
      <c r="AZ109" s="701"/>
      <c r="BA109" s="701"/>
      <c r="BB109" s="701"/>
      <c r="BC109" s="701"/>
      <c r="BD109" s="701"/>
      <c r="BE109" s="701"/>
      <c r="BF109" s="701"/>
      <c r="BG109" s="701"/>
      <c r="BH109" s="701"/>
      <c r="BI109" s="701"/>
      <c r="BJ109" s="701"/>
      <c r="BK109" s="701"/>
      <c r="BL109" s="701"/>
      <c r="BM109" s="701"/>
      <c r="BN109" s="701"/>
      <c r="BO109" s="701"/>
      <c r="BP109" s="701"/>
      <c r="BQ109" s="701"/>
      <c r="BR109" s="701"/>
      <c r="BS109" s="701"/>
      <c r="BT109" s="701"/>
      <c r="BU109" s="701"/>
      <c r="BV109" s="701"/>
      <c r="BW109" s="682"/>
      <c r="BX109" s="682"/>
      <c r="BY109" s="682"/>
      <c r="BZ109" s="682"/>
      <c r="CA109" s="687"/>
      <c r="CB109" s="176"/>
      <c r="CC109" s="682"/>
      <c r="CD109" s="682"/>
      <c r="CE109" s="682"/>
      <c r="CF109" s="682"/>
      <c r="CG109" s="682"/>
      <c r="CH109" s="682"/>
    </row>
    <row r="110" spans="1:87" ht="15.75" customHeight="1" outlineLevel="1" x14ac:dyDescent="0.35">
      <c r="A110" s="687"/>
      <c r="B110" s="176"/>
      <c r="C110" s="707"/>
      <c r="D110" s="706"/>
      <c r="E110" s="706"/>
      <c r="F110" s="706"/>
      <c r="G110" s="176"/>
      <c r="H110" s="176"/>
      <c r="I110" s="176"/>
      <c r="J110" s="176"/>
      <c r="K110" s="176"/>
      <c r="L110" s="176"/>
      <c r="M110" s="176"/>
      <c r="N110" s="176"/>
      <c r="O110" s="176"/>
      <c r="P110" s="176"/>
      <c r="Q110" s="176"/>
      <c r="R110" s="176"/>
      <c r="S110" s="176"/>
      <c r="T110" s="176"/>
      <c r="U110" s="176"/>
      <c r="V110" s="176"/>
      <c r="W110" s="176"/>
      <c r="X110" s="176"/>
      <c r="Y110" s="176"/>
      <c r="Z110" s="176"/>
      <c r="AA110" s="682"/>
      <c r="AB110" s="682"/>
      <c r="AC110" s="682"/>
      <c r="AD110" s="682"/>
      <c r="AE110" s="682"/>
      <c r="AF110" s="682"/>
      <c r="AG110" s="682"/>
      <c r="AH110" s="682"/>
      <c r="AI110" s="682"/>
      <c r="AJ110" s="682"/>
      <c r="AK110" s="682"/>
      <c r="AL110" s="176"/>
      <c r="AM110" s="176"/>
      <c r="AN110" s="701"/>
      <c r="AO110" s="701"/>
      <c r="AP110" s="701"/>
      <c r="AQ110" s="701"/>
      <c r="AR110" s="701"/>
      <c r="AS110" s="701"/>
      <c r="AT110" s="701"/>
      <c r="AU110" s="701"/>
      <c r="AV110" s="701"/>
      <c r="AW110" s="701"/>
      <c r="AX110" s="701"/>
      <c r="AY110" s="701"/>
      <c r="AZ110" s="701"/>
      <c r="BA110" s="701"/>
      <c r="BB110" s="701"/>
      <c r="BC110" s="701"/>
      <c r="BD110" s="701"/>
      <c r="BE110" s="701"/>
      <c r="BF110" s="701"/>
      <c r="BG110" s="701"/>
      <c r="BH110" s="701"/>
      <c r="BI110" s="701"/>
      <c r="BJ110" s="701"/>
      <c r="BK110" s="701"/>
      <c r="BL110" s="701"/>
      <c r="BM110" s="701"/>
      <c r="BN110" s="701"/>
      <c r="BO110" s="701"/>
      <c r="BP110" s="701"/>
      <c r="BQ110" s="701"/>
      <c r="BR110" s="701"/>
      <c r="BS110" s="701"/>
      <c r="BT110" s="701"/>
      <c r="BU110" s="701"/>
      <c r="BV110" s="701"/>
      <c r="BW110" s="682"/>
      <c r="BX110" s="682"/>
      <c r="BY110" s="682"/>
      <c r="BZ110" s="682"/>
      <c r="CA110" s="687"/>
      <c r="CB110" s="176"/>
      <c r="CC110" s="682"/>
      <c r="CD110" s="682"/>
      <c r="CE110" s="682"/>
      <c r="CF110" s="682"/>
      <c r="CG110" s="682"/>
      <c r="CH110" s="682"/>
    </row>
    <row r="111" spans="1:87" ht="18.5" outlineLevel="1" x14ac:dyDescent="0.45">
      <c r="A111" s="687"/>
      <c r="B111" s="678" t="s">
        <v>244</v>
      </c>
      <c r="C111" s="169"/>
      <c r="D111" s="170"/>
      <c r="E111" s="170"/>
      <c r="F111" s="170"/>
      <c r="G111" s="170"/>
      <c r="H111" s="170"/>
      <c r="I111" s="170"/>
      <c r="J111" s="170"/>
      <c r="K111" s="170"/>
      <c r="L111" s="176"/>
      <c r="M111" s="176"/>
      <c r="N111" s="176"/>
      <c r="O111" s="176"/>
      <c r="P111" s="176"/>
      <c r="Q111" s="176"/>
      <c r="R111" s="176"/>
      <c r="S111" s="176"/>
      <c r="T111" s="176"/>
      <c r="U111" s="176"/>
      <c r="V111" s="176"/>
      <c r="W111" s="176"/>
      <c r="X111" s="176"/>
      <c r="Y111" s="176"/>
      <c r="Z111" s="176"/>
      <c r="AA111" s="682"/>
      <c r="AB111" s="682"/>
      <c r="AC111" s="682"/>
      <c r="AD111" s="682"/>
      <c r="AE111" s="682"/>
      <c r="AF111" s="682"/>
      <c r="AG111" s="682"/>
      <c r="AH111" s="682"/>
      <c r="AI111" s="682"/>
      <c r="AJ111" s="682"/>
      <c r="AK111" s="682"/>
      <c r="AL111" s="176"/>
      <c r="AM111" s="176"/>
      <c r="AN111" s="701"/>
      <c r="AO111" s="701"/>
      <c r="AP111" s="701"/>
      <c r="AQ111" s="701"/>
      <c r="AR111" s="701"/>
      <c r="AS111" s="701"/>
      <c r="AT111" s="701"/>
      <c r="AU111" s="701"/>
      <c r="AV111" s="701"/>
      <c r="AW111" s="701"/>
      <c r="AX111" s="701"/>
      <c r="AY111" s="701"/>
      <c r="AZ111" s="701"/>
      <c r="BA111" s="701"/>
      <c r="BB111" s="701"/>
      <c r="BC111" s="701"/>
      <c r="BD111" s="701"/>
      <c r="BE111" s="701"/>
      <c r="BF111" s="701"/>
      <c r="BG111" s="701"/>
      <c r="BH111" s="701"/>
      <c r="BI111" s="701"/>
      <c r="BJ111" s="701"/>
      <c r="BK111" s="701"/>
      <c r="BL111" s="701"/>
      <c r="BM111" s="701"/>
      <c r="BN111" s="701"/>
      <c r="BO111" s="701"/>
      <c r="BP111" s="701"/>
      <c r="BQ111" s="701"/>
      <c r="BR111" s="701"/>
      <c r="BS111" s="701"/>
      <c r="BT111" s="701"/>
      <c r="BU111" s="701"/>
      <c r="BV111" s="701"/>
      <c r="BW111" s="682"/>
      <c r="BX111" s="682"/>
      <c r="BY111" s="682"/>
      <c r="BZ111" s="682"/>
      <c r="CA111" s="687"/>
      <c r="CB111" s="176"/>
      <c r="CC111" s="682"/>
      <c r="CD111" s="682"/>
      <c r="CE111" s="682"/>
      <c r="CF111" s="682"/>
      <c r="CG111" s="682"/>
      <c r="CH111" s="682"/>
    </row>
    <row r="112" spans="1:87" ht="15.75" customHeight="1" outlineLevel="1" x14ac:dyDescent="0.35">
      <c r="A112" s="687"/>
      <c r="B112" s="702"/>
      <c r="C112" s="169"/>
      <c r="D112" s="170"/>
      <c r="E112" s="170"/>
      <c r="F112" s="170"/>
      <c r="G112" s="170"/>
      <c r="H112" s="170"/>
      <c r="I112" s="170"/>
      <c r="J112" s="170"/>
      <c r="K112" s="170"/>
      <c r="L112" s="176"/>
      <c r="M112" s="176"/>
      <c r="N112" s="176"/>
      <c r="O112" s="176"/>
      <c r="P112" s="176"/>
      <c r="Q112" s="176"/>
      <c r="R112" s="176"/>
      <c r="S112" s="176"/>
      <c r="T112" s="176"/>
      <c r="U112" s="176"/>
      <c r="V112" s="176"/>
      <c r="W112" s="176"/>
      <c r="X112" s="176"/>
      <c r="Y112" s="176"/>
      <c r="Z112" s="176"/>
      <c r="AA112" s="682"/>
      <c r="AB112" s="682"/>
      <c r="AC112" s="682"/>
      <c r="AD112" s="682"/>
      <c r="AE112" s="682"/>
      <c r="AF112" s="682"/>
      <c r="AG112" s="682"/>
      <c r="AH112" s="682"/>
      <c r="AI112" s="682"/>
      <c r="AJ112" s="682"/>
      <c r="AK112" s="682"/>
      <c r="AL112" s="176"/>
      <c r="AM112" s="176"/>
      <c r="AN112" s="701"/>
      <c r="AO112" s="701"/>
      <c r="AP112" s="701"/>
      <c r="AQ112" s="701"/>
      <c r="AR112" s="701"/>
      <c r="AS112" s="701"/>
      <c r="AT112" s="701"/>
      <c r="AU112" s="701"/>
      <c r="AV112" s="701"/>
      <c r="AW112" s="701"/>
      <c r="AX112" s="701"/>
      <c r="AY112" s="701"/>
      <c r="AZ112" s="701"/>
      <c r="BA112" s="701"/>
      <c r="BB112" s="701"/>
      <c r="BC112" s="701"/>
      <c r="BD112" s="701"/>
      <c r="BE112" s="701"/>
      <c r="BF112" s="701"/>
      <c r="BG112" s="701"/>
      <c r="BH112" s="701"/>
      <c r="BI112" s="701"/>
      <c r="BJ112" s="701"/>
      <c r="BK112" s="701"/>
      <c r="BL112" s="701"/>
      <c r="BM112" s="701"/>
      <c r="BN112" s="701"/>
      <c r="BO112" s="701"/>
      <c r="BP112" s="701"/>
      <c r="BQ112" s="701"/>
      <c r="BR112" s="701"/>
      <c r="BS112" s="701"/>
      <c r="BT112" s="701"/>
      <c r="BU112" s="701"/>
      <c r="BV112" s="701"/>
      <c r="BW112" s="682"/>
      <c r="BX112" s="682"/>
      <c r="BY112" s="682"/>
      <c r="BZ112" s="682"/>
      <c r="CA112" s="687"/>
      <c r="CB112" s="176"/>
      <c r="CC112" s="682"/>
      <c r="CD112" s="682"/>
      <c r="CE112" s="682"/>
      <c r="CF112" s="682"/>
      <c r="CG112" s="682"/>
      <c r="CH112" s="682"/>
    </row>
    <row r="113" spans="1:86" outlineLevel="1" x14ac:dyDescent="0.35">
      <c r="A113" s="687"/>
      <c r="B113" s="683" t="s">
        <v>528</v>
      </c>
      <c r="C113" s="169"/>
      <c r="D113" s="684"/>
      <c r="E113" s="685"/>
      <c r="F113" s="685"/>
      <c r="G113" s="685"/>
      <c r="H113" s="685"/>
      <c r="I113" s="685"/>
      <c r="J113" s="685"/>
      <c r="K113" s="685"/>
      <c r="L113" s="176"/>
      <c r="M113" s="176"/>
      <c r="N113" s="176"/>
      <c r="O113" s="176"/>
      <c r="P113" s="176"/>
      <c r="Q113" s="176"/>
      <c r="R113" s="176"/>
      <c r="S113" s="176"/>
      <c r="T113" s="176"/>
      <c r="U113" s="176"/>
      <c r="V113" s="176"/>
      <c r="W113" s="176"/>
      <c r="X113" s="176"/>
      <c r="Y113" s="176"/>
      <c r="Z113" s="176"/>
      <c r="AA113" s="682"/>
      <c r="AB113" s="682"/>
      <c r="AC113" s="682"/>
      <c r="AD113" s="682"/>
      <c r="AE113" s="682"/>
      <c r="AF113" s="682"/>
      <c r="AG113" s="682"/>
      <c r="AH113" s="682"/>
      <c r="AI113" s="682"/>
      <c r="AJ113" s="682"/>
      <c r="AK113" s="682"/>
      <c r="AL113" s="176"/>
      <c r="AM113" s="176"/>
      <c r="AN113" s="701"/>
      <c r="AO113" s="701"/>
      <c r="AP113" s="701"/>
      <c r="AQ113" s="701"/>
      <c r="AR113" s="701"/>
      <c r="AS113" s="701"/>
      <c r="AT113" s="701"/>
      <c r="AU113" s="701"/>
      <c r="AV113" s="701"/>
      <c r="AW113" s="701"/>
      <c r="AX113" s="701"/>
      <c r="AY113" s="701"/>
      <c r="AZ113" s="701"/>
      <c r="BA113" s="701"/>
      <c r="BB113" s="701"/>
      <c r="BC113" s="701"/>
      <c r="BD113" s="701"/>
      <c r="BE113" s="701"/>
      <c r="BF113" s="701"/>
      <c r="BG113" s="701"/>
      <c r="BH113" s="701"/>
      <c r="BI113" s="701"/>
      <c r="BJ113" s="701"/>
      <c r="BK113" s="701"/>
      <c r="BL113" s="701"/>
      <c r="BM113" s="701"/>
      <c r="BN113" s="701"/>
      <c r="BO113" s="701"/>
      <c r="BP113" s="701"/>
      <c r="BQ113" s="701"/>
      <c r="BR113" s="701"/>
      <c r="BS113" s="701"/>
      <c r="BT113" s="701"/>
      <c r="BU113" s="701"/>
      <c r="BV113" s="701"/>
      <c r="BW113" s="682"/>
      <c r="BX113" s="682"/>
      <c r="BY113" s="682"/>
      <c r="BZ113" s="682"/>
      <c r="CA113" s="687"/>
      <c r="CB113" s="176"/>
      <c r="CC113" s="682"/>
      <c r="CD113" s="682"/>
      <c r="CE113" s="682"/>
      <c r="CF113" s="682"/>
      <c r="CG113" s="682"/>
      <c r="CH113" s="682"/>
    </row>
    <row r="114" spans="1:86" ht="15.75" customHeight="1" outlineLevel="1" x14ac:dyDescent="0.35">
      <c r="A114" s="687"/>
      <c r="B114" s="1294" t="s">
        <v>194</v>
      </c>
      <c r="C114" s="1284" t="s">
        <v>195</v>
      </c>
      <c r="D114" s="1284" t="s">
        <v>196</v>
      </c>
      <c r="E114" s="1287" t="s">
        <v>219</v>
      </c>
      <c r="F114" s="1288"/>
      <c r="G114" s="1288"/>
      <c r="H114" s="1288"/>
      <c r="I114" s="1288"/>
      <c r="J114" s="1289"/>
      <c r="K114" s="176"/>
      <c r="L114" s="176"/>
      <c r="M114" s="176"/>
      <c r="N114" s="176"/>
      <c r="O114" s="176"/>
      <c r="P114" s="176"/>
      <c r="Q114" s="176"/>
      <c r="R114" s="176"/>
      <c r="S114" s="176"/>
      <c r="T114" s="176"/>
      <c r="U114" s="176"/>
      <c r="V114" s="176"/>
      <c r="W114" s="176"/>
      <c r="X114" s="176"/>
      <c r="Y114" s="176"/>
      <c r="Z114" s="682"/>
      <c r="AA114" s="682"/>
      <c r="AB114" s="682"/>
      <c r="AC114" s="682"/>
      <c r="AD114" s="682"/>
      <c r="AE114" s="682"/>
      <c r="AF114" s="682"/>
      <c r="AG114" s="682"/>
      <c r="AH114" s="682"/>
      <c r="AI114" s="682"/>
      <c r="AJ114" s="682"/>
      <c r="AK114" s="176"/>
      <c r="AL114" s="176"/>
      <c r="AM114" s="701"/>
      <c r="AN114" s="701"/>
      <c r="AO114" s="701"/>
      <c r="AP114" s="701"/>
      <c r="AQ114" s="701"/>
      <c r="AR114" s="701"/>
      <c r="AS114" s="701"/>
      <c r="AT114" s="701"/>
      <c r="AU114" s="701"/>
      <c r="AV114" s="701"/>
      <c r="AW114" s="701"/>
      <c r="AX114" s="701"/>
      <c r="AY114" s="701"/>
      <c r="AZ114" s="701"/>
      <c r="BA114" s="701"/>
      <c r="BB114" s="701"/>
      <c r="BC114" s="701"/>
      <c r="BD114" s="701"/>
      <c r="BE114" s="701"/>
      <c r="BF114" s="701"/>
      <c r="BG114" s="701"/>
      <c r="BH114" s="701"/>
      <c r="BI114" s="701"/>
      <c r="BJ114" s="701"/>
      <c r="BK114" s="701"/>
      <c r="BL114" s="701"/>
      <c r="BM114" s="701"/>
      <c r="BN114" s="701"/>
      <c r="BO114" s="701"/>
      <c r="BP114" s="701"/>
      <c r="BQ114" s="701"/>
      <c r="BR114" s="701"/>
      <c r="BS114" s="701"/>
      <c r="BT114" s="701"/>
      <c r="BU114" s="701"/>
      <c r="BV114" s="682"/>
      <c r="BW114" s="682"/>
      <c r="BX114" s="682"/>
      <c r="BY114" s="682"/>
      <c r="BZ114" s="687"/>
      <c r="CA114" s="176"/>
      <c r="CB114" s="682"/>
      <c r="CC114" s="682"/>
      <c r="CD114" s="682"/>
      <c r="CE114" s="682"/>
      <c r="CF114" s="682"/>
      <c r="CG114" s="682"/>
    </row>
    <row r="115" spans="1:86" ht="15.75" customHeight="1" outlineLevel="1" x14ac:dyDescent="0.35">
      <c r="A115" s="687"/>
      <c r="B115" s="1295"/>
      <c r="C115" s="1286"/>
      <c r="D115" s="1286"/>
      <c r="E115" s="1287" t="s">
        <v>1386</v>
      </c>
      <c r="F115" s="1289"/>
      <c r="G115" s="1287" t="s">
        <v>1387</v>
      </c>
      <c r="H115" s="1289"/>
      <c r="I115" s="1287" t="s">
        <v>1388</v>
      </c>
      <c r="J115" s="1289"/>
      <c r="K115" s="176"/>
      <c r="L115" s="176"/>
      <c r="M115" s="176"/>
      <c r="N115" s="176"/>
      <c r="O115" s="176"/>
      <c r="P115" s="176"/>
      <c r="Q115" s="176"/>
      <c r="R115" s="176"/>
      <c r="S115" s="176"/>
      <c r="T115" s="176"/>
      <c r="U115" s="176"/>
      <c r="V115" s="176"/>
      <c r="W115" s="176"/>
      <c r="X115" s="176"/>
      <c r="Y115" s="176"/>
      <c r="Z115" s="682"/>
      <c r="AA115" s="682"/>
      <c r="AB115" s="682"/>
      <c r="AC115" s="682"/>
      <c r="AD115" s="682"/>
      <c r="AE115" s="682"/>
      <c r="AF115" s="682"/>
      <c r="AG115" s="682"/>
      <c r="AH115" s="682"/>
      <c r="AI115" s="682"/>
      <c r="AJ115" s="682"/>
      <c r="AK115" s="176"/>
      <c r="AL115" s="176"/>
      <c r="AM115" s="701"/>
      <c r="AN115" s="701"/>
      <c r="AO115" s="701"/>
      <c r="AP115" s="701"/>
      <c r="AQ115" s="701"/>
      <c r="AR115" s="701"/>
      <c r="AS115" s="701"/>
      <c r="AT115" s="701"/>
      <c r="AU115" s="701"/>
      <c r="AV115" s="701"/>
      <c r="AW115" s="701"/>
      <c r="AX115" s="701"/>
      <c r="AY115" s="701"/>
      <c r="AZ115" s="701"/>
      <c r="BA115" s="701"/>
      <c r="BB115" s="701"/>
      <c r="BC115" s="701"/>
      <c r="BD115" s="701"/>
      <c r="BE115" s="701"/>
      <c r="BF115" s="701"/>
      <c r="BG115" s="701"/>
      <c r="BH115" s="701"/>
      <c r="BI115" s="701"/>
      <c r="BJ115" s="701"/>
      <c r="BK115" s="701"/>
      <c r="BL115" s="701"/>
      <c r="BM115" s="701"/>
      <c r="BN115" s="701"/>
      <c r="BO115" s="701"/>
      <c r="BP115" s="701"/>
      <c r="BQ115" s="701"/>
      <c r="BR115" s="701"/>
      <c r="BS115" s="701"/>
      <c r="BT115" s="701"/>
      <c r="BU115" s="701"/>
      <c r="BV115" s="682"/>
      <c r="BW115" s="682"/>
      <c r="BX115" s="682"/>
      <c r="BY115" s="682"/>
      <c r="BZ115" s="687"/>
      <c r="CA115" s="176"/>
      <c r="CB115" s="682"/>
      <c r="CC115" s="682"/>
      <c r="CD115" s="682"/>
      <c r="CE115" s="682"/>
      <c r="CF115" s="682"/>
      <c r="CG115" s="682"/>
    </row>
    <row r="116" spans="1:86" ht="15.75" customHeight="1" outlineLevel="1" x14ac:dyDescent="0.35">
      <c r="A116" s="687"/>
      <c r="B116" s="1296"/>
      <c r="C116" s="1285"/>
      <c r="D116" s="1285"/>
      <c r="E116" s="689" t="s">
        <v>201</v>
      </c>
      <c r="F116" s="689" t="s">
        <v>202</v>
      </c>
      <c r="G116" s="689" t="s">
        <v>201</v>
      </c>
      <c r="H116" s="689" t="s">
        <v>202</v>
      </c>
      <c r="I116" s="689" t="s">
        <v>201</v>
      </c>
      <c r="J116" s="689" t="s">
        <v>202</v>
      </c>
      <c r="K116" s="176"/>
      <c r="L116" s="176"/>
      <c r="M116" s="176"/>
      <c r="N116" s="176"/>
      <c r="O116" s="176"/>
      <c r="P116" s="176"/>
      <c r="Q116" s="176"/>
      <c r="R116" s="176"/>
      <c r="S116" s="176"/>
      <c r="T116" s="176"/>
      <c r="U116" s="176"/>
      <c r="V116" s="176"/>
      <c r="W116" s="176"/>
      <c r="X116" s="176"/>
      <c r="Y116" s="176"/>
      <c r="Z116" s="682"/>
      <c r="AA116" s="682"/>
      <c r="AB116" s="682"/>
      <c r="AC116" s="682"/>
      <c r="AD116" s="682"/>
      <c r="AE116" s="682"/>
      <c r="AF116" s="682"/>
      <c r="AG116" s="682"/>
      <c r="AH116" s="682"/>
      <c r="AI116" s="682"/>
      <c r="AJ116" s="682"/>
      <c r="AK116" s="176"/>
      <c r="AL116" s="176"/>
      <c r="AM116" s="701"/>
      <c r="AN116" s="701"/>
      <c r="AO116" s="701"/>
      <c r="AP116" s="701"/>
      <c r="AQ116" s="701"/>
      <c r="AR116" s="701"/>
      <c r="AS116" s="701"/>
      <c r="AT116" s="701"/>
      <c r="AU116" s="701"/>
      <c r="AV116" s="701"/>
      <c r="AW116" s="701"/>
      <c r="AX116" s="701"/>
      <c r="AY116" s="701"/>
      <c r="AZ116" s="701"/>
      <c r="BA116" s="701"/>
      <c r="BB116" s="701"/>
      <c r="BC116" s="701"/>
      <c r="BD116" s="701"/>
      <c r="BE116" s="701"/>
      <c r="BF116" s="701"/>
      <c r="BG116" s="701"/>
      <c r="BH116" s="701"/>
      <c r="BI116" s="701"/>
      <c r="BJ116" s="701"/>
      <c r="BK116" s="701"/>
      <c r="BL116" s="701"/>
      <c r="BM116" s="701"/>
      <c r="BN116" s="701"/>
      <c r="BO116" s="701"/>
      <c r="BP116" s="701"/>
      <c r="BQ116" s="701"/>
      <c r="BR116" s="701"/>
      <c r="BS116" s="701"/>
      <c r="BT116" s="701"/>
      <c r="BU116" s="701"/>
      <c r="BV116" s="682"/>
      <c r="BW116" s="682"/>
      <c r="BX116" s="682"/>
      <c r="BY116" s="682"/>
      <c r="BZ116" s="687"/>
      <c r="CA116" s="176"/>
      <c r="CB116" s="682"/>
      <c r="CC116" s="682"/>
      <c r="CD116" s="682"/>
      <c r="CE116" s="682"/>
      <c r="CF116" s="682"/>
      <c r="CG116" s="682"/>
    </row>
    <row r="117" spans="1:86" outlineLevel="1" x14ac:dyDescent="0.35">
      <c r="A117" s="687"/>
      <c r="B117" s="695" t="s">
        <v>221</v>
      </c>
      <c r="C117" s="694" t="s">
        <v>222</v>
      </c>
      <c r="D117" s="694" t="s">
        <v>223</v>
      </c>
      <c r="E117" s="703">
        <f>0.00011516*1000</f>
        <v>0.11516</v>
      </c>
      <c r="F117" s="694" t="s">
        <v>203</v>
      </c>
      <c r="G117" s="708"/>
      <c r="H117" s="709"/>
      <c r="I117" s="708"/>
      <c r="J117" s="709"/>
      <c r="K117" s="176"/>
      <c r="L117" s="176"/>
      <c r="M117" s="176"/>
      <c r="N117" s="176"/>
      <c r="O117" s="176"/>
      <c r="P117" s="176"/>
      <c r="Q117" s="176"/>
      <c r="R117" s="176"/>
      <c r="S117" s="176"/>
      <c r="T117" s="176"/>
      <c r="U117" s="176"/>
      <c r="V117" s="176"/>
      <c r="W117" s="176"/>
      <c r="X117" s="176"/>
      <c r="Y117" s="176"/>
      <c r="Z117" s="682"/>
      <c r="AA117" s="682"/>
      <c r="AB117" s="682"/>
      <c r="AC117" s="682"/>
      <c r="AD117" s="682"/>
      <c r="AE117" s="682"/>
      <c r="AF117" s="682"/>
      <c r="AG117" s="682"/>
      <c r="AH117" s="682"/>
      <c r="AI117" s="682"/>
      <c r="AJ117" s="682"/>
      <c r="AK117" s="176"/>
      <c r="AL117" s="176"/>
      <c r="AM117" s="701"/>
      <c r="AN117" s="701"/>
      <c r="AO117" s="701"/>
      <c r="AP117" s="701"/>
      <c r="AQ117" s="701"/>
      <c r="AR117" s="701"/>
      <c r="AS117" s="701"/>
      <c r="AT117" s="701"/>
      <c r="AU117" s="701"/>
      <c r="AV117" s="701"/>
      <c r="AW117" s="701"/>
      <c r="AX117" s="701"/>
      <c r="AY117" s="701"/>
      <c r="AZ117" s="701"/>
      <c r="BA117" s="701"/>
      <c r="BB117" s="701"/>
      <c r="BC117" s="701"/>
      <c r="BD117" s="701"/>
      <c r="BE117" s="701"/>
      <c r="BF117" s="701"/>
      <c r="BG117" s="701"/>
      <c r="BH117" s="701"/>
      <c r="BI117" s="701"/>
      <c r="BJ117" s="701"/>
      <c r="BK117" s="701"/>
      <c r="BL117" s="701"/>
      <c r="BM117" s="701"/>
      <c r="BN117" s="701"/>
      <c r="BO117" s="701"/>
      <c r="BP117" s="701"/>
      <c r="BQ117" s="701"/>
      <c r="BR117" s="701"/>
      <c r="BS117" s="701"/>
      <c r="BT117" s="701"/>
      <c r="BU117" s="701"/>
      <c r="BV117" s="682"/>
      <c r="BW117" s="682"/>
      <c r="BX117" s="682"/>
      <c r="BY117" s="682"/>
      <c r="BZ117" s="687"/>
      <c r="CA117" s="176"/>
      <c r="CB117" s="682"/>
      <c r="CC117" s="682"/>
      <c r="CD117" s="682"/>
      <c r="CE117" s="682"/>
      <c r="CF117" s="682"/>
      <c r="CG117" s="682"/>
    </row>
    <row r="118" spans="1:86" outlineLevel="1" x14ac:dyDescent="0.35">
      <c r="A118" s="687"/>
      <c r="B118" s="1281" t="s">
        <v>224</v>
      </c>
      <c r="C118" s="694" t="s">
        <v>222</v>
      </c>
      <c r="D118" s="694" t="s">
        <v>225</v>
      </c>
      <c r="E118" s="703">
        <f>0.0000495*1000</f>
        <v>4.9499999999999995E-2</v>
      </c>
      <c r="F118" s="694" t="s">
        <v>210</v>
      </c>
      <c r="G118" s="703">
        <v>2.8082724198641043E-6</v>
      </c>
      <c r="H118" s="694" t="s">
        <v>210</v>
      </c>
      <c r="I118" s="703">
        <v>9.5892228970969408E-7</v>
      </c>
      <c r="J118" s="694" t="s">
        <v>210</v>
      </c>
      <c r="K118" s="176"/>
      <c r="L118" s="176"/>
      <c r="M118" s="176"/>
      <c r="N118" s="176"/>
      <c r="O118" s="176"/>
      <c r="P118" s="176"/>
      <c r="Q118" s="176"/>
      <c r="R118" s="176"/>
      <c r="S118" s="176"/>
      <c r="T118" s="176"/>
      <c r="U118" s="176"/>
      <c r="V118" s="176"/>
      <c r="W118" s="176"/>
      <c r="X118" s="176"/>
      <c r="Y118" s="176"/>
      <c r="Z118" s="682"/>
      <c r="AA118" s="682"/>
      <c r="AB118" s="682"/>
      <c r="AC118" s="682"/>
      <c r="AD118" s="682"/>
      <c r="AE118" s="682"/>
      <c r="AF118" s="682"/>
      <c r="AG118" s="682"/>
      <c r="AH118" s="682"/>
      <c r="AI118" s="682"/>
      <c r="AJ118" s="682"/>
      <c r="AK118" s="176"/>
      <c r="AL118" s="176"/>
      <c r="AM118" s="701"/>
      <c r="AN118" s="701"/>
      <c r="AO118" s="701"/>
      <c r="AP118" s="701"/>
      <c r="AQ118" s="701"/>
      <c r="AR118" s="701"/>
      <c r="AS118" s="701"/>
      <c r="AT118" s="701"/>
      <c r="AU118" s="701"/>
      <c r="AV118" s="701"/>
      <c r="AW118" s="701"/>
      <c r="AX118" s="701"/>
      <c r="AY118" s="701"/>
      <c r="AZ118" s="701"/>
      <c r="BA118" s="701"/>
      <c r="BB118" s="701"/>
      <c r="BC118" s="701"/>
      <c r="BD118" s="701"/>
      <c r="BE118" s="701"/>
      <c r="BF118" s="701"/>
      <c r="BG118" s="701"/>
      <c r="BH118" s="701"/>
      <c r="BI118" s="701"/>
      <c r="BJ118" s="701"/>
      <c r="BK118" s="701"/>
      <c r="BL118" s="701"/>
      <c r="BM118" s="701"/>
      <c r="BN118" s="701"/>
      <c r="BO118" s="701"/>
      <c r="BP118" s="701"/>
      <c r="BQ118" s="701"/>
      <c r="BR118" s="701"/>
      <c r="BS118" s="701"/>
      <c r="BT118" s="701"/>
      <c r="BU118" s="701"/>
      <c r="BV118" s="682"/>
      <c r="BW118" s="682"/>
      <c r="BX118" s="682"/>
      <c r="BY118" s="682"/>
      <c r="BZ118" s="687"/>
      <c r="CA118" s="176"/>
      <c r="CB118" s="682"/>
      <c r="CC118" s="682"/>
      <c r="CD118" s="682"/>
      <c r="CE118" s="682"/>
      <c r="CF118" s="682"/>
      <c r="CG118" s="682"/>
    </row>
    <row r="119" spans="1:86" outlineLevel="1" x14ac:dyDescent="0.35">
      <c r="A119" s="687"/>
      <c r="B119" s="1290"/>
      <c r="C119" s="693" t="s">
        <v>226</v>
      </c>
      <c r="D119" s="693" t="s">
        <v>698</v>
      </c>
      <c r="E119" s="704">
        <f>0.0000333*1000</f>
        <v>3.3300000000000003E-2</v>
      </c>
      <c r="F119" s="694" t="s">
        <v>210</v>
      </c>
      <c r="G119" s="704">
        <v>2.8082724198641043E-6</v>
      </c>
      <c r="H119" s="694" t="s">
        <v>210</v>
      </c>
      <c r="I119" s="704">
        <v>9.5892228970969408E-7</v>
      </c>
      <c r="J119" s="694" t="s">
        <v>210</v>
      </c>
      <c r="K119" s="176"/>
      <c r="L119" s="176"/>
      <c r="M119" s="176"/>
      <c r="N119" s="176"/>
      <c r="O119" s="176"/>
      <c r="P119" s="176"/>
      <c r="Q119" s="176"/>
      <c r="R119" s="176"/>
      <c r="S119" s="176"/>
      <c r="T119" s="176"/>
      <c r="U119" s="176"/>
      <c r="V119" s="176"/>
      <c r="W119" s="176"/>
      <c r="X119" s="176"/>
      <c r="Y119" s="176"/>
      <c r="Z119" s="682"/>
      <c r="AA119" s="682"/>
      <c r="AB119" s="682"/>
      <c r="AC119" s="682"/>
      <c r="AD119" s="682"/>
      <c r="AE119" s="682"/>
      <c r="AF119" s="682"/>
      <c r="AG119" s="682"/>
      <c r="AH119" s="682"/>
      <c r="AI119" s="682"/>
      <c r="AJ119" s="682"/>
      <c r="AK119" s="176"/>
      <c r="AL119" s="176"/>
      <c r="AM119" s="701"/>
      <c r="AN119" s="701"/>
      <c r="AO119" s="701"/>
      <c r="AP119" s="701"/>
      <c r="AQ119" s="701"/>
      <c r="AR119" s="701"/>
      <c r="AS119" s="701"/>
      <c r="AT119" s="701"/>
      <c r="AU119" s="701"/>
      <c r="AV119" s="701"/>
      <c r="AW119" s="701"/>
      <c r="AX119" s="701"/>
      <c r="AY119" s="701"/>
      <c r="AZ119" s="701"/>
      <c r="BA119" s="701"/>
      <c r="BB119" s="701"/>
      <c r="BC119" s="701"/>
      <c r="BD119" s="701"/>
      <c r="BE119" s="701"/>
      <c r="BF119" s="701"/>
      <c r="BG119" s="701"/>
      <c r="BH119" s="701"/>
      <c r="BI119" s="701"/>
      <c r="BJ119" s="701"/>
      <c r="BK119" s="701"/>
      <c r="BL119" s="701"/>
      <c r="BM119" s="701"/>
      <c r="BN119" s="701"/>
      <c r="BO119" s="701"/>
      <c r="BP119" s="701"/>
      <c r="BQ119" s="701"/>
      <c r="BR119" s="701"/>
      <c r="BS119" s="701"/>
      <c r="BT119" s="701"/>
      <c r="BU119" s="701"/>
      <c r="BV119" s="682"/>
      <c r="BW119" s="682"/>
      <c r="BX119" s="682"/>
      <c r="BY119" s="682"/>
      <c r="BZ119" s="687"/>
      <c r="CA119" s="176"/>
      <c r="CB119" s="682"/>
      <c r="CC119" s="682"/>
      <c r="CD119" s="682"/>
      <c r="CE119" s="682"/>
      <c r="CF119" s="682"/>
      <c r="CG119" s="682"/>
    </row>
    <row r="120" spans="1:86" ht="31" outlineLevel="1" x14ac:dyDescent="0.35">
      <c r="A120" s="687"/>
      <c r="B120" s="1290"/>
      <c r="C120" s="693" t="s">
        <v>227</v>
      </c>
      <c r="D120" s="693" t="s">
        <v>697</v>
      </c>
      <c r="E120" s="704">
        <f>0.0000091*1000</f>
        <v>9.0999999999999987E-3</v>
      </c>
      <c r="F120" s="694" t="s">
        <v>210</v>
      </c>
      <c r="G120" s="704">
        <v>2.8082724198641043E-6</v>
      </c>
      <c r="H120" s="694" t="s">
        <v>210</v>
      </c>
      <c r="I120" s="704">
        <v>9.5892228970969408E-7</v>
      </c>
      <c r="J120" s="694" t="s">
        <v>210</v>
      </c>
      <c r="K120" s="176"/>
      <c r="L120" s="176"/>
      <c r="M120" s="176"/>
      <c r="N120" s="176"/>
      <c r="O120" s="176"/>
      <c r="P120" s="176"/>
      <c r="Q120" s="176"/>
      <c r="R120" s="176"/>
      <c r="S120" s="176"/>
      <c r="T120" s="176"/>
      <c r="U120" s="176"/>
      <c r="V120" s="176"/>
      <c r="W120" s="176"/>
      <c r="X120" s="176"/>
      <c r="Y120" s="176"/>
      <c r="Z120" s="682"/>
      <c r="AA120" s="682"/>
      <c r="AB120" s="682"/>
      <c r="AC120" s="682"/>
      <c r="AD120" s="682"/>
      <c r="AE120" s="682"/>
      <c r="AF120" s="682"/>
      <c r="AG120" s="682"/>
      <c r="AH120" s="682"/>
      <c r="AI120" s="682"/>
      <c r="AJ120" s="682"/>
      <c r="AK120" s="176"/>
      <c r="AL120" s="176"/>
      <c r="AM120" s="701"/>
      <c r="AN120" s="701"/>
      <c r="AO120" s="701"/>
      <c r="AP120" s="701"/>
      <c r="AQ120" s="701"/>
      <c r="AR120" s="701"/>
      <c r="AS120" s="701"/>
      <c r="AT120" s="701"/>
      <c r="AU120" s="701"/>
      <c r="AV120" s="701"/>
      <c r="AW120" s="701"/>
      <c r="AX120" s="701"/>
      <c r="AY120" s="701"/>
      <c r="AZ120" s="701"/>
      <c r="BA120" s="701"/>
      <c r="BB120" s="701"/>
      <c r="BC120" s="701"/>
      <c r="BD120" s="701"/>
      <c r="BE120" s="701"/>
      <c r="BF120" s="701"/>
      <c r="BG120" s="701"/>
      <c r="BH120" s="701"/>
      <c r="BI120" s="701"/>
      <c r="BJ120" s="701"/>
      <c r="BK120" s="701"/>
      <c r="BL120" s="701"/>
      <c r="BM120" s="701"/>
      <c r="BN120" s="701"/>
      <c r="BO120" s="701"/>
      <c r="BP120" s="701"/>
      <c r="BQ120" s="701"/>
      <c r="BR120" s="701"/>
      <c r="BS120" s="701"/>
      <c r="BT120" s="701"/>
      <c r="BU120" s="701"/>
      <c r="BV120" s="682"/>
      <c r="BW120" s="682"/>
      <c r="BX120" s="682"/>
      <c r="BY120" s="682"/>
      <c r="BZ120" s="687"/>
      <c r="CA120" s="176"/>
      <c r="CB120" s="682"/>
      <c r="CC120" s="682"/>
      <c r="CD120" s="682"/>
      <c r="CE120" s="682"/>
      <c r="CF120" s="682"/>
      <c r="CG120" s="682"/>
    </row>
    <row r="121" spans="1:86" ht="31" outlineLevel="1" x14ac:dyDescent="0.35">
      <c r="A121" s="687"/>
      <c r="B121" s="1282"/>
      <c r="C121" s="693" t="s">
        <v>228</v>
      </c>
      <c r="D121" s="693" t="s">
        <v>699</v>
      </c>
      <c r="E121" s="704">
        <f>0.0000059*1000</f>
        <v>5.8999999999999999E-3</v>
      </c>
      <c r="F121" s="694" t="s">
        <v>210</v>
      </c>
      <c r="G121" s="704">
        <v>2.8082724198641043E-6</v>
      </c>
      <c r="H121" s="693" t="s">
        <v>210</v>
      </c>
      <c r="I121" s="704">
        <v>9.5892228970969408E-7</v>
      </c>
      <c r="J121" s="693" t="s">
        <v>210</v>
      </c>
      <c r="K121" s="176"/>
      <c r="L121" s="176"/>
      <c r="M121" s="176"/>
      <c r="N121" s="176"/>
      <c r="O121" s="176"/>
      <c r="P121" s="176"/>
      <c r="Q121" s="176"/>
      <c r="R121" s="176"/>
      <c r="S121" s="176"/>
      <c r="T121" s="176"/>
      <c r="U121" s="176"/>
      <c r="V121" s="176"/>
      <c r="W121" s="176"/>
      <c r="X121" s="176"/>
      <c r="Y121" s="176"/>
      <c r="Z121" s="682"/>
      <c r="AA121" s="682"/>
      <c r="AB121" s="682"/>
      <c r="AC121" s="682"/>
      <c r="AD121" s="682"/>
      <c r="AE121" s="682"/>
      <c r="AF121" s="682"/>
      <c r="AG121" s="682"/>
      <c r="AH121" s="682"/>
      <c r="AI121" s="682"/>
      <c r="AJ121" s="682"/>
      <c r="AK121" s="176"/>
      <c r="AL121" s="176"/>
      <c r="AM121" s="701"/>
      <c r="AN121" s="701"/>
      <c r="AO121" s="701"/>
      <c r="AP121" s="701"/>
      <c r="AQ121" s="701"/>
      <c r="AR121" s="701"/>
      <c r="AS121" s="701"/>
      <c r="AT121" s="701"/>
      <c r="AU121" s="701"/>
      <c r="AV121" s="701"/>
      <c r="AW121" s="701"/>
      <c r="AX121" s="701"/>
      <c r="AY121" s="701"/>
      <c r="AZ121" s="701"/>
      <c r="BA121" s="701"/>
      <c r="BB121" s="701"/>
      <c r="BC121" s="701"/>
      <c r="BD121" s="701"/>
      <c r="BE121" s="701"/>
      <c r="BF121" s="701"/>
      <c r="BG121" s="701"/>
      <c r="BH121" s="701"/>
      <c r="BI121" s="701"/>
      <c r="BJ121" s="701"/>
      <c r="BK121" s="701"/>
      <c r="BL121" s="701"/>
      <c r="BM121" s="701"/>
      <c r="BN121" s="701"/>
      <c r="BO121" s="701"/>
      <c r="BP121" s="701"/>
      <c r="BQ121" s="701"/>
      <c r="BR121" s="701"/>
      <c r="BS121" s="701"/>
      <c r="BT121" s="701"/>
      <c r="BU121" s="701"/>
      <c r="BV121" s="682"/>
      <c r="BW121" s="682"/>
      <c r="BX121" s="682"/>
      <c r="BY121" s="682"/>
      <c r="BZ121" s="687"/>
      <c r="CA121" s="176"/>
      <c r="CB121" s="682"/>
      <c r="CC121" s="682"/>
      <c r="CD121" s="682"/>
      <c r="CE121" s="682"/>
      <c r="CF121" s="682"/>
      <c r="CG121" s="682"/>
    </row>
    <row r="122" spans="1:86" ht="15.75" customHeight="1" outlineLevel="1" x14ac:dyDescent="0.35">
      <c r="A122" s="687"/>
      <c r="B122" s="687"/>
      <c r="C122" s="705"/>
      <c r="D122" s="706"/>
      <c r="E122" s="706"/>
      <c r="F122" s="706"/>
      <c r="G122" s="176"/>
      <c r="H122" s="176"/>
      <c r="I122" s="176"/>
      <c r="J122" s="176"/>
      <c r="K122" s="176"/>
      <c r="L122" s="176"/>
      <c r="M122" s="176"/>
      <c r="N122" s="176"/>
      <c r="O122" s="176"/>
      <c r="P122" s="176"/>
      <c r="Q122" s="176"/>
      <c r="R122" s="176"/>
      <c r="S122" s="176"/>
      <c r="T122" s="176"/>
      <c r="U122" s="176"/>
      <c r="V122" s="176"/>
      <c r="W122" s="176"/>
      <c r="X122" s="176"/>
      <c r="Y122" s="176"/>
      <c r="Z122" s="176"/>
      <c r="AA122" s="682"/>
      <c r="AB122" s="682"/>
      <c r="AC122" s="682"/>
      <c r="AD122" s="682"/>
      <c r="AE122" s="682"/>
      <c r="AF122" s="682"/>
      <c r="AG122" s="682"/>
      <c r="AH122" s="682"/>
      <c r="AI122" s="682"/>
      <c r="AJ122" s="682"/>
      <c r="AK122" s="682"/>
      <c r="AL122" s="176"/>
      <c r="AM122" s="176"/>
      <c r="AN122" s="701"/>
      <c r="AO122" s="701"/>
      <c r="AP122" s="701"/>
      <c r="AQ122" s="701"/>
      <c r="AR122" s="701"/>
      <c r="AS122" s="701"/>
      <c r="AT122" s="701"/>
      <c r="AU122" s="701"/>
      <c r="AV122" s="701"/>
      <c r="AW122" s="701"/>
      <c r="AX122" s="701"/>
      <c r="AY122" s="701"/>
      <c r="AZ122" s="701"/>
      <c r="BA122" s="701"/>
      <c r="BB122" s="701"/>
      <c r="BC122" s="701"/>
      <c r="BD122" s="701"/>
      <c r="BE122" s="701"/>
      <c r="BF122" s="701"/>
      <c r="BG122" s="701"/>
      <c r="BH122" s="701"/>
      <c r="BI122" s="701"/>
      <c r="BJ122" s="701"/>
      <c r="BK122" s="701"/>
      <c r="BL122" s="701"/>
      <c r="BM122" s="701"/>
      <c r="BN122" s="701"/>
      <c r="BO122" s="701"/>
      <c r="BP122" s="701"/>
      <c r="BQ122" s="701"/>
      <c r="BR122" s="701"/>
      <c r="BS122" s="701"/>
      <c r="BT122" s="701"/>
      <c r="BU122" s="701"/>
      <c r="BV122" s="701"/>
      <c r="BW122" s="682"/>
      <c r="BX122" s="682"/>
      <c r="BY122" s="682"/>
      <c r="BZ122" s="682"/>
      <c r="CA122" s="687"/>
      <c r="CB122" s="176"/>
      <c r="CC122" s="682"/>
      <c r="CD122" s="682"/>
      <c r="CE122" s="682"/>
      <c r="CF122" s="682"/>
      <c r="CG122" s="682"/>
      <c r="CH122" s="682"/>
    </row>
    <row r="123" spans="1:86" ht="15.75" customHeight="1" outlineLevel="1" x14ac:dyDescent="0.35">
      <c r="A123" s="687"/>
      <c r="B123" s="176"/>
      <c r="C123" s="707"/>
      <c r="D123" s="706"/>
      <c r="E123" s="706"/>
      <c r="F123" s="706"/>
      <c r="G123" s="176"/>
      <c r="H123" s="176"/>
      <c r="I123" s="176"/>
      <c r="J123" s="176"/>
      <c r="K123" s="176"/>
      <c r="L123" s="176"/>
      <c r="M123" s="176"/>
      <c r="N123" s="176"/>
      <c r="O123" s="176"/>
      <c r="P123" s="176"/>
      <c r="Q123" s="176"/>
      <c r="R123" s="176"/>
      <c r="S123" s="176"/>
      <c r="T123" s="176"/>
      <c r="U123" s="176"/>
      <c r="V123" s="176"/>
      <c r="W123" s="176"/>
      <c r="X123" s="176"/>
      <c r="Y123" s="176"/>
      <c r="Z123" s="176"/>
      <c r="AA123" s="682"/>
      <c r="AB123" s="682"/>
      <c r="AC123" s="682"/>
      <c r="AD123" s="682"/>
      <c r="AE123" s="682"/>
      <c r="AF123" s="682"/>
      <c r="AG123" s="682"/>
      <c r="AH123" s="682"/>
      <c r="AI123" s="682"/>
      <c r="AJ123" s="682"/>
      <c r="AK123" s="682"/>
      <c r="AL123" s="176"/>
      <c r="AM123" s="176"/>
      <c r="AN123" s="701"/>
      <c r="AO123" s="701"/>
      <c r="AP123" s="701"/>
      <c r="AQ123" s="701"/>
      <c r="AR123" s="701"/>
      <c r="AS123" s="701"/>
      <c r="AT123" s="701"/>
      <c r="AU123" s="701"/>
      <c r="AV123" s="701"/>
      <c r="AW123" s="701"/>
      <c r="AX123" s="701"/>
      <c r="AY123" s="701"/>
      <c r="AZ123" s="701"/>
      <c r="BA123" s="701"/>
      <c r="BB123" s="701"/>
      <c r="BC123" s="701"/>
      <c r="BD123" s="701"/>
      <c r="BE123" s="701"/>
      <c r="BF123" s="701"/>
      <c r="BG123" s="701"/>
      <c r="BH123" s="701"/>
      <c r="BI123" s="701"/>
      <c r="BJ123" s="701"/>
      <c r="BK123" s="701"/>
      <c r="BL123" s="701"/>
      <c r="BM123" s="701"/>
      <c r="BN123" s="701"/>
      <c r="BO123" s="701"/>
      <c r="BP123" s="701"/>
      <c r="BQ123" s="701"/>
      <c r="BR123" s="701"/>
      <c r="BS123" s="701"/>
      <c r="BT123" s="701"/>
      <c r="BU123" s="701"/>
      <c r="BV123" s="701"/>
      <c r="BW123" s="682"/>
      <c r="BX123" s="682"/>
      <c r="BY123" s="682"/>
      <c r="BZ123" s="682"/>
      <c r="CA123" s="687"/>
      <c r="CB123" s="176"/>
      <c r="CC123" s="682"/>
      <c r="CD123" s="682"/>
      <c r="CE123" s="682"/>
      <c r="CF123" s="682"/>
      <c r="CG123" s="682"/>
      <c r="CH123" s="682"/>
    </row>
    <row r="124" spans="1:86" ht="18.5" outlineLevel="1" x14ac:dyDescent="0.45">
      <c r="A124" s="687"/>
      <c r="B124" s="710" t="s">
        <v>245</v>
      </c>
      <c r="C124" s="169"/>
      <c r="D124" s="170"/>
      <c r="E124" s="170"/>
      <c r="F124" s="170"/>
      <c r="G124" s="170"/>
      <c r="H124" s="170"/>
      <c r="I124" s="170"/>
      <c r="J124" s="170"/>
      <c r="K124" s="170"/>
      <c r="L124" s="176"/>
      <c r="M124" s="176"/>
      <c r="N124" s="176"/>
      <c r="O124" s="176"/>
      <c r="P124" s="176"/>
      <c r="Q124" s="176"/>
      <c r="R124" s="176"/>
      <c r="S124" s="176"/>
      <c r="T124" s="176"/>
      <c r="U124" s="176"/>
      <c r="V124" s="176"/>
      <c r="W124" s="176"/>
      <c r="X124" s="176"/>
      <c r="Y124" s="176"/>
      <c r="Z124" s="176"/>
      <c r="AA124" s="682"/>
      <c r="AB124" s="682"/>
      <c r="AC124" s="682"/>
      <c r="AD124" s="682"/>
      <c r="AE124" s="682"/>
      <c r="AF124" s="682"/>
      <c r="AG124" s="682"/>
      <c r="AH124" s="682"/>
      <c r="AI124" s="682"/>
      <c r="AJ124" s="682"/>
      <c r="AK124" s="682"/>
      <c r="AL124" s="176"/>
      <c r="AM124" s="176"/>
      <c r="AN124" s="701"/>
      <c r="AO124" s="701"/>
      <c r="AP124" s="701"/>
      <c r="AQ124" s="701"/>
      <c r="AR124" s="701"/>
      <c r="AS124" s="701"/>
      <c r="AT124" s="701"/>
      <c r="AU124" s="701"/>
      <c r="AV124" s="701"/>
      <c r="AW124" s="701"/>
      <c r="AX124" s="701"/>
      <c r="AY124" s="701"/>
      <c r="AZ124" s="701"/>
      <c r="BA124" s="701"/>
      <c r="BB124" s="701"/>
      <c r="BC124" s="701"/>
      <c r="BD124" s="701"/>
      <c r="BE124" s="701"/>
      <c r="BF124" s="701"/>
      <c r="BG124" s="701"/>
      <c r="BH124" s="701"/>
      <c r="BI124" s="701"/>
      <c r="BJ124" s="701"/>
      <c r="BK124" s="701"/>
      <c r="BL124" s="701"/>
      <c r="BM124" s="701"/>
      <c r="BN124" s="701"/>
      <c r="BO124" s="701"/>
      <c r="BP124" s="701"/>
      <c r="BQ124" s="701"/>
      <c r="BR124" s="701"/>
      <c r="BS124" s="701"/>
      <c r="BT124" s="701"/>
      <c r="BU124" s="701"/>
      <c r="BV124" s="701"/>
      <c r="BW124" s="682"/>
      <c r="BX124" s="682"/>
      <c r="BY124" s="682"/>
      <c r="BZ124" s="682"/>
      <c r="CA124" s="687"/>
      <c r="CB124" s="176"/>
      <c r="CC124" s="682"/>
      <c r="CD124" s="682"/>
      <c r="CE124" s="682"/>
      <c r="CF124" s="682"/>
      <c r="CG124" s="682"/>
      <c r="CH124" s="682"/>
    </row>
    <row r="125" spans="1:86" ht="15.75" customHeight="1" outlineLevel="1" x14ac:dyDescent="0.35">
      <c r="A125" s="687"/>
      <c r="B125" s="711"/>
      <c r="C125" s="169"/>
      <c r="D125" s="170"/>
      <c r="E125" s="170"/>
      <c r="F125" s="170"/>
      <c r="G125" s="170"/>
      <c r="H125" s="170"/>
      <c r="I125" s="170"/>
      <c r="J125" s="170"/>
      <c r="K125" s="170"/>
      <c r="L125" s="176"/>
      <c r="M125" s="176"/>
      <c r="N125" s="176"/>
      <c r="O125" s="176"/>
      <c r="P125" s="176"/>
      <c r="Q125" s="176"/>
      <c r="R125" s="176"/>
      <c r="S125" s="176"/>
      <c r="T125" s="176"/>
      <c r="U125" s="176"/>
      <c r="V125" s="176"/>
      <c r="W125" s="176"/>
      <c r="X125" s="176"/>
      <c r="Y125" s="176"/>
      <c r="Z125" s="176"/>
      <c r="AA125" s="682"/>
      <c r="AB125" s="682"/>
      <c r="AC125" s="682"/>
      <c r="AD125" s="682"/>
      <c r="AE125" s="682"/>
      <c r="AF125" s="682"/>
      <c r="AG125" s="682"/>
      <c r="AH125" s="682"/>
      <c r="AI125" s="682"/>
      <c r="AJ125" s="682"/>
      <c r="AK125" s="682"/>
      <c r="AL125" s="176"/>
      <c r="AM125" s="176"/>
      <c r="AN125" s="701"/>
      <c r="AO125" s="701"/>
      <c r="AP125" s="701"/>
      <c r="AQ125" s="701"/>
      <c r="AR125" s="701"/>
      <c r="AS125" s="701"/>
      <c r="AT125" s="701"/>
      <c r="AU125" s="701"/>
      <c r="AV125" s="701"/>
      <c r="AW125" s="701"/>
      <c r="AX125" s="701"/>
      <c r="AY125" s="701"/>
      <c r="AZ125" s="701"/>
      <c r="BA125" s="701"/>
      <c r="BB125" s="701"/>
      <c r="BC125" s="701"/>
      <c r="BD125" s="701"/>
      <c r="BE125" s="701"/>
      <c r="BF125" s="701"/>
      <c r="BG125" s="701"/>
      <c r="BH125" s="701"/>
      <c r="BI125" s="701"/>
      <c r="BJ125" s="701"/>
      <c r="BK125" s="701"/>
      <c r="BL125" s="701"/>
      <c r="BM125" s="701"/>
      <c r="BN125" s="701"/>
      <c r="BO125" s="701"/>
      <c r="BP125" s="701"/>
      <c r="BQ125" s="701"/>
      <c r="BR125" s="701"/>
      <c r="BS125" s="701"/>
      <c r="BT125" s="701"/>
      <c r="BU125" s="701"/>
      <c r="BV125" s="701"/>
      <c r="BW125" s="682"/>
      <c r="BX125" s="682"/>
      <c r="BY125" s="682"/>
      <c r="BZ125" s="682"/>
      <c r="CA125" s="687"/>
      <c r="CB125" s="176"/>
      <c r="CC125" s="682"/>
      <c r="CD125" s="682"/>
      <c r="CE125" s="682"/>
      <c r="CF125" s="682"/>
      <c r="CG125" s="682"/>
      <c r="CH125" s="682"/>
    </row>
    <row r="126" spans="1:86" outlineLevel="1" x14ac:dyDescent="0.35">
      <c r="A126" s="687"/>
      <c r="B126" s="712" t="s">
        <v>539</v>
      </c>
      <c r="C126" s="169"/>
      <c r="D126" s="684"/>
      <c r="E126" s="685"/>
      <c r="F126" s="685"/>
      <c r="G126" s="685"/>
      <c r="H126" s="685"/>
      <c r="I126" s="685"/>
      <c r="J126" s="685"/>
      <c r="K126" s="685"/>
      <c r="L126" s="176"/>
      <c r="M126" s="176"/>
      <c r="N126" s="176"/>
      <c r="O126" s="176"/>
      <c r="P126" s="176"/>
      <c r="Q126" s="176"/>
      <c r="R126" s="176"/>
      <c r="S126" s="176"/>
      <c r="T126" s="176"/>
      <c r="U126" s="176"/>
      <c r="V126" s="176"/>
      <c r="W126" s="176"/>
      <c r="X126" s="176"/>
      <c r="Y126" s="176"/>
      <c r="Z126" s="176"/>
      <c r="AA126" s="682"/>
      <c r="AB126" s="682"/>
      <c r="AC126" s="682"/>
      <c r="AD126" s="682"/>
      <c r="AE126" s="682"/>
      <c r="AF126" s="682"/>
      <c r="AG126" s="682"/>
      <c r="AH126" s="682"/>
      <c r="AI126" s="682"/>
      <c r="AJ126" s="682"/>
      <c r="AK126" s="682"/>
      <c r="AL126" s="176"/>
      <c r="AM126" s="176"/>
      <c r="AN126" s="701"/>
      <c r="AO126" s="701"/>
      <c r="AP126" s="701"/>
      <c r="AQ126" s="701"/>
      <c r="AR126" s="701"/>
      <c r="AS126" s="701"/>
      <c r="AT126" s="701"/>
      <c r="AU126" s="701"/>
      <c r="AV126" s="701"/>
      <c r="AW126" s="701"/>
      <c r="AX126" s="701"/>
      <c r="AY126" s="701"/>
      <c r="AZ126" s="701"/>
      <c r="BA126" s="701"/>
      <c r="BB126" s="701"/>
      <c r="BC126" s="701"/>
      <c r="BD126" s="701"/>
      <c r="BE126" s="701"/>
      <c r="BF126" s="701"/>
      <c r="BG126" s="701"/>
      <c r="BH126" s="701"/>
      <c r="BI126" s="701"/>
      <c r="BJ126" s="701"/>
      <c r="BK126" s="701"/>
      <c r="BL126" s="701"/>
      <c r="BM126" s="701"/>
      <c r="BN126" s="701"/>
      <c r="BO126" s="701"/>
      <c r="BP126" s="701"/>
      <c r="BQ126" s="701"/>
      <c r="BR126" s="701"/>
      <c r="BS126" s="701"/>
      <c r="BT126" s="701"/>
      <c r="BU126" s="701"/>
      <c r="BV126" s="701"/>
      <c r="BW126" s="682"/>
      <c r="BX126" s="682"/>
      <c r="BY126" s="682"/>
      <c r="BZ126" s="682"/>
      <c r="CA126" s="687"/>
      <c r="CB126" s="176"/>
      <c r="CC126" s="682"/>
      <c r="CD126" s="682"/>
      <c r="CE126" s="682"/>
      <c r="CF126" s="682"/>
      <c r="CG126" s="682"/>
      <c r="CH126" s="682"/>
    </row>
    <row r="127" spans="1:86" ht="15.75" customHeight="1" outlineLevel="1" x14ac:dyDescent="0.35">
      <c r="A127" s="687"/>
      <c r="B127" s="1294" t="s">
        <v>194</v>
      </c>
      <c r="C127" s="1284" t="s">
        <v>195</v>
      </c>
      <c r="D127" s="1284" t="s">
        <v>196</v>
      </c>
      <c r="E127" s="1287" t="s">
        <v>219</v>
      </c>
      <c r="F127" s="1288"/>
      <c r="G127" s="1288"/>
      <c r="H127" s="1288"/>
      <c r="I127" s="1288"/>
      <c r="J127" s="1289"/>
      <c r="K127" s="176"/>
      <c r="L127" s="176"/>
      <c r="M127" s="176"/>
      <c r="N127" s="176"/>
      <c r="O127" s="176"/>
      <c r="P127" s="176"/>
      <c r="Q127" s="176"/>
      <c r="R127" s="176"/>
      <c r="S127" s="176"/>
      <c r="T127" s="176"/>
      <c r="U127" s="176"/>
      <c r="V127" s="176"/>
      <c r="W127" s="176"/>
      <c r="X127" s="176"/>
      <c r="Y127" s="176"/>
      <c r="Z127" s="682"/>
      <c r="AA127" s="682"/>
      <c r="AB127" s="682"/>
      <c r="AC127" s="682"/>
      <c r="AD127" s="682"/>
      <c r="AE127" s="682"/>
      <c r="AF127" s="682"/>
      <c r="AG127" s="682"/>
      <c r="AH127" s="682"/>
      <c r="AI127" s="682"/>
      <c r="AJ127" s="682"/>
      <c r="AK127" s="176"/>
      <c r="AL127" s="176"/>
      <c r="AM127" s="701"/>
      <c r="AN127" s="701"/>
      <c r="AO127" s="701"/>
      <c r="AP127" s="701"/>
      <c r="AQ127" s="701"/>
      <c r="AR127" s="701"/>
      <c r="AS127" s="701"/>
      <c r="AT127" s="701"/>
      <c r="AU127" s="701"/>
      <c r="AV127" s="701"/>
      <c r="AW127" s="701"/>
      <c r="AX127" s="701"/>
      <c r="AY127" s="701"/>
      <c r="AZ127" s="701"/>
      <c r="BA127" s="701"/>
      <c r="BB127" s="701"/>
      <c r="BC127" s="701"/>
      <c r="BD127" s="701"/>
      <c r="BE127" s="701"/>
      <c r="BF127" s="701"/>
      <c r="BG127" s="701"/>
      <c r="BH127" s="701"/>
      <c r="BI127" s="701"/>
      <c r="BJ127" s="701"/>
      <c r="BK127" s="701"/>
      <c r="BL127" s="701"/>
      <c r="BM127" s="701"/>
      <c r="BN127" s="701"/>
      <c r="BO127" s="701"/>
      <c r="BP127" s="701"/>
      <c r="BQ127" s="701"/>
      <c r="BR127" s="701"/>
      <c r="BS127" s="701"/>
      <c r="BT127" s="701"/>
      <c r="BU127" s="701"/>
      <c r="BV127" s="682"/>
      <c r="BW127" s="682"/>
      <c r="BX127" s="682"/>
      <c r="BY127" s="682"/>
      <c r="BZ127" s="687"/>
      <c r="CA127" s="176"/>
      <c r="CB127" s="682"/>
      <c r="CC127" s="682"/>
      <c r="CD127" s="682"/>
      <c r="CE127" s="682"/>
      <c r="CF127" s="682"/>
      <c r="CG127" s="682"/>
    </row>
    <row r="128" spans="1:86" ht="15.75" customHeight="1" outlineLevel="1" x14ac:dyDescent="0.35">
      <c r="A128" s="687"/>
      <c r="B128" s="1295"/>
      <c r="C128" s="1286"/>
      <c r="D128" s="1286"/>
      <c r="E128" s="1287" t="s">
        <v>1386</v>
      </c>
      <c r="F128" s="1289"/>
      <c r="G128" s="1287" t="s">
        <v>1387</v>
      </c>
      <c r="H128" s="1289"/>
      <c r="I128" s="1287" t="s">
        <v>1388</v>
      </c>
      <c r="J128" s="1289"/>
      <c r="K128" s="176"/>
      <c r="L128" s="176"/>
      <c r="M128" s="176"/>
      <c r="N128" s="176"/>
      <c r="O128" s="176"/>
      <c r="P128" s="176"/>
      <c r="Q128" s="176"/>
      <c r="R128" s="176"/>
      <c r="S128" s="176"/>
      <c r="T128" s="176"/>
      <c r="U128" s="176"/>
      <c r="V128" s="176"/>
      <c r="W128" s="176"/>
      <c r="X128" s="176"/>
      <c r="Y128" s="176"/>
      <c r="Z128" s="682"/>
      <c r="AA128" s="682"/>
      <c r="AB128" s="682"/>
      <c r="AC128" s="682"/>
      <c r="AD128" s="682"/>
      <c r="AE128" s="682"/>
      <c r="AF128" s="682"/>
      <c r="AG128" s="682"/>
      <c r="AH128" s="682"/>
      <c r="AI128" s="682"/>
      <c r="AJ128" s="682"/>
      <c r="AK128" s="176"/>
      <c r="AL128" s="176"/>
      <c r="AM128" s="701"/>
      <c r="AN128" s="701"/>
      <c r="AO128" s="701"/>
      <c r="AP128" s="701"/>
      <c r="AQ128" s="701"/>
      <c r="AR128" s="701"/>
      <c r="AS128" s="701"/>
      <c r="AT128" s="701"/>
      <c r="AU128" s="701"/>
      <c r="AV128" s="701"/>
      <c r="AW128" s="701"/>
      <c r="AX128" s="701"/>
      <c r="AY128" s="701"/>
      <c r="AZ128" s="701"/>
      <c r="BA128" s="701"/>
      <c r="BB128" s="701"/>
      <c r="BC128" s="701"/>
      <c r="BD128" s="701"/>
      <c r="BE128" s="701"/>
      <c r="BF128" s="701"/>
      <c r="BG128" s="701"/>
      <c r="BH128" s="701"/>
      <c r="BI128" s="701"/>
      <c r="BJ128" s="701"/>
      <c r="BK128" s="701"/>
      <c r="BL128" s="701"/>
      <c r="BM128" s="701"/>
      <c r="BN128" s="701"/>
      <c r="BO128" s="701"/>
      <c r="BP128" s="701"/>
      <c r="BQ128" s="701"/>
      <c r="BR128" s="701"/>
      <c r="BS128" s="701"/>
      <c r="BT128" s="701"/>
      <c r="BU128" s="701"/>
      <c r="BV128" s="682"/>
      <c r="BW128" s="682"/>
      <c r="BX128" s="682"/>
      <c r="BY128" s="682"/>
      <c r="BZ128" s="687"/>
      <c r="CA128" s="176"/>
      <c r="CB128" s="682"/>
      <c r="CC128" s="682"/>
      <c r="CD128" s="682"/>
      <c r="CE128" s="682"/>
      <c r="CF128" s="682"/>
      <c r="CG128" s="682"/>
    </row>
    <row r="129" spans="1:86" ht="15.75" customHeight="1" outlineLevel="1" x14ac:dyDescent="0.35">
      <c r="A129" s="687"/>
      <c r="B129" s="1296"/>
      <c r="C129" s="1285"/>
      <c r="D129" s="1285"/>
      <c r="E129" s="689" t="s">
        <v>201</v>
      </c>
      <c r="F129" s="689" t="s">
        <v>202</v>
      </c>
      <c r="G129" s="689" t="s">
        <v>201</v>
      </c>
      <c r="H129" s="689" t="s">
        <v>202</v>
      </c>
      <c r="I129" s="689" t="s">
        <v>201</v>
      </c>
      <c r="J129" s="689" t="s">
        <v>202</v>
      </c>
      <c r="K129" s="176"/>
      <c r="L129" s="176"/>
      <c r="M129" s="176"/>
      <c r="N129" s="176"/>
      <c r="O129" s="176"/>
      <c r="P129" s="176"/>
      <c r="Q129" s="176"/>
      <c r="R129" s="176"/>
      <c r="S129" s="176"/>
      <c r="T129" s="176"/>
      <c r="U129" s="176"/>
      <c r="V129" s="176"/>
      <c r="W129" s="176"/>
      <c r="X129" s="176"/>
      <c r="Y129" s="176"/>
      <c r="Z129" s="682"/>
      <c r="AA129" s="682"/>
      <c r="AB129" s="682"/>
      <c r="AC129" s="682"/>
      <c r="AD129" s="682"/>
      <c r="AE129" s="682"/>
      <c r="AF129" s="682"/>
      <c r="AG129" s="682"/>
      <c r="AH129" s="682"/>
      <c r="AI129" s="682"/>
      <c r="AJ129" s="682"/>
      <c r="AK129" s="176"/>
      <c r="AL129" s="176"/>
      <c r="AM129" s="701"/>
      <c r="AN129" s="701"/>
      <c r="AO129" s="701"/>
      <c r="AP129" s="701"/>
      <c r="AQ129" s="701"/>
      <c r="AR129" s="701"/>
      <c r="AS129" s="701"/>
      <c r="AT129" s="701"/>
      <c r="AU129" s="701"/>
      <c r="AV129" s="701"/>
      <c r="AW129" s="701"/>
      <c r="AX129" s="701"/>
      <c r="AY129" s="701"/>
      <c r="AZ129" s="701"/>
      <c r="BA129" s="701"/>
      <c r="BB129" s="701"/>
      <c r="BC129" s="701"/>
      <c r="BD129" s="701"/>
      <c r="BE129" s="701"/>
      <c r="BF129" s="701"/>
      <c r="BG129" s="701"/>
      <c r="BH129" s="701"/>
      <c r="BI129" s="701"/>
      <c r="BJ129" s="701"/>
      <c r="BK129" s="701"/>
      <c r="BL129" s="701"/>
      <c r="BM129" s="701"/>
      <c r="BN129" s="701"/>
      <c r="BO129" s="701"/>
      <c r="BP129" s="701"/>
      <c r="BQ129" s="701"/>
      <c r="BR129" s="701"/>
      <c r="BS129" s="701"/>
      <c r="BT129" s="701"/>
      <c r="BU129" s="701"/>
      <c r="BV129" s="682"/>
      <c r="BW129" s="682"/>
      <c r="BX129" s="682"/>
      <c r="BY129" s="682"/>
      <c r="BZ129" s="687"/>
      <c r="CA129" s="176"/>
      <c r="CB129" s="682"/>
      <c r="CC129" s="682"/>
      <c r="CD129" s="682"/>
      <c r="CE129" s="682"/>
      <c r="CF129" s="682"/>
      <c r="CG129" s="682"/>
    </row>
    <row r="130" spans="1:86" outlineLevel="1" x14ac:dyDescent="0.35">
      <c r="A130" s="687"/>
      <c r="B130" s="1281" t="s">
        <v>221</v>
      </c>
      <c r="C130" s="694" t="s">
        <v>696</v>
      </c>
      <c r="D130" s="694" t="str">
        <f t="shared" ref="D130:D135" si="1">C130</f>
        <v>Voo doméstico (passageiros)</v>
      </c>
      <c r="E130" s="703">
        <f>0.00017147*1000</f>
        <v>0.17147000000000001</v>
      </c>
      <c r="F130" s="694" t="s">
        <v>203</v>
      </c>
      <c r="G130" s="708"/>
      <c r="H130" s="709"/>
      <c r="I130" s="708"/>
      <c r="J130" s="709"/>
      <c r="K130" s="176"/>
      <c r="L130" s="176"/>
      <c r="M130" s="176"/>
      <c r="N130" s="176"/>
      <c r="O130" s="176"/>
      <c r="P130" s="176"/>
      <c r="Q130" s="176"/>
      <c r="R130" s="176"/>
      <c r="S130" s="176"/>
      <c r="T130" s="176"/>
      <c r="U130" s="176"/>
      <c r="V130" s="176"/>
      <c r="W130" s="176"/>
      <c r="X130" s="176"/>
      <c r="Y130" s="176"/>
      <c r="Z130" s="682"/>
      <c r="AA130" s="682"/>
      <c r="AB130" s="682"/>
      <c r="AC130" s="682"/>
      <c r="AD130" s="682"/>
      <c r="AE130" s="682"/>
      <c r="AF130" s="682"/>
      <c r="AG130" s="682"/>
      <c r="AH130" s="682"/>
      <c r="AI130" s="682"/>
      <c r="AJ130" s="682"/>
      <c r="AK130" s="176"/>
      <c r="AL130" s="176"/>
      <c r="AM130" s="701"/>
      <c r="AN130" s="701"/>
      <c r="AO130" s="701"/>
      <c r="AP130" s="701"/>
      <c r="AQ130" s="701"/>
      <c r="AR130" s="701"/>
      <c r="AS130" s="701"/>
      <c r="AT130" s="701"/>
      <c r="AU130" s="701"/>
      <c r="AV130" s="701"/>
      <c r="AW130" s="701"/>
      <c r="AX130" s="701"/>
      <c r="AY130" s="701"/>
      <c r="AZ130" s="701"/>
      <c r="BA130" s="701"/>
      <c r="BB130" s="701"/>
      <c r="BC130" s="701"/>
      <c r="BD130" s="701"/>
      <c r="BE130" s="701"/>
      <c r="BF130" s="701"/>
      <c r="BG130" s="701"/>
      <c r="BH130" s="701"/>
      <c r="BI130" s="701"/>
      <c r="BJ130" s="701"/>
      <c r="BK130" s="701"/>
      <c r="BL130" s="701"/>
      <c r="BM130" s="701"/>
      <c r="BN130" s="701"/>
      <c r="BO130" s="701"/>
      <c r="BP130" s="701"/>
      <c r="BQ130" s="701"/>
      <c r="BR130" s="701"/>
      <c r="BS130" s="701"/>
      <c r="BT130" s="701"/>
      <c r="BU130" s="701"/>
      <c r="BV130" s="682"/>
      <c r="BW130" s="682"/>
      <c r="BX130" s="682"/>
      <c r="BY130" s="682"/>
      <c r="BZ130" s="687"/>
      <c r="CA130" s="176"/>
      <c r="CB130" s="682"/>
      <c r="CC130" s="682"/>
      <c r="CD130" s="682"/>
      <c r="CE130" s="682"/>
      <c r="CF130" s="682"/>
      <c r="CG130" s="682"/>
    </row>
    <row r="131" spans="1:86" outlineLevel="1" x14ac:dyDescent="0.35">
      <c r="A131" s="687"/>
      <c r="B131" s="1290"/>
      <c r="C131" s="393" t="s">
        <v>695</v>
      </c>
      <c r="D131" s="393" t="str">
        <f t="shared" si="1"/>
        <v>Voo curto (passageiros)</v>
      </c>
      <c r="E131" s="703">
        <f>0.000097*1000</f>
        <v>9.7000000000000003E-2</v>
      </c>
      <c r="F131" s="694" t="s">
        <v>203</v>
      </c>
      <c r="G131" s="703"/>
      <c r="H131" s="694"/>
      <c r="I131" s="703"/>
      <c r="J131" s="694"/>
      <c r="K131" s="176"/>
      <c r="L131" s="176"/>
      <c r="M131" s="176"/>
      <c r="N131" s="176"/>
      <c r="O131" s="176"/>
      <c r="P131" s="176"/>
      <c r="Q131" s="176"/>
      <c r="R131" s="176"/>
      <c r="S131" s="176"/>
      <c r="T131" s="176"/>
      <c r="U131" s="176"/>
      <c r="V131" s="176"/>
      <c r="W131" s="176"/>
      <c r="X131" s="176"/>
      <c r="Y131" s="176"/>
      <c r="Z131" s="682"/>
      <c r="AA131" s="682"/>
      <c r="AB131" s="682"/>
      <c r="AC131" s="682"/>
      <c r="AD131" s="682"/>
      <c r="AE131" s="682"/>
      <c r="AF131" s="682"/>
      <c r="AG131" s="682"/>
      <c r="AH131" s="682"/>
      <c r="AI131" s="682"/>
      <c r="AJ131" s="682"/>
      <c r="AK131" s="176"/>
      <c r="AL131" s="176"/>
      <c r="AM131" s="701"/>
      <c r="AN131" s="701"/>
      <c r="AO131" s="701"/>
      <c r="AP131" s="701"/>
      <c r="AQ131" s="701"/>
      <c r="AR131" s="701"/>
      <c r="AS131" s="701"/>
      <c r="AT131" s="701"/>
      <c r="AU131" s="701"/>
      <c r="AV131" s="701"/>
      <c r="AW131" s="701"/>
      <c r="AX131" s="701"/>
      <c r="AY131" s="701"/>
      <c r="AZ131" s="701"/>
      <c r="BA131" s="701"/>
      <c r="BB131" s="701"/>
      <c r="BC131" s="701"/>
      <c r="BD131" s="701"/>
      <c r="BE131" s="701"/>
      <c r="BF131" s="701"/>
      <c r="BG131" s="701"/>
      <c r="BH131" s="701"/>
      <c r="BI131" s="701"/>
      <c r="BJ131" s="701"/>
      <c r="BK131" s="701"/>
      <c r="BL131" s="701"/>
      <c r="BM131" s="701"/>
      <c r="BN131" s="701"/>
      <c r="BO131" s="701"/>
      <c r="BP131" s="701"/>
      <c r="BQ131" s="701"/>
      <c r="BR131" s="701"/>
      <c r="BS131" s="701"/>
      <c r="BT131" s="701"/>
      <c r="BU131" s="701"/>
      <c r="BV131" s="682"/>
      <c r="BW131" s="682"/>
      <c r="BX131" s="682"/>
      <c r="BY131" s="682"/>
      <c r="BZ131" s="687"/>
      <c r="CA131" s="176"/>
      <c r="CB131" s="682"/>
      <c r="CC131" s="682"/>
      <c r="CD131" s="682"/>
      <c r="CE131" s="682"/>
      <c r="CF131" s="682"/>
      <c r="CG131" s="682"/>
    </row>
    <row r="132" spans="1:86" outlineLevel="1" x14ac:dyDescent="0.35">
      <c r="A132" s="687"/>
      <c r="B132" s="1282"/>
      <c r="C132" s="472" t="s">
        <v>694</v>
      </c>
      <c r="D132" s="472" t="str">
        <f t="shared" si="1"/>
        <v>Voo longo (passageiros)</v>
      </c>
      <c r="E132" s="704">
        <f>0.00011319*1000</f>
        <v>0.11319</v>
      </c>
      <c r="F132" s="694" t="s">
        <v>203</v>
      </c>
      <c r="G132" s="704"/>
      <c r="H132" s="693"/>
      <c r="I132" s="704"/>
      <c r="J132" s="693"/>
      <c r="K132" s="176"/>
      <c r="L132" s="176"/>
      <c r="M132" s="176"/>
      <c r="N132" s="176"/>
      <c r="O132" s="176"/>
      <c r="P132" s="176"/>
      <c r="Q132" s="176"/>
      <c r="R132" s="176"/>
      <c r="S132" s="176"/>
      <c r="T132" s="176"/>
      <c r="U132" s="176"/>
      <c r="V132" s="176"/>
      <c r="W132" s="176"/>
      <c r="X132" s="176"/>
      <c r="Y132" s="176"/>
      <c r="Z132" s="682"/>
      <c r="AA132" s="682"/>
      <c r="AB132" s="682"/>
      <c r="AC132" s="682"/>
      <c r="AD132" s="682"/>
      <c r="AE132" s="682"/>
      <c r="AF132" s="682"/>
      <c r="AG132" s="682"/>
      <c r="AH132" s="682"/>
      <c r="AI132" s="682"/>
      <c r="AJ132" s="682"/>
      <c r="AK132" s="176"/>
      <c r="AL132" s="176"/>
      <c r="AM132" s="701"/>
      <c r="AN132" s="701"/>
      <c r="AO132" s="701"/>
      <c r="AP132" s="701"/>
      <c r="AQ132" s="701"/>
      <c r="AR132" s="701"/>
      <c r="AS132" s="701"/>
      <c r="AT132" s="701"/>
      <c r="AU132" s="701"/>
      <c r="AV132" s="701"/>
      <c r="AW132" s="701"/>
      <c r="AX132" s="701"/>
      <c r="AY132" s="701"/>
      <c r="AZ132" s="701"/>
      <c r="BA132" s="701"/>
      <c r="BB132" s="701"/>
      <c r="BC132" s="701"/>
      <c r="BD132" s="701"/>
      <c r="BE132" s="701"/>
      <c r="BF132" s="701"/>
      <c r="BG132" s="701"/>
      <c r="BH132" s="701"/>
      <c r="BI132" s="701"/>
      <c r="BJ132" s="701"/>
      <c r="BK132" s="701"/>
      <c r="BL132" s="701"/>
      <c r="BM132" s="701"/>
      <c r="BN132" s="701"/>
      <c r="BO132" s="701"/>
      <c r="BP132" s="701"/>
      <c r="BQ132" s="701"/>
      <c r="BR132" s="701"/>
      <c r="BS132" s="701"/>
      <c r="BT132" s="701"/>
      <c r="BU132" s="701"/>
      <c r="BV132" s="682"/>
      <c r="BW132" s="682"/>
      <c r="BX132" s="682"/>
      <c r="BY132" s="682"/>
      <c r="BZ132" s="687"/>
      <c r="CA132" s="176"/>
      <c r="CB132" s="682"/>
      <c r="CC132" s="682"/>
      <c r="CD132" s="682"/>
      <c r="CE132" s="682"/>
      <c r="CF132" s="682"/>
      <c r="CG132" s="682"/>
    </row>
    <row r="133" spans="1:86" outlineLevel="1" x14ac:dyDescent="0.35">
      <c r="A133" s="687"/>
      <c r="B133" s="1281" t="s">
        <v>229</v>
      </c>
      <c r="C133" s="693" t="s">
        <v>693</v>
      </c>
      <c r="D133" s="693" t="str">
        <f t="shared" si="1"/>
        <v>Voo doméstico (carga)</v>
      </c>
      <c r="E133" s="704">
        <f>0.00196073*1000</f>
        <v>1.9607299999999999</v>
      </c>
      <c r="F133" s="694" t="s">
        <v>210</v>
      </c>
      <c r="G133" s="704">
        <v>2.8562185343495887E-5</v>
      </c>
      <c r="H133" s="693" t="s">
        <v>210</v>
      </c>
      <c r="I133" s="704">
        <v>3.2808841197924531E-5</v>
      </c>
      <c r="J133" s="693" t="s">
        <v>210</v>
      </c>
      <c r="K133" s="176"/>
      <c r="L133" s="176"/>
      <c r="M133" s="176"/>
      <c r="N133" s="176"/>
      <c r="O133" s="176"/>
      <c r="P133" s="176"/>
      <c r="Q133" s="176"/>
      <c r="R133" s="176"/>
      <c r="S133" s="176"/>
      <c r="T133" s="176"/>
      <c r="U133" s="176"/>
      <c r="V133" s="176"/>
      <c r="W133" s="176"/>
      <c r="X133" s="176"/>
      <c r="Y133" s="176"/>
      <c r="Z133" s="682"/>
      <c r="AA133" s="682"/>
      <c r="AB133" s="682"/>
      <c r="AC133" s="682"/>
      <c r="AD133" s="682"/>
      <c r="AE133" s="682"/>
      <c r="AF133" s="682"/>
      <c r="AG133" s="682"/>
      <c r="AH133" s="682"/>
      <c r="AI133" s="682"/>
      <c r="AJ133" s="682"/>
      <c r="AK133" s="176"/>
      <c r="AL133" s="176"/>
      <c r="AM133" s="701"/>
      <c r="AN133" s="701"/>
      <c r="AO133" s="701"/>
      <c r="AP133" s="701"/>
      <c r="AQ133" s="701"/>
      <c r="AR133" s="701"/>
      <c r="AS133" s="701"/>
      <c r="AT133" s="701"/>
      <c r="AU133" s="701"/>
      <c r="AV133" s="701"/>
      <c r="AW133" s="701"/>
      <c r="AX133" s="701"/>
      <c r="AY133" s="701"/>
      <c r="AZ133" s="701"/>
      <c r="BA133" s="701"/>
      <c r="BB133" s="701"/>
      <c r="BC133" s="701"/>
      <c r="BD133" s="701"/>
      <c r="BE133" s="701"/>
      <c r="BF133" s="701"/>
      <c r="BG133" s="701"/>
      <c r="BH133" s="701"/>
      <c r="BI133" s="701"/>
      <c r="BJ133" s="701"/>
      <c r="BK133" s="701"/>
      <c r="BL133" s="701"/>
      <c r="BM133" s="701"/>
      <c r="BN133" s="701"/>
      <c r="BO133" s="701"/>
      <c r="BP133" s="701"/>
      <c r="BQ133" s="701"/>
      <c r="BR133" s="701"/>
      <c r="BS133" s="701"/>
      <c r="BT133" s="701"/>
      <c r="BU133" s="701"/>
      <c r="BV133" s="682"/>
      <c r="BW133" s="682"/>
      <c r="BX133" s="682"/>
      <c r="BY133" s="682"/>
      <c r="BZ133" s="687"/>
      <c r="CA133" s="176"/>
      <c r="CB133" s="682"/>
      <c r="CC133" s="682"/>
      <c r="CD133" s="682"/>
      <c r="CE133" s="682"/>
      <c r="CF133" s="682"/>
      <c r="CG133" s="682"/>
    </row>
    <row r="134" spans="1:86" ht="21.4" customHeight="1" outlineLevel="1" x14ac:dyDescent="0.35">
      <c r="A134" s="687"/>
      <c r="B134" s="1290"/>
      <c r="C134" s="694" t="s">
        <v>230</v>
      </c>
      <c r="D134" s="694" t="str">
        <f t="shared" si="1"/>
        <v>Voo curto (carga)</v>
      </c>
      <c r="E134" s="703">
        <f>0.00147389*1000</f>
        <v>1.4738900000000001</v>
      </c>
      <c r="F134" s="694" t="s">
        <v>210</v>
      </c>
      <c r="G134" s="703">
        <v>2.8562185343495887E-5</v>
      </c>
      <c r="H134" s="694" t="s">
        <v>210</v>
      </c>
      <c r="I134" s="703">
        <v>3.2808841197924531E-5</v>
      </c>
      <c r="J134" s="694" t="s">
        <v>210</v>
      </c>
      <c r="K134" s="176"/>
      <c r="L134" s="176"/>
      <c r="M134" s="176"/>
      <c r="N134" s="176"/>
      <c r="O134" s="176"/>
      <c r="P134" s="176"/>
      <c r="Q134" s="176"/>
      <c r="R134" s="176"/>
      <c r="S134" s="176"/>
      <c r="T134" s="176"/>
      <c r="U134" s="176"/>
      <c r="V134" s="176"/>
      <c r="W134" s="176"/>
      <c r="X134" s="176"/>
      <c r="Y134" s="176"/>
      <c r="Z134" s="682"/>
      <c r="AA134" s="682"/>
      <c r="AB134" s="682"/>
      <c r="AC134" s="682"/>
      <c r="AD134" s="682"/>
      <c r="AE134" s="682"/>
      <c r="AF134" s="682"/>
      <c r="AG134" s="682"/>
      <c r="AH134" s="682"/>
      <c r="AI134" s="682"/>
      <c r="AJ134" s="682"/>
      <c r="AK134" s="176"/>
      <c r="AL134" s="176"/>
      <c r="AM134" s="701"/>
      <c r="AN134" s="701"/>
      <c r="AO134" s="701"/>
      <c r="AP134" s="701"/>
      <c r="AQ134" s="701"/>
      <c r="AR134" s="701"/>
      <c r="AS134" s="701"/>
      <c r="AT134" s="701"/>
      <c r="AU134" s="701"/>
      <c r="AV134" s="701"/>
      <c r="AW134" s="701"/>
      <c r="AX134" s="701"/>
      <c r="AY134" s="701"/>
      <c r="AZ134" s="701"/>
      <c r="BA134" s="701"/>
      <c r="BB134" s="701"/>
      <c r="BC134" s="701"/>
      <c r="BD134" s="701"/>
      <c r="BE134" s="701"/>
      <c r="BF134" s="701"/>
      <c r="BG134" s="701"/>
      <c r="BH134" s="701"/>
      <c r="BI134" s="701"/>
      <c r="BJ134" s="701"/>
      <c r="BK134" s="701"/>
      <c r="BL134" s="701"/>
      <c r="BM134" s="701"/>
      <c r="BN134" s="701"/>
      <c r="BO134" s="701"/>
      <c r="BP134" s="701"/>
      <c r="BQ134" s="701"/>
      <c r="BR134" s="701"/>
      <c r="BS134" s="701"/>
      <c r="BT134" s="701"/>
      <c r="BU134" s="701"/>
      <c r="BV134" s="682"/>
      <c r="BW134" s="682"/>
      <c r="BX134" s="682"/>
      <c r="BY134" s="682"/>
      <c r="BZ134" s="687"/>
      <c r="CA134" s="176"/>
      <c r="CB134" s="682"/>
      <c r="CC134" s="682"/>
      <c r="CD134" s="682"/>
      <c r="CE134" s="682"/>
      <c r="CF134" s="682"/>
      <c r="CG134" s="682"/>
    </row>
    <row r="135" spans="1:86" outlineLevel="1" x14ac:dyDescent="0.35">
      <c r="A135" s="687"/>
      <c r="B135" s="1282"/>
      <c r="C135" s="693" t="s">
        <v>231</v>
      </c>
      <c r="D135" s="693" t="str">
        <f t="shared" si="1"/>
        <v>Voo longo (carga)</v>
      </c>
      <c r="E135" s="704">
        <f>0.00061324*1000</f>
        <v>0.61324000000000001</v>
      </c>
      <c r="F135" s="694" t="s">
        <v>210</v>
      </c>
      <c r="G135" s="704">
        <v>2.8562185343495887E-5</v>
      </c>
      <c r="H135" s="694" t="s">
        <v>210</v>
      </c>
      <c r="I135" s="704">
        <v>3.2808841197924531E-5</v>
      </c>
      <c r="J135" s="694" t="s">
        <v>210</v>
      </c>
      <c r="K135" s="176"/>
      <c r="L135" s="176"/>
      <c r="M135" s="176"/>
      <c r="N135" s="176"/>
      <c r="O135" s="176"/>
      <c r="P135" s="176"/>
      <c r="Q135" s="176"/>
      <c r="R135" s="176"/>
      <c r="S135" s="176"/>
      <c r="T135" s="176"/>
      <c r="U135" s="176"/>
      <c r="V135" s="176"/>
      <c r="W135" s="176"/>
      <c r="X135" s="176"/>
      <c r="Y135" s="176"/>
      <c r="Z135" s="682"/>
      <c r="AA135" s="682"/>
      <c r="AB135" s="682"/>
      <c r="AC135" s="682"/>
      <c r="AD135" s="682"/>
      <c r="AE135" s="682"/>
      <c r="AF135" s="682"/>
      <c r="AG135" s="682"/>
      <c r="AH135" s="682"/>
      <c r="AI135" s="682"/>
      <c r="AJ135" s="682"/>
      <c r="AK135" s="176"/>
      <c r="AL135" s="176"/>
      <c r="AM135" s="701"/>
      <c r="AN135" s="701"/>
      <c r="AO135" s="701"/>
      <c r="AP135" s="701"/>
      <c r="AQ135" s="701"/>
      <c r="AR135" s="701"/>
      <c r="AS135" s="701"/>
      <c r="AT135" s="701"/>
      <c r="AU135" s="701"/>
      <c r="AV135" s="701"/>
      <c r="AW135" s="701"/>
      <c r="AX135" s="701"/>
      <c r="AY135" s="701"/>
      <c r="AZ135" s="701"/>
      <c r="BA135" s="701"/>
      <c r="BB135" s="701"/>
      <c r="BC135" s="701"/>
      <c r="BD135" s="701"/>
      <c r="BE135" s="701"/>
      <c r="BF135" s="701"/>
      <c r="BG135" s="701"/>
      <c r="BH135" s="701"/>
      <c r="BI135" s="701"/>
      <c r="BJ135" s="701"/>
      <c r="BK135" s="701"/>
      <c r="BL135" s="701"/>
      <c r="BM135" s="701"/>
      <c r="BN135" s="701"/>
      <c r="BO135" s="701"/>
      <c r="BP135" s="701"/>
      <c r="BQ135" s="701"/>
      <c r="BR135" s="701"/>
      <c r="BS135" s="701"/>
      <c r="BT135" s="701"/>
      <c r="BU135" s="701"/>
      <c r="BV135" s="682"/>
      <c r="BW135" s="682"/>
      <c r="BX135" s="682"/>
      <c r="BY135" s="682"/>
      <c r="BZ135" s="687"/>
      <c r="CA135" s="176"/>
      <c r="CB135" s="682"/>
      <c r="CC135" s="682"/>
      <c r="CD135" s="682"/>
      <c r="CE135" s="682"/>
      <c r="CF135" s="682"/>
      <c r="CG135" s="682"/>
    </row>
    <row r="136" spans="1:86" ht="15.65" customHeight="1" outlineLevel="1" x14ac:dyDescent="0.35">
      <c r="A136" s="687"/>
      <c r="B136" s="687"/>
      <c r="C136" s="705"/>
      <c r="D136" s="706"/>
      <c r="E136" s="706"/>
      <c r="F136" s="706"/>
      <c r="G136" s="176"/>
      <c r="H136" s="176"/>
      <c r="I136" s="176"/>
      <c r="J136" s="176"/>
      <c r="K136" s="176"/>
      <c r="L136" s="176"/>
      <c r="M136" s="176"/>
      <c r="N136" s="176"/>
      <c r="O136" s="176"/>
      <c r="P136" s="176"/>
      <c r="Q136" s="176"/>
      <c r="R136" s="176"/>
      <c r="S136" s="176"/>
      <c r="T136" s="176"/>
      <c r="U136" s="176"/>
      <c r="V136" s="176"/>
      <c r="W136" s="176"/>
      <c r="X136" s="176"/>
      <c r="Y136" s="176"/>
      <c r="Z136" s="176"/>
      <c r="AA136" s="682"/>
      <c r="AB136" s="682"/>
      <c r="AC136" s="682"/>
      <c r="AD136" s="682"/>
      <c r="AE136" s="682"/>
      <c r="AF136" s="682"/>
      <c r="AG136" s="682"/>
      <c r="AH136" s="682"/>
      <c r="AI136" s="682"/>
      <c r="AJ136" s="682"/>
      <c r="AK136" s="682"/>
      <c r="AL136" s="176"/>
      <c r="AM136" s="176"/>
      <c r="AN136" s="701"/>
      <c r="AO136" s="701"/>
      <c r="AP136" s="701"/>
      <c r="AQ136" s="701"/>
      <c r="AR136" s="701"/>
      <c r="AS136" s="701"/>
      <c r="AT136" s="701"/>
      <c r="AU136" s="701"/>
      <c r="AV136" s="701"/>
      <c r="AW136" s="701"/>
      <c r="AX136" s="701"/>
      <c r="AY136" s="701"/>
      <c r="AZ136" s="701"/>
      <c r="BA136" s="701"/>
      <c r="BB136" s="701"/>
      <c r="BC136" s="701"/>
      <c r="BD136" s="701"/>
      <c r="BE136" s="701"/>
      <c r="BF136" s="701"/>
      <c r="BG136" s="701"/>
      <c r="BH136" s="701"/>
      <c r="BI136" s="701"/>
      <c r="BJ136" s="701"/>
      <c r="BK136" s="701"/>
      <c r="BL136" s="701"/>
      <c r="BM136" s="701"/>
      <c r="BN136" s="701"/>
      <c r="BO136" s="701"/>
      <c r="BP136" s="701"/>
      <c r="BQ136" s="701"/>
      <c r="BR136" s="701"/>
      <c r="BS136" s="701"/>
      <c r="BT136" s="701"/>
      <c r="BU136" s="701"/>
      <c r="BV136" s="701"/>
      <c r="BW136" s="682"/>
      <c r="BX136" s="682"/>
      <c r="BY136" s="682"/>
      <c r="BZ136" s="682"/>
      <c r="CA136" s="687"/>
      <c r="CB136" s="176"/>
      <c r="CC136" s="682"/>
      <c r="CD136" s="682"/>
      <c r="CE136" s="682"/>
      <c r="CF136" s="682"/>
      <c r="CG136" s="682"/>
      <c r="CH136" s="682"/>
    </row>
    <row r="137" spans="1:86" ht="15.65" customHeight="1" outlineLevel="1" x14ac:dyDescent="0.35">
      <c r="A137" s="687"/>
      <c r="B137" s="687"/>
      <c r="C137" s="705"/>
      <c r="D137" s="706"/>
      <c r="E137" s="706"/>
      <c r="F137" s="706"/>
      <c r="G137" s="176"/>
      <c r="H137" s="176"/>
      <c r="I137" s="176"/>
      <c r="J137" s="176"/>
      <c r="K137" s="176"/>
      <c r="L137" s="176"/>
      <c r="M137" s="176"/>
      <c r="N137" s="176"/>
      <c r="O137" s="176"/>
      <c r="P137" s="176"/>
      <c r="Q137" s="176"/>
      <c r="R137" s="176"/>
      <c r="S137" s="176"/>
      <c r="T137" s="176"/>
      <c r="U137" s="176"/>
      <c r="V137" s="176"/>
      <c r="W137" s="176"/>
      <c r="X137" s="176"/>
      <c r="Y137" s="176"/>
      <c r="Z137" s="176"/>
      <c r="AA137" s="682"/>
      <c r="AB137" s="682"/>
      <c r="AC137" s="682"/>
      <c r="AD137" s="682"/>
      <c r="AE137" s="682"/>
      <c r="AF137" s="682"/>
      <c r="AG137" s="682"/>
      <c r="AH137" s="682"/>
      <c r="AI137" s="682"/>
      <c r="AJ137" s="682"/>
      <c r="AK137" s="682"/>
      <c r="AL137" s="176"/>
      <c r="AM137" s="176"/>
      <c r="AN137" s="701"/>
      <c r="AO137" s="701"/>
      <c r="AP137" s="701"/>
      <c r="AQ137" s="701"/>
      <c r="AR137" s="701"/>
      <c r="AS137" s="701"/>
      <c r="AT137" s="701"/>
      <c r="AU137" s="701"/>
      <c r="AV137" s="701"/>
      <c r="AW137" s="701"/>
      <c r="AX137" s="701"/>
      <c r="AY137" s="701"/>
      <c r="AZ137" s="701"/>
      <c r="BA137" s="701"/>
      <c r="BB137" s="701"/>
      <c r="BC137" s="701"/>
      <c r="BD137" s="701"/>
      <c r="BE137" s="701"/>
      <c r="BF137" s="701"/>
      <c r="BG137" s="701"/>
      <c r="BH137" s="701"/>
      <c r="BI137" s="701"/>
      <c r="BJ137" s="701"/>
      <c r="BK137" s="701"/>
      <c r="BL137" s="701"/>
      <c r="BM137" s="701"/>
      <c r="BN137" s="701"/>
      <c r="BO137" s="701"/>
      <c r="BP137" s="701"/>
      <c r="BQ137" s="701"/>
      <c r="BR137" s="701"/>
      <c r="BS137" s="701"/>
      <c r="BT137" s="701"/>
      <c r="BU137" s="701"/>
      <c r="BV137" s="701"/>
      <c r="BW137" s="682"/>
      <c r="BX137" s="686"/>
      <c r="BY137" s="686"/>
      <c r="BZ137" s="686"/>
      <c r="CA137" s="690"/>
      <c r="CB137" s="176"/>
      <c r="CC137" s="682"/>
      <c r="CD137" s="682"/>
      <c r="CE137" s="682"/>
      <c r="CF137" s="682"/>
      <c r="CG137" s="682"/>
      <c r="CH137" s="682"/>
    </row>
    <row r="138" spans="1:86" ht="19.149999999999999" customHeight="1" outlineLevel="1" x14ac:dyDescent="0.35">
      <c r="A138" s="687"/>
      <c r="B138" s="687"/>
      <c r="C138" s="705"/>
      <c r="D138" s="706"/>
      <c r="E138" s="706"/>
      <c r="F138" s="706"/>
      <c r="G138" s="176"/>
      <c r="H138" s="176"/>
      <c r="I138" s="176"/>
      <c r="J138" s="176"/>
      <c r="K138" s="176"/>
      <c r="L138" s="176"/>
      <c r="M138" s="176"/>
      <c r="N138" s="176"/>
      <c r="O138" s="176"/>
      <c r="P138" s="176"/>
      <c r="Q138" s="176"/>
      <c r="R138" s="176"/>
      <c r="S138" s="176"/>
      <c r="T138" s="176"/>
      <c r="U138" s="176"/>
      <c r="V138" s="176"/>
      <c r="W138" s="176"/>
      <c r="X138" s="176"/>
      <c r="Y138" s="176"/>
      <c r="Z138" s="176"/>
      <c r="AA138" s="682"/>
      <c r="AB138" s="682"/>
      <c r="AC138" s="682"/>
      <c r="AD138" s="682"/>
      <c r="AE138" s="682"/>
      <c r="AF138" s="682"/>
      <c r="AG138" s="682"/>
      <c r="AH138" s="682"/>
      <c r="AI138" s="682"/>
      <c r="AJ138" s="682"/>
      <c r="AK138" s="682"/>
      <c r="AL138" s="176"/>
      <c r="AM138" s="176"/>
      <c r="AN138" s="701"/>
      <c r="AO138" s="701"/>
      <c r="AP138" s="701"/>
      <c r="AQ138" s="701"/>
      <c r="AR138" s="701"/>
      <c r="AS138" s="701"/>
      <c r="AT138" s="701"/>
      <c r="AU138" s="701"/>
      <c r="AV138" s="701"/>
      <c r="AW138" s="701"/>
      <c r="AX138" s="701"/>
      <c r="AY138" s="701"/>
      <c r="AZ138" s="701"/>
      <c r="BA138" s="701"/>
      <c r="BB138" s="701"/>
      <c r="BC138" s="701"/>
      <c r="BD138" s="701"/>
      <c r="BE138" s="701"/>
      <c r="BF138" s="701"/>
      <c r="BG138" s="701"/>
      <c r="BH138" s="701"/>
      <c r="BI138" s="701"/>
      <c r="BJ138" s="701"/>
      <c r="BK138" s="701"/>
      <c r="BL138" s="701"/>
      <c r="BM138" s="701"/>
      <c r="BN138" s="701"/>
      <c r="BO138" s="701"/>
      <c r="BP138" s="701"/>
      <c r="BQ138" s="701"/>
      <c r="BR138" s="701"/>
      <c r="BS138" s="701"/>
      <c r="BT138" s="701"/>
      <c r="BU138" s="701"/>
      <c r="BV138" s="701"/>
      <c r="BW138" s="682"/>
      <c r="BX138" s="686"/>
      <c r="BY138" s="686"/>
      <c r="BZ138" s="686"/>
      <c r="CA138" s="690"/>
      <c r="CB138" s="176"/>
      <c r="CC138" s="682"/>
      <c r="CD138" s="682"/>
      <c r="CE138" s="682"/>
      <c r="CF138" s="682"/>
      <c r="CG138" s="682"/>
      <c r="CH138" s="682"/>
    </row>
    <row r="139" spans="1:86" ht="18.5" outlineLevel="1" x14ac:dyDescent="0.45">
      <c r="A139" s="687"/>
      <c r="B139" s="710" t="s">
        <v>703</v>
      </c>
      <c r="C139" s="169"/>
      <c r="D139" s="170"/>
      <c r="E139" s="170"/>
      <c r="F139" s="170"/>
      <c r="G139" s="170"/>
      <c r="H139" s="170"/>
      <c r="I139" s="170"/>
      <c r="J139" s="170"/>
      <c r="K139" s="170"/>
      <c r="L139" s="176"/>
      <c r="M139" s="176"/>
      <c r="N139" s="176"/>
      <c r="O139" s="176"/>
      <c r="P139" s="176"/>
      <c r="Q139" s="176"/>
      <c r="R139" s="176"/>
      <c r="S139" s="176"/>
      <c r="T139" s="176"/>
      <c r="U139" s="176"/>
      <c r="V139" s="176"/>
      <c r="W139" s="176"/>
      <c r="X139" s="176"/>
      <c r="Y139" s="176"/>
      <c r="Z139" s="176"/>
      <c r="AA139" s="682"/>
      <c r="AB139" s="682"/>
      <c r="AC139" s="682"/>
      <c r="AD139" s="682"/>
      <c r="AE139" s="682"/>
      <c r="AF139" s="682"/>
      <c r="AG139" s="682"/>
      <c r="AH139" s="682"/>
      <c r="AI139" s="682"/>
      <c r="AJ139" s="682"/>
      <c r="AK139" s="682"/>
      <c r="AL139" s="176"/>
      <c r="AM139" s="176"/>
      <c r="AN139" s="701"/>
      <c r="AO139" s="701"/>
      <c r="AP139" s="701"/>
      <c r="AQ139" s="701"/>
      <c r="AR139" s="701"/>
      <c r="AS139" s="701"/>
      <c r="AT139" s="701"/>
      <c r="AU139" s="701"/>
      <c r="AV139" s="701"/>
      <c r="AW139" s="701"/>
      <c r="AX139" s="701"/>
      <c r="AY139" s="701"/>
      <c r="AZ139" s="701"/>
      <c r="BA139" s="701"/>
      <c r="BB139" s="701"/>
      <c r="BC139" s="701"/>
      <c r="BD139" s="701"/>
      <c r="BE139" s="701"/>
      <c r="BF139" s="701"/>
      <c r="BG139" s="701"/>
      <c r="BH139" s="701"/>
      <c r="BI139" s="701"/>
      <c r="BJ139" s="701"/>
      <c r="BK139" s="701"/>
      <c r="BL139" s="701"/>
      <c r="BM139" s="701"/>
      <c r="BN139" s="701"/>
      <c r="BO139" s="701"/>
      <c r="BP139" s="701"/>
      <c r="BQ139" s="701"/>
      <c r="BR139" s="701"/>
      <c r="BS139" s="701"/>
      <c r="BT139" s="701"/>
      <c r="BU139" s="701"/>
      <c r="BV139" s="701"/>
      <c r="BW139" s="682"/>
      <c r="BX139" s="686"/>
      <c r="BY139" s="686"/>
      <c r="BZ139" s="686"/>
      <c r="CA139" s="690"/>
      <c r="CB139" s="176"/>
      <c r="CC139" s="682"/>
      <c r="CD139" s="682"/>
      <c r="CE139" s="682"/>
      <c r="CF139" s="682"/>
      <c r="CG139" s="682"/>
      <c r="CH139" s="682"/>
    </row>
    <row r="140" spans="1:86" ht="15.65" customHeight="1" outlineLevel="1" x14ac:dyDescent="0.35">
      <c r="A140" s="687"/>
      <c r="B140" s="711"/>
      <c r="C140" s="169"/>
      <c r="D140" s="170"/>
      <c r="E140" s="170"/>
      <c r="F140" s="170"/>
      <c r="G140" s="170"/>
      <c r="H140" s="170"/>
      <c r="I140" s="170"/>
      <c r="J140" s="170"/>
      <c r="K140" s="170"/>
      <c r="L140" s="176"/>
      <c r="M140" s="176"/>
      <c r="N140" s="176"/>
      <c r="O140" s="176"/>
      <c r="P140" s="176"/>
      <c r="Q140" s="176"/>
      <c r="R140" s="176"/>
      <c r="S140" s="176"/>
      <c r="T140" s="176"/>
      <c r="U140" s="176"/>
      <c r="V140" s="176"/>
      <c r="W140" s="176"/>
      <c r="X140" s="176"/>
      <c r="Y140" s="176"/>
      <c r="Z140" s="176"/>
      <c r="AA140" s="682"/>
      <c r="AB140" s="682"/>
      <c r="AC140" s="682"/>
      <c r="AD140" s="682"/>
      <c r="AE140" s="682"/>
      <c r="AF140" s="682"/>
      <c r="AG140" s="682"/>
      <c r="AH140" s="682"/>
      <c r="AI140" s="682"/>
      <c r="AJ140" s="682"/>
      <c r="AK140" s="682"/>
      <c r="AL140" s="176"/>
      <c r="AM140" s="176"/>
      <c r="AN140" s="701"/>
      <c r="AO140" s="701"/>
      <c r="AP140" s="701"/>
      <c r="AQ140" s="701"/>
      <c r="AR140" s="701"/>
      <c r="AS140" s="701"/>
      <c r="AT140" s="701"/>
      <c r="AU140" s="701"/>
      <c r="AV140" s="701"/>
      <c r="AW140" s="701"/>
      <c r="AX140" s="701"/>
      <c r="AY140" s="701"/>
      <c r="AZ140" s="701"/>
      <c r="BA140" s="701"/>
      <c r="BB140" s="701"/>
      <c r="BC140" s="701"/>
      <c r="BD140" s="701"/>
      <c r="BE140" s="701"/>
      <c r="BF140" s="701"/>
      <c r="BG140" s="701"/>
      <c r="BH140" s="701"/>
      <c r="BI140" s="701"/>
      <c r="BJ140" s="701"/>
      <c r="BK140" s="701"/>
      <c r="BL140" s="701"/>
      <c r="BM140" s="701"/>
      <c r="BN140" s="701"/>
      <c r="BO140" s="701"/>
      <c r="BP140" s="701"/>
      <c r="BQ140" s="701"/>
      <c r="BR140" s="701"/>
      <c r="BS140" s="701"/>
      <c r="BT140" s="701"/>
      <c r="BU140" s="701"/>
      <c r="BV140" s="701"/>
      <c r="BW140" s="682"/>
      <c r="BX140" s="686"/>
      <c r="BY140" s="686"/>
      <c r="BZ140" s="686"/>
      <c r="CA140" s="690"/>
      <c r="CB140" s="176"/>
      <c r="CC140" s="682"/>
      <c r="CD140" s="682"/>
      <c r="CE140" s="682"/>
      <c r="CF140" s="682"/>
      <c r="CG140" s="682"/>
      <c r="CH140" s="682"/>
    </row>
    <row r="141" spans="1:86" ht="15.65" customHeight="1" outlineLevel="1" x14ac:dyDescent="0.35">
      <c r="A141" s="687"/>
      <c r="B141" s="712" t="s">
        <v>1007</v>
      </c>
      <c r="C141" s="169"/>
      <c r="D141" s="684"/>
      <c r="E141" s="685"/>
      <c r="F141" s="685"/>
      <c r="G141" s="685"/>
      <c r="H141" s="685"/>
      <c r="I141" s="685"/>
      <c r="J141" s="685"/>
      <c r="K141" s="685"/>
      <c r="L141" s="176"/>
      <c r="M141" s="176"/>
      <c r="N141" s="176"/>
      <c r="O141" s="176"/>
      <c r="P141" s="176"/>
      <c r="Q141" s="176"/>
      <c r="R141" s="176"/>
      <c r="S141" s="176"/>
      <c r="T141" s="176"/>
      <c r="U141" s="176"/>
      <c r="V141" s="176"/>
      <c r="W141" s="176"/>
      <c r="X141" s="176"/>
      <c r="Y141" s="176"/>
      <c r="Z141" s="176"/>
      <c r="AA141" s="682"/>
      <c r="AB141" s="682"/>
      <c r="AC141" s="682"/>
      <c r="AD141" s="682"/>
      <c r="AE141" s="682"/>
      <c r="AF141" s="682"/>
      <c r="AG141" s="682"/>
      <c r="AH141" s="682"/>
      <c r="AI141" s="682"/>
      <c r="AJ141" s="682"/>
      <c r="AK141" s="682"/>
      <c r="AL141" s="176"/>
      <c r="AM141" s="176"/>
      <c r="AN141" s="701"/>
      <c r="AO141" s="701"/>
      <c r="AP141" s="701"/>
      <c r="AQ141" s="701"/>
      <c r="AR141" s="701"/>
      <c r="AS141" s="701"/>
      <c r="AT141" s="701"/>
      <c r="AU141" s="701"/>
      <c r="AV141" s="701"/>
      <c r="AW141" s="701"/>
      <c r="AX141" s="701"/>
      <c r="AY141" s="701"/>
      <c r="AZ141" s="701"/>
      <c r="BA141" s="701"/>
      <c r="BB141" s="701"/>
      <c r="BC141" s="701"/>
      <c r="BD141" s="701"/>
      <c r="BE141" s="701"/>
      <c r="BF141" s="701"/>
      <c r="BG141" s="701"/>
      <c r="BH141" s="701"/>
      <c r="BI141" s="701"/>
      <c r="BJ141" s="701"/>
      <c r="BK141" s="701"/>
      <c r="BL141" s="701"/>
      <c r="BM141" s="701"/>
      <c r="BN141" s="701"/>
      <c r="BO141" s="701"/>
      <c r="BP141" s="701"/>
      <c r="BQ141" s="701"/>
      <c r="BR141" s="701"/>
      <c r="BS141" s="701"/>
      <c r="BT141" s="701"/>
      <c r="BU141" s="701"/>
      <c r="BV141" s="701"/>
      <c r="BW141" s="682"/>
      <c r="BX141" s="686"/>
      <c r="BY141" s="686"/>
      <c r="BZ141" s="686"/>
      <c r="CA141" s="690"/>
      <c r="CB141" s="176"/>
      <c r="CC141" s="682"/>
      <c r="CD141" s="682"/>
      <c r="CE141" s="682"/>
      <c r="CF141" s="682"/>
      <c r="CG141" s="682"/>
      <c r="CH141" s="682"/>
    </row>
    <row r="142" spans="1:86" ht="15.65" customHeight="1" outlineLevel="1" x14ac:dyDescent="0.35">
      <c r="A142" s="687"/>
      <c r="B142" s="1294" t="s">
        <v>702</v>
      </c>
      <c r="C142" s="1284" t="s">
        <v>196</v>
      </c>
      <c r="D142" s="1284" t="s">
        <v>41</v>
      </c>
      <c r="E142" s="1284" t="s">
        <v>32</v>
      </c>
      <c r="F142" s="1287" t="s">
        <v>219</v>
      </c>
      <c r="G142" s="1288"/>
      <c r="H142" s="1288"/>
      <c r="I142" s="1288"/>
      <c r="J142" s="1288"/>
      <c r="K142" s="1289"/>
      <c r="S142" s="176"/>
      <c r="T142" s="176"/>
      <c r="U142" s="176"/>
      <c r="V142" s="176"/>
      <c r="W142" s="176"/>
      <c r="X142" s="176"/>
      <c r="Y142" s="176"/>
      <c r="Z142" s="682"/>
      <c r="AA142" s="682"/>
      <c r="AB142" s="682"/>
      <c r="AC142" s="682"/>
      <c r="AD142" s="682"/>
      <c r="AE142" s="682"/>
      <c r="AF142" s="682"/>
      <c r="AG142" s="682"/>
      <c r="AH142" s="682"/>
      <c r="AI142" s="682"/>
      <c r="AJ142" s="682"/>
      <c r="AK142" s="176"/>
      <c r="AL142" s="176"/>
      <c r="AM142" s="701"/>
      <c r="AN142" s="701"/>
      <c r="AO142" s="701"/>
      <c r="AP142" s="701"/>
      <c r="AQ142" s="701"/>
      <c r="AR142" s="701"/>
      <c r="AS142" s="701"/>
      <c r="AT142" s="701"/>
      <c r="AU142" s="701"/>
      <c r="AV142" s="701"/>
      <c r="AW142" s="701"/>
      <c r="AX142" s="701"/>
      <c r="AY142" s="701"/>
      <c r="AZ142" s="701"/>
      <c r="BA142" s="701"/>
      <c r="BB142" s="701"/>
      <c r="BC142" s="701"/>
      <c r="BD142" s="701"/>
      <c r="BE142" s="701"/>
      <c r="BF142" s="701"/>
      <c r="BG142" s="701"/>
      <c r="BH142" s="701"/>
      <c r="BI142" s="701"/>
      <c r="BJ142" s="701"/>
      <c r="BK142" s="701"/>
      <c r="BL142" s="701"/>
      <c r="BM142" s="701"/>
      <c r="BN142" s="701"/>
      <c r="BO142" s="701"/>
      <c r="BP142" s="701"/>
      <c r="BQ142" s="701"/>
      <c r="BR142" s="701"/>
      <c r="BS142" s="701"/>
      <c r="BT142" s="701"/>
      <c r="BU142" s="701"/>
      <c r="BV142" s="682"/>
      <c r="BW142" s="686"/>
      <c r="BX142" s="686"/>
      <c r="BY142" s="686"/>
      <c r="BZ142" s="690"/>
      <c r="CA142" s="176"/>
      <c r="CB142" s="682"/>
      <c r="CC142" s="682"/>
      <c r="CD142" s="682"/>
      <c r="CE142" s="682"/>
      <c r="CF142" s="682"/>
      <c r="CG142" s="682"/>
    </row>
    <row r="143" spans="1:86" ht="15.65" customHeight="1" outlineLevel="1" x14ac:dyDescent="0.35">
      <c r="A143" s="687"/>
      <c r="B143" s="1295"/>
      <c r="C143" s="1286"/>
      <c r="D143" s="1286"/>
      <c r="E143" s="1286"/>
      <c r="F143" s="1287" t="s">
        <v>1386</v>
      </c>
      <c r="G143" s="1289"/>
      <c r="H143" s="1287" t="s">
        <v>1387</v>
      </c>
      <c r="I143" s="1289"/>
      <c r="J143" s="1287" t="s">
        <v>1388</v>
      </c>
      <c r="K143" s="1289"/>
      <c r="S143" s="176"/>
      <c r="T143" s="176"/>
      <c r="U143" s="176"/>
      <c r="V143" s="176"/>
      <c r="W143" s="176"/>
      <c r="X143" s="176"/>
      <c r="Y143" s="176"/>
      <c r="Z143" s="682"/>
      <c r="AA143" s="682"/>
      <c r="AB143" s="682"/>
      <c r="AC143" s="682"/>
      <c r="AD143" s="682"/>
      <c r="AE143" s="682"/>
      <c r="AF143" s="682"/>
      <c r="AG143" s="682"/>
      <c r="AH143" s="682"/>
      <c r="AI143" s="682"/>
      <c r="AJ143" s="682"/>
      <c r="AK143" s="176"/>
      <c r="AL143" s="176"/>
      <c r="AM143" s="701"/>
      <c r="AN143" s="701"/>
      <c r="AO143" s="701"/>
      <c r="AP143" s="701"/>
      <c r="AQ143" s="701"/>
      <c r="AR143" s="701"/>
      <c r="AS143" s="701"/>
      <c r="AT143" s="701"/>
      <c r="AU143" s="701"/>
      <c r="AV143" s="701"/>
      <c r="AW143" s="701"/>
      <c r="AX143" s="701"/>
      <c r="AY143" s="701"/>
      <c r="AZ143" s="701"/>
      <c r="BA143" s="701"/>
      <c r="BB143" s="701"/>
      <c r="BC143" s="701"/>
      <c r="BD143" s="701"/>
      <c r="BE143" s="701"/>
      <c r="BF143" s="701"/>
      <c r="BG143" s="701"/>
      <c r="BH143" s="701"/>
      <c r="BI143" s="701"/>
      <c r="BJ143" s="701"/>
      <c r="BK143" s="701"/>
      <c r="BL143" s="701"/>
      <c r="BM143" s="701"/>
      <c r="BN143" s="701"/>
      <c r="BO143" s="701"/>
      <c r="BP143" s="701"/>
      <c r="BQ143" s="701"/>
      <c r="BR143" s="701"/>
      <c r="BS143" s="701"/>
      <c r="BT143" s="701"/>
      <c r="BU143" s="701"/>
      <c r="BV143" s="682"/>
      <c r="BW143" s="686"/>
      <c r="BX143" s="686"/>
      <c r="BY143" s="686"/>
      <c r="BZ143" s="690"/>
      <c r="CA143" s="176"/>
      <c r="CB143" s="682"/>
      <c r="CC143" s="682"/>
      <c r="CD143" s="682"/>
      <c r="CE143" s="682"/>
      <c r="CF143" s="682"/>
      <c r="CG143" s="682"/>
    </row>
    <row r="144" spans="1:86" outlineLevel="1" x14ac:dyDescent="0.35">
      <c r="A144" s="687"/>
      <c r="B144" s="1296"/>
      <c r="C144" s="1285"/>
      <c r="D144" s="1285"/>
      <c r="E144" s="1285"/>
      <c r="F144" s="689" t="s">
        <v>201</v>
      </c>
      <c r="G144" s="689" t="s">
        <v>202</v>
      </c>
      <c r="H144" s="689" t="s">
        <v>201</v>
      </c>
      <c r="I144" s="689" t="s">
        <v>202</v>
      </c>
      <c r="J144" s="689" t="s">
        <v>201</v>
      </c>
      <c r="K144" s="689" t="s">
        <v>202</v>
      </c>
      <c r="S144" s="176"/>
      <c r="T144" s="176"/>
      <c r="U144" s="176"/>
      <c r="V144" s="176"/>
      <c r="W144" s="176"/>
      <c r="X144" s="176"/>
      <c r="Y144" s="176"/>
      <c r="Z144" s="682"/>
      <c r="AA144" s="682"/>
      <c r="AB144" s="682"/>
      <c r="AC144" s="682"/>
      <c r="AD144" s="682"/>
      <c r="AE144" s="682"/>
      <c r="AF144" s="682"/>
      <c r="AG144" s="682"/>
      <c r="AH144" s="682"/>
      <c r="AI144" s="682"/>
      <c r="AJ144" s="682"/>
      <c r="AK144" s="176"/>
      <c r="AL144" s="176"/>
      <c r="AM144" s="701"/>
      <c r="AN144" s="701"/>
      <c r="AO144" s="701"/>
      <c r="AP144" s="701"/>
      <c r="AQ144" s="701"/>
      <c r="AR144" s="701"/>
      <c r="AS144" s="701"/>
      <c r="AT144" s="701"/>
      <c r="AU144" s="701"/>
      <c r="AV144" s="701"/>
      <c r="AW144" s="701"/>
      <c r="AX144" s="701"/>
      <c r="AY144" s="701"/>
      <c r="AZ144" s="701"/>
      <c r="BA144" s="701"/>
      <c r="BB144" s="701"/>
      <c r="BC144" s="701"/>
      <c r="BD144" s="701"/>
      <c r="BE144" s="701"/>
      <c r="BF144" s="701"/>
      <c r="BG144" s="701"/>
      <c r="BH144" s="701"/>
      <c r="BI144" s="701"/>
      <c r="BJ144" s="701"/>
      <c r="BK144" s="701"/>
      <c r="BL144" s="701"/>
      <c r="BM144" s="701"/>
      <c r="BN144" s="701"/>
      <c r="BO144" s="701"/>
      <c r="BP144" s="701"/>
      <c r="BQ144" s="701"/>
      <c r="BR144" s="701"/>
      <c r="BS144" s="701"/>
      <c r="BT144" s="701"/>
      <c r="BU144" s="701"/>
      <c r="BV144" s="682"/>
      <c r="BW144" s="686"/>
      <c r="BX144" s="686"/>
      <c r="BY144" s="686"/>
      <c r="BZ144" s="690"/>
      <c r="CA144" s="176"/>
      <c r="CB144" s="682"/>
      <c r="CC144" s="682"/>
      <c r="CD144" s="682"/>
      <c r="CE144" s="682"/>
      <c r="CF144" s="682"/>
      <c r="CG144" s="682"/>
    </row>
    <row r="145" spans="1:86" outlineLevel="1" x14ac:dyDescent="0.35">
      <c r="A145" s="687"/>
      <c r="B145" s="1281" t="s">
        <v>705</v>
      </c>
      <c r="C145" s="694" t="str">
        <f>$B$145&amp;" - "&amp;D145</f>
        <v>Maquinaria agrícola e florestal - Gasóleo / óleo diesel (fuelóleo destilado)</v>
      </c>
      <c r="D145" s="393" t="str">
        <f>B50</f>
        <v>Gasóleo / óleo diesel (fuelóleo destilado)</v>
      </c>
      <c r="E145" s="694" t="str">
        <f t="shared" ref="E145:E159" si="2">VLOOKUP(D145,$B$31:$D$75,3,FALSE)</f>
        <v>Litros</v>
      </c>
      <c r="F145" s="1030">
        <f t="shared" ref="F145:F159" si="3">VLOOKUP(D145,$B$31:$I$75,8,FALSE)</f>
        <v>2.6509464</v>
      </c>
      <c r="G145" s="694" t="s">
        <v>707</v>
      </c>
      <c r="H145" s="874">
        <f t="shared" ref="H145:H159" si="4">VLOOKUP(D145,$B$31:$M$75,12,FALSE)*VLOOKUP(D145,$B$31:$M$75,4,FALSE)/1000000</f>
        <v>1.293948432E-11</v>
      </c>
      <c r="I145" s="694" t="s">
        <v>707</v>
      </c>
      <c r="J145" s="874">
        <f t="shared" ref="J145:J159" si="5">VLOOKUP(D145,$B$31:$Q$75,16,FALSE)*VLOOKUP(D145,$B$31:$Q$75,4,FALSE)/1000000</f>
        <v>7.7636905919999992E-13</v>
      </c>
      <c r="K145" s="694" t="str">
        <f>I145</f>
        <v>kg</v>
      </c>
      <c r="S145" s="176"/>
      <c r="T145" s="176"/>
      <c r="U145" s="176"/>
      <c r="V145" s="176"/>
      <c r="W145" s="176"/>
      <c r="X145" s="176"/>
      <c r="Y145" s="176"/>
      <c r="Z145" s="682"/>
      <c r="AA145" s="682"/>
      <c r="AB145" s="682"/>
      <c r="AC145" s="682"/>
      <c r="AD145" s="682"/>
      <c r="AE145" s="682"/>
      <c r="AF145" s="682"/>
      <c r="AG145" s="682"/>
      <c r="AH145" s="682"/>
      <c r="AI145" s="682"/>
      <c r="AJ145" s="682"/>
      <c r="AK145" s="176"/>
      <c r="AL145" s="176"/>
      <c r="AM145" s="701"/>
      <c r="AN145" s="701"/>
      <c r="AO145" s="701"/>
      <c r="AP145" s="701"/>
      <c r="AQ145" s="701"/>
      <c r="AR145" s="701"/>
      <c r="AS145" s="701"/>
      <c r="AT145" s="701"/>
      <c r="AU145" s="701"/>
      <c r="AV145" s="701"/>
      <c r="AW145" s="701"/>
      <c r="AX145" s="701"/>
      <c r="AY145" s="701"/>
      <c r="AZ145" s="701"/>
      <c r="BA145" s="701"/>
      <c r="BB145" s="701"/>
      <c r="BC145" s="701"/>
      <c r="BD145" s="701"/>
      <c r="BE145" s="701"/>
      <c r="BF145" s="701"/>
      <c r="BG145" s="701"/>
      <c r="BH145" s="701"/>
      <c r="BI145" s="701"/>
      <c r="BJ145" s="701"/>
      <c r="BK145" s="701"/>
      <c r="BL145" s="701"/>
      <c r="BM145" s="701"/>
      <c r="BN145" s="701"/>
      <c r="BO145" s="701"/>
      <c r="BP145" s="701"/>
      <c r="BQ145" s="701"/>
      <c r="BR145" s="701"/>
      <c r="BS145" s="701"/>
      <c r="BT145" s="701"/>
      <c r="BU145" s="701"/>
      <c r="BV145" s="682"/>
      <c r="BW145" s="686"/>
      <c r="BX145" s="686"/>
      <c r="BY145" s="686"/>
      <c r="BZ145" s="690"/>
      <c r="CA145" s="176"/>
      <c r="CB145" s="682"/>
      <c r="CC145" s="682"/>
      <c r="CD145" s="682"/>
      <c r="CE145" s="682"/>
      <c r="CF145" s="682"/>
      <c r="CG145" s="682"/>
    </row>
    <row r="146" spans="1:86" outlineLevel="1" x14ac:dyDescent="0.35">
      <c r="A146" s="687"/>
      <c r="B146" s="1290"/>
      <c r="C146" s="694" t="str">
        <f>$B$145&amp;" - "&amp;D146</f>
        <v>Maquinaria agrícola e florestal - Gasolina para motores</v>
      </c>
      <c r="D146" s="694" t="str">
        <f>B51</f>
        <v>Gasolina para motores</v>
      </c>
      <c r="E146" s="694" t="str">
        <f t="shared" si="2"/>
        <v>Litros</v>
      </c>
      <c r="F146" s="1030">
        <f>VLOOKUP(D146,$B$31:$I$75,8,FALSE)</f>
        <v>2.3018515000000002</v>
      </c>
      <c r="G146" s="694" t="s">
        <v>707</v>
      </c>
      <c r="H146" s="874">
        <f t="shared" si="4"/>
        <v>1.0904522525E-11</v>
      </c>
      <c r="I146" s="694" t="s">
        <v>707</v>
      </c>
      <c r="J146" s="874">
        <f t="shared" si="5"/>
        <v>6.5427135149999992E-13</v>
      </c>
      <c r="K146" s="694" t="str">
        <f t="shared" ref="K146:K159" si="6">I146</f>
        <v>kg</v>
      </c>
      <c r="S146" s="176"/>
      <c r="T146" s="176"/>
      <c r="U146" s="176"/>
      <c r="V146" s="176"/>
      <c r="W146" s="176"/>
      <c r="X146" s="176"/>
      <c r="Y146" s="176"/>
      <c r="Z146" s="682"/>
      <c r="AA146" s="682"/>
      <c r="AB146" s="682"/>
      <c r="AC146" s="682"/>
      <c r="AD146" s="682"/>
      <c r="AE146" s="682"/>
      <c r="AF146" s="682"/>
      <c r="AG146" s="682"/>
      <c r="AH146" s="682"/>
      <c r="AI146" s="682"/>
      <c r="AJ146" s="682"/>
      <c r="AK146" s="176"/>
      <c r="AL146" s="176"/>
      <c r="AM146" s="701"/>
      <c r="AN146" s="701"/>
      <c r="AO146" s="701"/>
      <c r="AP146" s="701"/>
      <c r="AQ146" s="701"/>
      <c r="AR146" s="701"/>
      <c r="AS146" s="701"/>
      <c r="AT146" s="701"/>
      <c r="AU146" s="701"/>
      <c r="AV146" s="701"/>
      <c r="AW146" s="701"/>
      <c r="AX146" s="701"/>
      <c r="AY146" s="701"/>
      <c r="AZ146" s="701"/>
      <c r="BA146" s="701"/>
      <c r="BB146" s="701"/>
      <c r="BC146" s="701"/>
      <c r="BD146" s="701"/>
      <c r="BE146" s="701"/>
      <c r="BF146" s="701"/>
      <c r="BG146" s="701"/>
      <c r="BH146" s="701"/>
      <c r="BI146" s="701"/>
      <c r="BJ146" s="701"/>
      <c r="BK146" s="701"/>
      <c r="BL146" s="701"/>
      <c r="BM146" s="701"/>
      <c r="BN146" s="701"/>
      <c r="BO146" s="701"/>
      <c r="BP146" s="701"/>
      <c r="BQ146" s="701"/>
      <c r="BR146" s="701"/>
      <c r="BS146" s="701"/>
      <c r="BT146" s="701"/>
      <c r="BU146" s="701"/>
      <c r="BV146" s="682"/>
      <c r="BW146" s="686"/>
      <c r="BX146" s="686"/>
      <c r="BY146" s="686"/>
      <c r="BZ146" s="690"/>
      <c r="CA146" s="176"/>
      <c r="CB146" s="682"/>
      <c r="CC146" s="682"/>
      <c r="CD146" s="682"/>
      <c r="CE146" s="682"/>
      <c r="CF146" s="682"/>
      <c r="CG146" s="682"/>
    </row>
    <row r="147" spans="1:86" outlineLevel="1" x14ac:dyDescent="0.35">
      <c r="A147" s="687"/>
      <c r="B147" s="1290"/>
      <c r="C147" s="694" t="str">
        <f>$B$145&amp;" - "&amp;D147</f>
        <v>Maquinaria agrícola e florestal - Gás Natural</v>
      </c>
      <c r="D147" s="694" t="str">
        <f>B47</f>
        <v>Gás Natural</v>
      </c>
      <c r="E147" s="694" t="str">
        <f t="shared" si="2"/>
        <v>m3</v>
      </c>
      <c r="F147" s="875">
        <f t="shared" si="3"/>
        <v>2.4295207639999994</v>
      </c>
      <c r="G147" s="694" t="s">
        <v>707</v>
      </c>
      <c r="H147" s="874">
        <f t="shared" si="4"/>
        <v>0</v>
      </c>
      <c r="I147" s="694" t="s">
        <v>707</v>
      </c>
      <c r="J147" s="874">
        <f t="shared" si="5"/>
        <v>0</v>
      </c>
      <c r="K147" s="694" t="str">
        <f t="shared" si="6"/>
        <v>kg</v>
      </c>
      <c r="S147" s="176"/>
      <c r="T147" s="176"/>
      <c r="U147" s="176"/>
      <c r="V147" s="176"/>
      <c r="W147" s="176"/>
      <c r="X147" s="176"/>
      <c r="Y147" s="176"/>
      <c r="Z147" s="682"/>
      <c r="AA147" s="682"/>
      <c r="AB147" s="682"/>
      <c r="AC147" s="682"/>
      <c r="AD147" s="682"/>
      <c r="AE147" s="682"/>
      <c r="AF147" s="682"/>
      <c r="AG147" s="682"/>
      <c r="AH147" s="682"/>
      <c r="AI147" s="682"/>
      <c r="AJ147" s="682"/>
      <c r="AK147" s="176"/>
      <c r="AL147" s="176"/>
      <c r="AM147" s="701"/>
      <c r="AN147" s="701"/>
      <c r="AO147" s="701"/>
      <c r="AP147" s="701"/>
      <c r="AQ147" s="701"/>
      <c r="AR147" s="701"/>
      <c r="AS147" s="701"/>
      <c r="AT147" s="701"/>
      <c r="AU147" s="701"/>
      <c r="AV147" s="701"/>
      <c r="AW147" s="701"/>
      <c r="AX147" s="701"/>
      <c r="AY147" s="701"/>
      <c r="AZ147" s="701"/>
      <c r="BA147" s="701"/>
      <c r="BB147" s="701"/>
      <c r="BC147" s="701"/>
      <c r="BD147" s="701"/>
      <c r="BE147" s="701"/>
      <c r="BF147" s="701"/>
      <c r="BG147" s="701"/>
      <c r="BH147" s="701"/>
      <c r="BI147" s="701"/>
      <c r="BJ147" s="701"/>
      <c r="BK147" s="701"/>
      <c r="BL147" s="701"/>
      <c r="BM147" s="701"/>
      <c r="BN147" s="701"/>
      <c r="BO147" s="701"/>
      <c r="BP147" s="701"/>
      <c r="BQ147" s="701"/>
      <c r="BR147" s="701"/>
      <c r="BS147" s="701"/>
      <c r="BT147" s="701"/>
      <c r="BU147" s="701"/>
      <c r="BV147" s="682"/>
      <c r="BW147" s="686"/>
      <c r="BX147" s="686"/>
      <c r="BY147" s="686"/>
      <c r="BZ147" s="690"/>
      <c r="CA147" s="176"/>
      <c r="CB147" s="682"/>
      <c r="CC147" s="682"/>
      <c r="CD147" s="682"/>
      <c r="CE147" s="682"/>
      <c r="CF147" s="682"/>
      <c r="CG147" s="682"/>
    </row>
    <row r="148" spans="1:86" outlineLevel="1" x14ac:dyDescent="0.35">
      <c r="A148" s="687"/>
      <c r="B148" s="1290"/>
      <c r="C148" s="694" t="str">
        <f>$B$145&amp;" - "&amp;D148</f>
        <v>Maquinaria agrícola e florestal - Biodiesel</v>
      </c>
      <c r="D148" s="694" t="str">
        <f>B67</f>
        <v>Biodiesel</v>
      </c>
      <c r="E148" s="694" t="str">
        <f t="shared" si="2"/>
        <v>kg</v>
      </c>
      <c r="F148" s="875">
        <f t="shared" si="3"/>
        <v>1.9116</v>
      </c>
      <c r="G148" s="694" t="s">
        <v>707</v>
      </c>
      <c r="H148" s="874">
        <f t="shared" si="4"/>
        <v>7.2900000000000003E-9</v>
      </c>
      <c r="I148" s="694" t="s">
        <v>707</v>
      </c>
      <c r="J148" s="874">
        <f t="shared" si="5"/>
        <v>4.3739999999999996E-10</v>
      </c>
      <c r="K148" s="694" t="str">
        <f t="shared" si="6"/>
        <v>kg</v>
      </c>
      <c r="S148" s="176"/>
      <c r="T148" s="176"/>
      <c r="U148" s="176"/>
      <c r="V148" s="176"/>
      <c r="W148" s="176"/>
      <c r="X148" s="176"/>
      <c r="Y148" s="176"/>
      <c r="Z148" s="682"/>
      <c r="AA148" s="682"/>
      <c r="AB148" s="682"/>
      <c r="AC148" s="682"/>
      <c r="AD148" s="682"/>
      <c r="AE148" s="682"/>
      <c r="AF148" s="682"/>
      <c r="AG148" s="682"/>
      <c r="AH148" s="682"/>
      <c r="AI148" s="682"/>
      <c r="AJ148" s="682"/>
      <c r="AK148" s="176"/>
      <c r="AL148" s="176"/>
      <c r="AM148" s="701"/>
      <c r="AN148" s="701"/>
      <c r="AO148" s="701"/>
      <c r="AP148" s="701"/>
      <c r="AQ148" s="701"/>
      <c r="AR148" s="701"/>
      <c r="AS148" s="701"/>
      <c r="AT148" s="701"/>
      <c r="AU148" s="701"/>
      <c r="AV148" s="701"/>
      <c r="AW148" s="701"/>
      <c r="AX148" s="701"/>
      <c r="AY148" s="701"/>
      <c r="AZ148" s="701"/>
      <c r="BA148" s="701"/>
      <c r="BB148" s="701"/>
      <c r="BC148" s="701"/>
      <c r="BD148" s="701"/>
      <c r="BE148" s="701"/>
      <c r="BF148" s="701"/>
      <c r="BG148" s="701"/>
      <c r="BH148" s="701"/>
      <c r="BI148" s="701"/>
      <c r="BJ148" s="701"/>
      <c r="BK148" s="701"/>
      <c r="BL148" s="701"/>
      <c r="BM148" s="701"/>
      <c r="BN148" s="701"/>
      <c r="BO148" s="701"/>
      <c r="BP148" s="701"/>
      <c r="BQ148" s="701"/>
      <c r="BR148" s="701"/>
      <c r="BS148" s="701"/>
      <c r="BT148" s="701"/>
      <c r="BU148" s="701"/>
      <c r="BV148" s="682"/>
      <c r="BW148" s="686"/>
      <c r="BX148" s="686"/>
      <c r="BY148" s="686"/>
      <c r="BZ148" s="690"/>
      <c r="CA148" s="176"/>
      <c r="CB148" s="682"/>
      <c r="CC148" s="682"/>
      <c r="CD148" s="682"/>
      <c r="CE148" s="682"/>
      <c r="CF148" s="682"/>
      <c r="CG148" s="682"/>
    </row>
    <row r="149" spans="1:86" outlineLevel="1" x14ac:dyDescent="0.35">
      <c r="A149" s="687"/>
      <c r="B149" s="1282"/>
      <c r="C149" s="694" t="str">
        <f>$B$145&amp;" - "&amp;D149</f>
        <v>Maquinaria agrícola e florestal - Biogasolina</v>
      </c>
      <c r="D149" s="694" t="str">
        <f>B68</f>
        <v>Biogasolina</v>
      </c>
      <c r="E149" s="694" t="str">
        <f t="shared" si="2"/>
        <v>kg</v>
      </c>
      <c r="F149" s="875">
        <f t="shared" si="3"/>
        <v>1.9116</v>
      </c>
      <c r="G149" s="694" t="s">
        <v>707</v>
      </c>
      <c r="H149" s="874">
        <f t="shared" si="4"/>
        <v>7.2900000000000003E-9</v>
      </c>
      <c r="I149" s="694" t="s">
        <v>707</v>
      </c>
      <c r="J149" s="874">
        <f t="shared" si="5"/>
        <v>4.3739999999999996E-10</v>
      </c>
      <c r="K149" s="694" t="str">
        <f t="shared" si="6"/>
        <v>kg</v>
      </c>
      <c r="S149" s="176"/>
      <c r="T149" s="176"/>
      <c r="U149" s="176"/>
      <c r="V149" s="176"/>
      <c r="W149" s="176"/>
      <c r="X149" s="176"/>
      <c r="Y149" s="176"/>
      <c r="Z149" s="682"/>
      <c r="AA149" s="682"/>
      <c r="AB149" s="682"/>
      <c r="AC149" s="682"/>
      <c r="AD149" s="682"/>
      <c r="AE149" s="682"/>
      <c r="AF149" s="682"/>
      <c r="AG149" s="682"/>
      <c r="AH149" s="682"/>
      <c r="AI149" s="682"/>
      <c r="AJ149" s="682"/>
      <c r="AK149" s="176"/>
      <c r="AL149" s="176"/>
      <c r="AM149" s="701"/>
      <c r="AN149" s="701"/>
      <c r="AO149" s="701"/>
      <c r="AP149" s="701"/>
      <c r="AQ149" s="701"/>
      <c r="AR149" s="701"/>
      <c r="AS149" s="701"/>
      <c r="AT149" s="701"/>
      <c r="AU149" s="701"/>
      <c r="AV149" s="701"/>
      <c r="AW149" s="701"/>
      <c r="AX149" s="701"/>
      <c r="AY149" s="701"/>
      <c r="AZ149" s="701"/>
      <c r="BA149" s="701"/>
      <c r="BB149" s="701"/>
      <c r="BC149" s="701"/>
      <c r="BD149" s="701"/>
      <c r="BE149" s="701"/>
      <c r="BF149" s="701"/>
      <c r="BG149" s="701"/>
      <c r="BH149" s="701"/>
      <c r="BI149" s="701"/>
      <c r="BJ149" s="701"/>
      <c r="BK149" s="701"/>
      <c r="BL149" s="701"/>
      <c r="BM149" s="701"/>
      <c r="BN149" s="701"/>
      <c r="BO149" s="701"/>
      <c r="BP149" s="701"/>
      <c r="BQ149" s="701"/>
      <c r="BR149" s="701"/>
      <c r="BS149" s="701"/>
      <c r="BT149" s="701"/>
      <c r="BU149" s="701"/>
      <c r="BV149" s="682"/>
      <c r="BW149" s="686"/>
      <c r="BX149" s="686"/>
      <c r="BY149" s="686"/>
      <c r="BZ149" s="690"/>
      <c r="CA149" s="176"/>
      <c r="CB149" s="682"/>
      <c r="CC149" s="682"/>
      <c r="CD149" s="682"/>
      <c r="CE149" s="682"/>
      <c r="CF149" s="682"/>
      <c r="CG149" s="682"/>
    </row>
    <row r="150" spans="1:86" outlineLevel="1" x14ac:dyDescent="0.35">
      <c r="A150" s="687"/>
      <c r="B150" s="1291" t="s">
        <v>706</v>
      </c>
      <c r="C150" s="694" t="str">
        <f>$B$150&amp;" - "&amp;D150</f>
        <v>Maquinaria comercial, institucional - Gasóleo / óleo diesel (fuelóleo destilado)</v>
      </c>
      <c r="D150" s="393" t="str">
        <f>D145</f>
        <v>Gasóleo / óleo diesel (fuelóleo destilado)</v>
      </c>
      <c r="E150" s="694" t="str">
        <f t="shared" si="2"/>
        <v>Litros</v>
      </c>
      <c r="F150" s="875">
        <f t="shared" si="3"/>
        <v>2.6509464</v>
      </c>
      <c r="G150" s="694" t="s">
        <v>707</v>
      </c>
      <c r="H150" s="874">
        <f t="shared" si="4"/>
        <v>1.293948432E-11</v>
      </c>
      <c r="I150" s="694" t="s">
        <v>707</v>
      </c>
      <c r="J150" s="874">
        <f t="shared" si="5"/>
        <v>7.7636905919999992E-13</v>
      </c>
      <c r="K150" s="694" t="str">
        <f t="shared" si="6"/>
        <v>kg</v>
      </c>
      <c r="S150" s="176"/>
      <c r="T150" s="176"/>
      <c r="U150" s="176"/>
      <c r="V150" s="176"/>
      <c r="W150" s="176"/>
      <c r="X150" s="176"/>
      <c r="Y150" s="176"/>
      <c r="Z150" s="682"/>
      <c r="AA150" s="682"/>
      <c r="AB150" s="682"/>
      <c r="AC150" s="682"/>
      <c r="AD150" s="682"/>
      <c r="AE150" s="682"/>
      <c r="AF150" s="682"/>
      <c r="AG150" s="682"/>
      <c r="AH150" s="682"/>
      <c r="AI150" s="682"/>
      <c r="AJ150" s="682"/>
      <c r="AK150" s="176"/>
      <c r="AL150" s="176"/>
      <c r="AM150" s="701"/>
      <c r="AN150" s="701"/>
      <c r="AO150" s="701"/>
      <c r="AP150" s="701"/>
      <c r="AQ150" s="701"/>
      <c r="AR150" s="701"/>
      <c r="AS150" s="701"/>
      <c r="AT150" s="701"/>
      <c r="AU150" s="701"/>
      <c r="AV150" s="701"/>
      <c r="AW150" s="701"/>
      <c r="AX150" s="701"/>
      <c r="AY150" s="701"/>
      <c r="AZ150" s="701"/>
      <c r="BA150" s="701"/>
      <c r="BB150" s="701"/>
      <c r="BC150" s="701"/>
      <c r="BD150" s="701"/>
      <c r="BE150" s="701"/>
      <c r="BF150" s="701"/>
      <c r="BG150" s="701"/>
      <c r="BH150" s="701"/>
      <c r="BI150" s="701"/>
      <c r="BJ150" s="701"/>
      <c r="BK150" s="701"/>
      <c r="BL150" s="701"/>
      <c r="BM150" s="701"/>
      <c r="BN150" s="701"/>
      <c r="BO150" s="701"/>
      <c r="BP150" s="701"/>
      <c r="BQ150" s="701"/>
      <c r="BR150" s="701"/>
      <c r="BS150" s="701"/>
      <c r="BT150" s="701"/>
      <c r="BU150" s="701"/>
      <c r="BV150" s="682"/>
      <c r="BW150" s="686"/>
      <c r="BX150" s="686"/>
      <c r="BY150" s="686"/>
      <c r="BZ150" s="690"/>
      <c r="CA150" s="176"/>
      <c r="CB150" s="682"/>
      <c r="CC150" s="682"/>
      <c r="CD150" s="682"/>
      <c r="CE150" s="682"/>
      <c r="CF150" s="682"/>
      <c r="CG150" s="682"/>
    </row>
    <row r="151" spans="1:86" outlineLevel="1" x14ac:dyDescent="0.35">
      <c r="A151" s="687"/>
      <c r="B151" s="1292"/>
      <c r="C151" s="694" t="str">
        <f>$B$150&amp;" - "&amp;D151</f>
        <v>Maquinaria comercial, institucional - Gasolina para motores</v>
      </c>
      <c r="D151" s="393" t="str">
        <f t="shared" ref="D151:D159" si="7">D146</f>
        <v>Gasolina para motores</v>
      </c>
      <c r="E151" s="694" t="str">
        <f t="shared" si="2"/>
        <v>Litros</v>
      </c>
      <c r="F151" s="875">
        <f t="shared" si="3"/>
        <v>2.3018515000000002</v>
      </c>
      <c r="G151" s="694" t="s">
        <v>707</v>
      </c>
      <c r="H151" s="874">
        <f t="shared" si="4"/>
        <v>1.0904522525E-11</v>
      </c>
      <c r="I151" s="694" t="s">
        <v>707</v>
      </c>
      <c r="J151" s="874">
        <f t="shared" si="5"/>
        <v>6.5427135149999992E-13</v>
      </c>
      <c r="K151" s="694" t="str">
        <f t="shared" si="6"/>
        <v>kg</v>
      </c>
      <c r="S151" s="176"/>
      <c r="T151" s="176"/>
      <c r="U151" s="176"/>
      <c r="V151" s="176"/>
      <c r="W151" s="176"/>
      <c r="X151" s="176"/>
      <c r="Y151" s="176"/>
      <c r="Z151" s="682"/>
      <c r="AA151" s="682"/>
      <c r="AB151" s="682"/>
      <c r="AC151" s="682"/>
      <c r="AD151" s="682"/>
      <c r="AE151" s="682"/>
      <c r="AF151" s="682"/>
      <c r="AG151" s="682"/>
      <c r="AH151" s="682"/>
      <c r="AI151" s="682"/>
      <c r="AJ151" s="682"/>
      <c r="AK151" s="176"/>
      <c r="AL151" s="176"/>
      <c r="AM151" s="701"/>
      <c r="AN151" s="701"/>
      <c r="AO151" s="701"/>
      <c r="AP151" s="701"/>
      <c r="AQ151" s="701"/>
      <c r="AR151" s="701"/>
      <c r="AS151" s="701"/>
      <c r="AT151" s="701"/>
      <c r="AU151" s="701"/>
      <c r="AV151" s="701"/>
      <c r="AW151" s="701"/>
      <c r="AX151" s="701"/>
      <c r="AY151" s="701"/>
      <c r="AZ151" s="701"/>
      <c r="BA151" s="701"/>
      <c r="BB151" s="701"/>
      <c r="BC151" s="701"/>
      <c r="BD151" s="701"/>
      <c r="BE151" s="701"/>
      <c r="BF151" s="701"/>
      <c r="BG151" s="701"/>
      <c r="BH151" s="701"/>
      <c r="BI151" s="701"/>
      <c r="BJ151" s="701"/>
      <c r="BK151" s="701"/>
      <c r="BL151" s="701"/>
      <c r="BM151" s="701"/>
      <c r="BN151" s="701"/>
      <c r="BO151" s="701"/>
      <c r="BP151" s="701"/>
      <c r="BQ151" s="701"/>
      <c r="BR151" s="701"/>
      <c r="BS151" s="701"/>
      <c r="BT151" s="701"/>
      <c r="BU151" s="701"/>
      <c r="BV151" s="682"/>
      <c r="BW151" s="686"/>
      <c r="BX151" s="686"/>
      <c r="BY151" s="686"/>
      <c r="BZ151" s="690"/>
      <c r="CA151" s="176"/>
      <c r="CB151" s="682"/>
      <c r="CC151" s="682"/>
      <c r="CD151" s="682"/>
      <c r="CE151" s="682"/>
      <c r="CF151" s="682"/>
      <c r="CG151" s="682"/>
    </row>
    <row r="152" spans="1:86" outlineLevel="1" x14ac:dyDescent="0.35">
      <c r="A152" s="687"/>
      <c r="B152" s="1292"/>
      <c r="C152" s="694" t="str">
        <f>$B$150&amp;" - "&amp;D152</f>
        <v>Maquinaria comercial, institucional - Gás Natural</v>
      </c>
      <c r="D152" s="393" t="str">
        <f t="shared" si="7"/>
        <v>Gás Natural</v>
      </c>
      <c r="E152" s="694" t="str">
        <f t="shared" si="2"/>
        <v>m3</v>
      </c>
      <c r="F152" s="875">
        <f t="shared" si="3"/>
        <v>2.4295207639999994</v>
      </c>
      <c r="G152" s="694" t="s">
        <v>707</v>
      </c>
      <c r="H152" s="874">
        <f t="shared" si="4"/>
        <v>0</v>
      </c>
      <c r="I152" s="694" t="s">
        <v>707</v>
      </c>
      <c r="J152" s="874">
        <f t="shared" si="5"/>
        <v>0</v>
      </c>
      <c r="K152" s="694" t="str">
        <f t="shared" si="6"/>
        <v>kg</v>
      </c>
      <c r="S152" s="176"/>
      <c r="T152" s="176"/>
      <c r="U152" s="176"/>
      <c r="V152" s="176"/>
      <c r="W152" s="176"/>
      <c r="X152" s="176"/>
      <c r="Y152" s="176"/>
      <c r="Z152" s="682"/>
      <c r="AA152" s="682"/>
      <c r="AB152" s="682"/>
      <c r="AC152" s="682"/>
      <c r="AD152" s="682"/>
      <c r="AE152" s="682"/>
      <c r="AF152" s="682"/>
      <c r="AG152" s="682"/>
      <c r="AH152" s="682"/>
      <c r="AI152" s="682"/>
      <c r="AJ152" s="682"/>
      <c r="AK152" s="176"/>
      <c r="AL152" s="176"/>
      <c r="AM152" s="701"/>
      <c r="AN152" s="701"/>
      <c r="AO152" s="701"/>
      <c r="AP152" s="701"/>
      <c r="AQ152" s="701"/>
      <c r="AR152" s="701"/>
      <c r="AS152" s="701"/>
      <c r="AT152" s="701"/>
      <c r="AU152" s="701"/>
      <c r="AV152" s="701"/>
      <c r="AW152" s="701"/>
      <c r="AX152" s="701"/>
      <c r="AY152" s="701"/>
      <c r="AZ152" s="701"/>
      <c r="BA152" s="701"/>
      <c r="BB152" s="701"/>
      <c r="BC152" s="701"/>
      <c r="BD152" s="701"/>
      <c r="BE152" s="701"/>
      <c r="BF152" s="701"/>
      <c r="BG152" s="701"/>
      <c r="BH152" s="701"/>
      <c r="BI152" s="701"/>
      <c r="BJ152" s="701"/>
      <c r="BK152" s="701"/>
      <c r="BL152" s="701"/>
      <c r="BM152" s="701"/>
      <c r="BN152" s="701"/>
      <c r="BO152" s="701"/>
      <c r="BP152" s="701"/>
      <c r="BQ152" s="701"/>
      <c r="BR152" s="701"/>
      <c r="BS152" s="701"/>
      <c r="BT152" s="701"/>
      <c r="BU152" s="701"/>
      <c r="BV152" s="682"/>
      <c r="BW152" s="686"/>
      <c r="BX152" s="686"/>
      <c r="BY152" s="686"/>
      <c r="BZ152" s="690"/>
      <c r="CA152" s="176"/>
      <c r="CB152" s="682"/>
      <c r="CC152" s="682"/>
      <c r="CD152" s="682"/>
      <c r="CE152" s="682"/>
      <c r="CF152" s="682"/>
      <c r="CG152" s="682"/>
    </row>
    <row r="153" spans="1:86" outlineLevel="1" x14ac:dyDescent="0.35">
      <c r="A153" s="687"/>
      <c r="B153" s="1292"/>
      <c r="C153" s="694" t="str">
        <f>$B$150&amp;" - "&amp;D153</f>
        <v>Maquinaria comercial, institucional - Biodiesel</v>
      </c>
      <c r="D153" s="393" t="str">
        <f t="shared" si="7"/>
        <v>Biodiesel</v>
      </c>
      <c r="E153" s="694" t="str">
        <f t="shared" si="2"/>
        <v>kg</v>
      </c>
      <c r="F153" s="875">
        <f t="shared" si="3"/>
        <v>1.9116</v>
      </c>
      <c r="G153" s="694" t="s">
        <v>707</v>
      </c>
      <c r="H153" s="874">
        <f t="shared" si="4"/>
        <v>7.2900000000000003E-9</v>
      </c>
      <c r="I153" s="694" t="s">
        <v>707</v>
      </c>
      <c r="J153" s="874">
        <f t="shared" si="5"/>
        <v>4.3739999999999996E-10</v>
      </c>
      <c r="K153" s="694" t="str">
        <f t="shared" si="6"/>
        <v>kg</v>
      </c>
      <c r="S153" s="176"/>
      <c r="T153" s="176"/>
      <c r="U153" s="176"/>
      <c r="V153" s="176"/>
      <c r="W153" s="176"/>
      <c r="X153" s="176"/>
      <c r="Y153" s="176"/>
      <c r="Z153" s="682"/>
      <c r="AA153" s="682"/>
      <c r="AB153" s="682"/>
      <c r="AC153" s="682"/>
      <c r="AD153" s="682"/>
      <c r="AE153" s="682"/>
      <c r="AF153" s="682"/>
      <c r="AG153" s="682"/>
      <c r="AH153" s="682"/>
      <c r="AI153" s="682"/>
      <c r="AJ153" s="682"/>
      <c r="AK153" s="176"/>
      <c r="AL153" s="176"/>
      <c r="AM153" s="701"/>
      <c r="AN153" s="701"/>
      <c r="AO153" s="701"/>
      <c r="AP153" s="701"/>
      <c r="AQ153" s="701"/>
      <c r="AR153" s="701"/>
      <c r="AS153" s="701"/>
      <c r="AT153" s="701"/>
      <c r="AU153" s="701"/>
      <c r="AV153" s="701"/>
      <c r="AW153" s="701"/>
      <c r="AX153" s="701"/>
      <c r="AY153" s="701"/>
      <c r="AZ153" s="701"/>
      <c r="BA153" s="701"/>
      <c r="BB153" s="701"/>
      <c r="BC153" s="701"/>
      <c r="BD153" s="701"/>
      <c r="BE153" s="701"/>
      <c r="BF153" s="701"/>
      <c r="BG153" s="701"/>
      <c r="BH153" s="701"/>
      <c r="BI153" s="701"/>
      <c r="BJ153" s="701"/>
      <c r="BK153" s="701"/>
      <c r="BL153" s="701"/>
      <c r="BM153" s="701"/>
      <c r="BN153" s="701"/>
      <c r="BO153" s="701"/>
      <c r="BP153" s="701"/>
      <c r="BQ153" s="701"/>
      <c r="BR153" s="701"/>
      <c r="BS153" s="701"/>
      <c r="BT153" s="701"/>
      <c r="BU153" s="701"/>
      <c r="BV153" s="682"/>
      <c r="BW153" s="686"/>
      <c r="BX153" s="686"/>
      <c r="BY153" s="686"/>
      <c r="BZ153" s="690"/>
      <c r="CA153" s="176"/>
      <c r="CB153" s="682"/>
      <c r="CC153" s="682"/>
      <c r="CD153" s="682"/>
      <c r="CE153" s="682"/>
      <c r="CF153" s="682"/>
      <c r="CG153" s="682"/>
    </row>
    <row r="154" spans="1:86" outlineLevel="1" x14ac:dyDescent="0.35">
      <c r="A154" s="687"/>
      <c r="B154" s="1293"/>
      <c r="C154" s="694" t="str">
        <f>$B$150&amp;" - "&amp;D154</f>
        <v>Maquinaria comercial, institucional - Biogasolina</v>
      </c>
      <c r="D154" s="393" t="str">
        <f t="shared" si="7"/>
        <v>Biogasolina</v>
      </c>
      <c r="E154" s="694" t="str">
        <f t="shared" si="2"/>
        <v>kg</v>
      </c>
      <c r="F154" s="875">
        <f t="shared" si="3"/>
        <v>1.9116</v>
      </c>
      <c r="G154" s="694" t="s">
        <v>707</v>
      </c>
      <c r="H154" s="874">
        <f t="shared" si="4"/>
        <v>7.2900000000000003E-9</v>
      </c>
      <c r="I154" s="694" t="s">
        <v>707</v>
      </c>
      <c r="J154" s="874">
        <f t="shared" si="5"/>
        <v>4.3739999999999996E-10</v>
      </c>
      <c r="K154" s="694" t="str">
        <f t="shared" si="6"/>
        <v>kg</v>
      </c>
      <c r="S154" s="176"/>
      <c r="T154" s="176"/>
      <c r="U154" s="176"/>
      <c r="V154" s="176"/>
      <c r="W154" s="176"/>
      <c r="X154" s="176"/>
      <c r="Y154" s="176"/>
      <c r="Z154" s="682"/>
      <c r="AA154" s="682"/>
      <c r="AB154" s="682"/>
      <c r="AC154" s="682"/>
      <c r="AD154" s="682"/>
      <c r="AE154" s="682"/>
      <c r="AF154" s="682"/>
      <c r="AG154" s="682"/>
      <c r="AH154" s="682"/>
      <c r="AI154" s="682"/>
      <c r="AJ154" s="682"/>
      <c r="AK154" s="176"/>
      <c r="AL154" s="176"/>
      <c r="AM154" s="701"/>
      <c r="AN154" s="701"/>
      <c r="AO154" s="701"/>
      <c r="AP154" s="701"/>
      <c r="AQ154" s="701"/>
      <c r="AR154" s="701"/>
      <c r="AS154" s="701"/>
      <c r="AT154" s="701"/>
      <c r="AU154" s="701"/>
      <c r="AV154" s="701"/>
      <c r="AW154" s="701"/>
      <c r="AX154" s="701"/>
      <c r="AY154" s="701"/>
      <c r="AZ154" s="701"/>
      <c r="BA154" s="701"/>
      <c r="BB154" s="701"/>
      <c r="BC154" s="701"/>
      <c r="BD154" s="701"/>
      <c r="BE154" s="701"/>
      <c r="BF154" s="701"/>
      <c r="BG154" s="701"/>
      <c r="BH154" s="701"/>
      <c r="BI154" s="701"/>
      <c r="BJ154" s="701"/>
      <c r="BK154" s="701"/>
      <c r="BL154" s="701"/>
      <c r="BM154" s="701"/>
      <c r="BN154" s="701"/>
      <c r="BO154" s="701"/>
      <c r="BP154" s="701"/>
      <c r="BQ154" s="701"/>
      <c r="BR154" s="701"/>
      <c r="BS154" s="701"/>
      <c r="BT154" s="701"/>
      <c r="BU154" s="701"/>
      <c r="BV154" s="682"/>
      <c r="BW154" s="686"/>
      <c r="BX154" s="686"/>
      <c r="BY154" s="686"/>
      <c r="BZ154" s="690"/>
      <c r="CA154" s="176"/>
      <c r="CB154" s="682"/>
      <c r="CC154" s="682"/>
      <c r="CD154" s="682"/>
      <c r="CE154" s="682"/>
      <c r="CF154" s="682"/>
      <c r="CG154" s="682"/>
    </row>
    <row r="155" spans="1:86" outlineLevel="1" x14ac:dyDescent="0.35">
      <c r="A155" s="687"/>
      <c r="B155" s="1291" t="s">
        <v>704</v>
      </c>
      <c r="C155" s="694" t="str">
        <f>$B$155&amp;" - "&amp;D155</f>
        <v>Maquinaria industrial - Gasóleo / óleo diesel (fuelóleo destilado)</v>
      </c>
      <c r="D155" s="393" t="str">
        <f t="shared" si="7"/>
        <v>Gasóleo / óleo diesel (fuelóleo destilado)</v>
      </c>
      <c r="E155" s="694" t="str">
        <f t="shared" si="2"/>
        <v>Litros</v>
      </c>
      <c r="F155" s="875">
        <f t="shared" si="3"/>
        <v>2.6509464</v>
      </c>
      <c r="G155" s="694" t="s">
        <v>707</v>
      </c>
      <c r="H155" s="874">
        <f t="shared" si="4"/>
        <v>1.293948432E-11</v>
      </c>
      <c r="I155" s="694" t="s">
        <v>707</v>
      </c>
      <c r="J155" s="874">
        <f t="shared" si="5"/>
        <v>7.7636905919999992E-13</v>
      </c>
      <c r="K155" s="694" t="str">
        <f t="shared" si="6"/>
        <v>kg</v>
      </c>
      <c r="S155" s="176"/>
      <c r="T155" s="176"/>
      <c r="U155" s="176"/>
      <c r="V155" s="176"/>
      <c r="W155" s="176"/>
      <c r="X155" s="176"/>
      <c r="Y155" s="176"/>
      <c r="Z155" s="682"/>
      <c r="AA155" s="682"/>
      <c r="AB155" s="682"/>
      <c r="AC155" s="682"/>
      <c r="AD155" s="682"/>
      <c r="AE155" s="682"/>
      <c r="AF155" s="682"/>
      <c r="AG155" s="682"/>
      <c r="AH155" s="682"/>
      <c r="AI155" s="682"/>
      <c r="AJ155" s="682"/>
      <c r="AK155" s="176"/>
      <c r="AL155" s="176"/>
      <c r="AM155" s="701"/>
      <c r="AN155" s="701"/>
      <c r="AO155" s="701"/>
      <c r="AP155" s="701"/>
      <c r="AQ155" s="701"/>
      <c r="AR155" s="701"/>
      <c r="AS155" s="701"/>
      <c r="AT155" s="701"/>
      <c r="AU155" s="701"/>
      <c r="AV155" s="701"/>
      <c r="AW155" s="701"/>
      <c r="AX155" s="701"/>
      <c r="AY155" s="701"/>
      <c r="AZ155" s="701"/>
      <c r="BA155" s="701"/>
      <c r="BB155" s="701"/>
      <c r="BC155" s="701"/>
      <c r="BD155" s="701"/>
      <c r="BE155" s="701"/>
      <c r="BF155" s="701"/>
      <c r="BG155" s="701"/>
      <c r="BH155" s="701"/>
      <c r="BI155" s="701"/>
      <c r="BJ155" s="701"/>
      <c r="BK155" s="701"/>
      <c r="BL155" s="701"/>
      <c r="BM155" s="701"/>
      <c r="BN155" s="701"/>
      <c r="BO155" s="701"/>
      <c r="BP155" s="701"/>
      <c r="BQ155" s="701"/>
      <c r="BR155" s="701"/>
      <c r="BS155" s="701"/>
      <c r="BT155" s="701"/>
      <c r="BU155" s="701"/>
      <c r="BV155" s="682"/>
      <c r="BW155" s="686"/>
      <c r="BX155" s="686"/>
      <c r="BY155" s="686"/>
      <c r="BZ155" s="690"/>
      <c r="CA155" s="176"/>
      <c r="CB155" s="682"/>
      <c r="CC155" s="682"/>
      <c r="CD155" s="682"/>
      <c r="CE155" s="682"/>
      <c r="CF155" s="682"/>
      <c r="CG155" s="682"/>
    </row>
    <row r="156" spans="1:86" outlineLevel="1" x14ac:dyDescent="0.35">
      <c r="A156" s="687"/>
      <c r="B156" s="1292"/>
      <c r="C156" s="694" t="str">
        <f>$B$155&amp;" - "&amp;D156</f>
        <v>Maquinaria industrial - Gasolina para motores</v>
      </c>
      <c r="D156" s="393" t="str">
        <f t="shared" si="7"/>
        <v>Gasolina para motores</v>
      </c>
      <c r="E156" s="694" t="str">
        <f t="shared" si="2"/>
        <v>Litros</v>
      </c>
      <c r="F156" s="875">
        <f t="shared" si="3"/>
        <v>2.3018515000000002</v>
      </c>
      <c r="G156" s="694" t="s">
        <v>707</v>
      </c>
      <c r="H156" s="874">
        <f t="shared" si="4"/>
        <v>1.0904522525E-11</v>
      </c>
      <c r="I156" s="694" t="s">
        <v>707</v>
      </c>
      <c r="J156" s="874">
        <f t="shared" si="5"/>
        <v>6.5427135149999992E-13</v>
      </c>
      <c r="K156" s="694" t="str">
        <f t="shared" si="6"/>
        <v>kg</v>
      </c>
      <c r="S156" s="176"/>
      <c r="T156" s="176"/>
      <c r="U156" s="176"/>
      <c r="V156" s="176"/>
      <c r="W156" s="176"/>
      <c r="X156" s="176"/>
      <c r="Y156" s="176"/>
      <c r="Z156" s="682"/>
      <c r="AA156" s="682"/>
      <c r="AB156" s="682"/>
      <c r="AC156" s="682"/>
      <c r="AD156" s="682"/>
      <c r="AE156" s="682"/>
      <c r="AF156" s="682"/>
      <c r="AG156" s="682"/>
      <c r="AH156" s="682"/>
      <c r="AI156" s="682"/>
      <c r="AJ156" s="682"/>
      <c r="AK156" s="176"/>
      <c r="AL156" s="176"/>
      <c r="AM156" s="701"/>
      <c r="AN156" s="701"/>
      <c r="AO156" s="701"/>
      <c r="AP156" s="701"/>
      <c r="AQ156" s="701"/>
      <c r="AR156" s="701"/>
      <c r="AS156" s="701"/>
      <c r="AT156" s="701"/>
      <c r="AU156" s="701"/>
      <c r="AV156" s="701"/>
      <c r="AW156" s="701"/>
      <c r="AX156" s="701"/>
      <c r="AY156" s="701"/>
      <c r="AZ156" s="701"/>
      <c r="BA156" s="701"/>
      <c r="BB156" s="701"/>
      <c r="BC156" s="701"/>
      <c r="BD156" s="701"/>
      <c r="BE156" s="701"/>
      <c r="BF156" s="701"/>
      <c r="BG156" s="701"/>
      <c r="BH156" s="701"/>
      <c r="BI156" s="701"/>
      <c r="BJ156" s="701"/>
      <c r="BK156" s="701"/>
      <c r="BL156" s="701"/>
      <c r="BM156" s="701"/>
      <c r="BN156" s="701"/>
      <c r="BO156" s="701"/>
      <c r="BP156" s="701"/>
      <c r="BQ156" s="701"/>
      <c r="BR156" s="701"/>
      <c r="BS156" s="701"/>
      <c r="BT156" s="701"/>
      <c r="BU156" s="701"/>
      <c r="BV156" s="682"/>
      <c r="BW156" s="686"/>
      <c r="BX156" s="686"/>
      <c r="BY156" s="686"/>
      <c r="BZ156" s="690"/>
      <c r="CA156" s="176"/>
      <c r="CB156" s="682"/>
      <c r="CC156" s="682"/>
      <c r="CD156" s="682"/>
      <c r="CE156" s="682"/>
      <c r="CF156" s="682"/>
      <c r="CG156" s="682"/>
    </row>
    <row r="157" spans="1:86" outlineLevel="1" x14ac:dyDescent="0.35">
      <c r="A157" s="687"/>
      <c r="B157" s="1292"/>
      <c r="C157" s="694" t="str">
        <f>$B$155&amp;" - "&amp;D157</f>
        <v>Maquinaria industrial - Gás Natural</v>
      </c>
      <c r="D157" s="393" t="str">
        <f t="shared" si="7"/>
        <v>Gás Natural</v>
      </c>
      <c r="E157" s="694" t="str">
        <f t="shared" si="2"/>
        <v>m3</v>
      </c>
      <c r="F157" s="875">
        <f t="shared" si="3"/>
        <v>2.4295207639999994</v>
      </c>
      <c r="G157" s="694" t="s">
        <v>707</v>
      </c>
      <c r="H157" s="874">
        <f t="shared" si="4"/>
        <v>0</v>
      </c>
      <c r="I157" s="694" t="s">
        <v>707</v>
      </c>
      <c r="J157" s="874">
        <f t="shared" si="5"/>
        <v>0</v>
      </c>
      <c r="K157" s="694" t="str">
        <f t="shared" si="6"/>
        <v>kg</v>
      </c>
      <c r="S157" s="176"/>
      <c r="T157" s="176"/>
      <c r="U157" s="176"/>
      <c r="V157" s="176"/>
      <c r="W157" s="176"/>
      <c r="X157" s="176"/>
      <c r="Y157" s="176"/>
      <c r="Z157" s="682"/>
      <c r="AA157" s="682"/>
      <c r="AB157" s="682"/>
      <c r="AC157" s="682"/>
      <c r="AD157" s="682"/>
      <c r="AE157" s="682"/>
      <c r="AF157" s="682"/>
      <c r="AG157" s="682"/>
      <c r="AH157" s="682"/>
      <c r="AI157" s="682"/>
      <c r="AJ157" s="682"/>
      <c r="AK157" s="176"/>
      <c r="AL157" s="176"/>
      <c r="AM157" s="701"/>
      <c r="AN157" s="701"/>
      <c r="AO157" s="701"/>
      <c r="AP157" s="701"/>
      <c r="AQ157" s="701"/>
      <c r="AR157" s="701"/>
      <c r="AS157" s="701"/>
      <c r="AT157" s="701"/>
      <c r="AU157" s="701"/>
      <c r="AV157" s="701"/>
      <c r="AW157" s="701"/>
      <c r="AX157" s="701"/>
      <c r="AY157" s="701"/>
      <c r="AZ157" s="701"/>
      <c r="BA157" s="701"/>
      <c r="BB157" s="701"/>
      <c r="BC157" s="701"/>
      <c r="BD157" s="701"/>
      <c r="BE157" s="701"/>
      <c r="BF157" s="701"/>
      <c r="BG157" s="701"/>
      <c r="BH157" s="701"/>
      <c r="BI157" s="701"/>
      <c r="BJ157" s="701"/>
      <c r="BK157" s="701"/>
      <c r="BL157" s="701"/>
      <c r="BM157" s="701"/>
      <c r="BN157" s="701"/>
      <c r="BO157" s="701"/>
      <c r="BP157" s="701"/>
      <c r="BQ157" s="701"/>
      <c r="BR157" s="701"/>
      <c r="BS157" s="701"/>
      <c r="BT157" s="701"/>
      <c r="BU157" s="701"/>
      <c r="BV157" s="682"/>
      <c r="BW157" s="686"/>
      <c r="BX157" s="686"/>
      <c r="BY157" s="686"/>
      <c r="BZ157" s="690"/>
      <c r="CA157" s="176"/>
      <c r="CB157" s="682"/>
      <c r="CC157" s="682"/>
      <c r="CD157" s="682"/>
      <c r="CE157" s="682"/>
      <c r="CF157" s="682"/>
      <c r="CG157" s="682"/>
    </row>
    <row r="158" spans="1:86" outlineLevel="1" x14ac:dyDescent="0.35">
      <c r="A158" s="687"/>
      <c r="B158" s="1292"/>
      <c r="C158" s="694" t="str">
        <f>$B$155&amp;" - "&amp;D158</f>
        <v>Maquinaria industrial - Biodiesel</v>
      </c>
      <c r="D158" s="393" t="str">
        <f t="shared" si="7"/>
        <v>Biodiesel</v>
      </c>
      <c r="E158" s="694" t="str">
        <f t="shared" si="2"/>
        <v>kg</v>
      </c>
      <c r="F158" s="875">
        <f t="shared" si="3"/>
        <v>1.9116</v>
      </c>
      <c r="G158" s="694" t="s">
        <v>707</v>
      </c>
      <c r="H158" s="874">
        <f t="shared" si="4"/>
        <v>7.2900000000000003E-9</v>
      </c>
      <c r="I158" s="694" t="s">
        <v>707</v>
      </c>
      <c r="J158" s="874">
        <f t="shared" si="5"/>
        <v>4.3739999999999996E-10</v>
      </c>
      <c r="K158" s="694" t="str">
        <f t="shared" si="6"/>
        <v>kg</v>
      </c>
      <c r="S158" s="176"/>
      <c r="T158" s="176"/>
      <c r="U158" s="176"/>
      <c r="V158" s="176"/>
      <c r="W158" s="176"/>
      <c r="X158" s="176"/>
      <c r="Y158" s="176"/>
      <c r="Z158" s="682"/>
      <c r="AA158" s="682"/>
      <c r="AB158" s="682"/>
      <c r="AC158" s="682"/>
      <c r="AD158" s="682"/>
      <c r="AE158" s="682"/>
      <c r="AF158" s="682"/>
      <c r="AG158" s="682"/>
      <c r="AH158" s="682"/>
      <c r="AI158" s="682"/>
      <c r="AJ158" s="682"/>
      <c r="AK158" s="176"/>
      <c r="AL158" s="176"/>
      <c r="AM158" s="701"/>
      <c r="AN158" s="701"/>
      <c r="AO158" s="701"/>
      <c r="AP158" s="701"/>
      <c r="AQ158" s="701"/>
      <c r="AR158" s="701"/>
      <c r="AS158" s="701"/>
      <c r="AT158" s="701"/>
      <c r="AU158" s="701"/>
      <c r="AV158" s="701"/>
      <c r="AW158" s="701"/>
      <c r="AX158" s="701"/>
      <c r="AY158" s="701"/>
      <c r="AZ158" s="701"/>
      <c r="BA158" s="701"/>
      <c r="BB158" s="701"/>
      <c r="BC158" s="701"/>
      <c r="BD158" s="701"/>
      <c r="BE158" s="701"/>
      <c r="BF158" s="701"/>
      <c r="BG158" s="701"/>
      <c r="BH158" s="701"/>
      <c r="BI158" s="701"/>
      <c r="BJ158" s="701"/>
      <c r="BK158" s="701"/>
      <c r="BL158" s="701"/>
      <c r="BM158" s="701"/>
      <c r="BN158" s="701"/>
      <c r="BO158" s="701"/>
      <c r="BP158" s="701"/>
      <c r="BQ158" s="701"/>
      <c r="BR158" s="701"/>
      <c r="BS158" s="701"/>
      <c r="BT158" s="701"/>
      <c r="BU158" s="701"/>
      <c r="BV158" s="682"/>
      <c r="BW158" s="686"/>
      <c r="BX158" s="686"/>
      <c r="BY158" s="686"/>
      <c r="BZ158" s="690"/>
      <c r="CA158" s="176"/>
      <c r="CB158" s="682"/>
      <c r="CC158" s="682"/>
      <c r="CD158" s="682"/>
      <c r="CE158" s="682"/>
      <c r="CF158" s="682"/>
      <c r="CG158" s="682"/>
    </row>
    <row r="159" spans="1:86" outlineLevel="1" x14ac:dyDescent="0.35">
      <c r="A159" s="687"/>
      <c r="B159" s="1293"/>
      <c r="C159" s="694" t="str">
        <f>$B$155&amp;" - "&amp;D159</f>
        <v>Maquinaria industrial - Biogasolina</v>
      </c>
      <c r="D159" s="393" t="str">
        <f t="shared" si="7"/>
        <v>Biogasolina</v>
      </c>
      <c r="E159" s="694" t="str">
        <f t="shared" si="2"/>
        <v>kg</v>
      </c>
      <c r="F159" s="875">
        <f t="shared" si="3"/>
        <v>1.9116</v>
      </c>
      <c r="G159" s="694" t="s">
        <v>707</v>
      </c>
      <c r="H159" s="874">
        <f t="shared" si="4"/>
        <v>7.2900000000000003E-9</v>
      </c>
      <c r="I159" s="694" t="s">
        <v>707</v>
      </c>
      <c r="J159" s="874">
        <f t="shared" si="5"/>
        <v>4.3739999999999996E-10</v>
      </c>
      <c r="K159" s="694" t="str">
        <f t="shared" si="6"/>
        <v>kg</v>
      </c>
      <c r="S159" s="687"/>
      <c r="T159" s="687"/>
      <c r="U159" s="687"/>
      <c r="V159" s="687"/>
      <c r="W159" s="687"/>
      <c r="X159" s="687"/>
      <c r="Y159" s="687"/>
      <c r="Z159" s="687"/>
      <c r="AA159" s="687"/>
      <c r="AB159" s="687"/>
      <c r="AC159" s="687"/>
      <c r="AD159" s="687"/>
      <c r="AE159" s="687"/>
      <c r="AF159" s="687"/>
      <c r="AG159" s="687"/>
      <c r="AH159" s="687"/>
      <c r="AI159" s="687"/>
      <c r="AJ159" s="687"/>
      <c r="AK159" s="687"/>
      <c r="AL159" s="687"/>
      <c r="AM159" s="687"/>
      <c r="AN159" s="687"/>
      <c r="AO159" s="687"/>
      <c r="AP159" s="687"/>
      <c r="AQ159" s="687"/>
      <c r="AR159" s="687"/>
      <c r="AS159" s="687"/>
      <c r="AT159" s="687"/>
      <c r="AU159" s="687"/>
      <c r="AV159" s="687"/>
      <c r="AW159" s="687"/>
      <c r="AX159" s="687"/>
      <c r="AY159" s="687"/>
      <c r="AZ159" s="687"/>
      <c r="BA159" s="687"/>
      <c r="BB159" s="687"/>
      <c r="BC159" s="687"/>
      <c r="BD159" s="687"/>
      <c r="BE159" s="687"/>
      <c r="BF159" s="687"/>
      <c r="BG159" s="687"/>
      <c r="BH159" s="687"/>
      <c r="BI159" s="687"/>
      <c r="BJ159" s="687"/>
      <c r="BK159" s="687"/>
      <c r="BL159" s="687"/>
      <c r="BM159" s="687"/>
      <c r="BN159" s="687"/>
      <c r="BO159" s="687"/>
      <c r="BP159" s="687"/>
      <c r="BQ159" s="687"/>
      <c r="BR159" s="687"/>
      <c r="BS159" s="687"/>
      <c r="BT159" s="687"/>
      <c r="BU159" s="687"/>
      <c r="BV159" s="687"/>
      <c r="BW159" s="690"/>
      <c r="BX159" s="690"/>
      <c r="BY159" s="690"/>
      <c r="BZ159" s="690"/>
      <c r="CA159" s="687"/>
      <c r="CB159" s="687"/>
      <c r="CC159" s="687"/>
      <c r="CD159" s="687"/>
      <c r="CE159" s="687"/>
      <c r="CF159" s="687"/>
      <c r="CG159" s="687"/>
    </row>
    <row r="160" spans="1:86" ht="21.4" customHeight="1" x14ac:dyDescent="0.35">
      <c r="A160" s="176"/>
      <c r="B160" s="176"/>
      <c r="C160" s="713"/>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H160" s="176"/>
      <c r="AI160" s="176"/>
      <c r="AJ160" s="176"/>
      <c r="AK160" s="176"/>
      <c r="AL160" s="176"/>
      <c r="AM160" s="176"/>
      <c r="AN160" s="176"/>
      <c r="AO160" s="176"/>
      <c r="AP160" s="176"/>
      <c r="AQ160" s="176"/>
      <c r="AR160" s="176"/>
      <c r="AS160" s="176"/>
      <c r="AT160" s="176"/>
      <c r="AU160" s="176"/>
      <c r="AV160" s="176"/>
      <c r="AW160" s="176"/>
      <c r="AX160" s="176"/>
      <c r="AY160" s="176"/>
      <c r="AZ160" s="176"/>
      <c r="BA160" s="176"/>
      <c r="BB160" s="176"/>
      <c r="BC160" s="176"/>
      <c r="BD160" s="176"/>
      <c r="BE160" s="176"/>
      <c r="BF160" s="176"/>
      <c r="BG160" s="176"/>
      <c r="BH160" s="176"/>
      <c r="BI160" s="176"/>
      <c r="BJ160" s="176"/>
      <c r="BK160" s="176"/>
      <c r="BL160" s="176"/>
      <c r="BM160" s="176"/>
      <c r="BN160" s="176"/>
      <c r="BO160" s="176"/>
      <c r="BP160" s="176"/>
      <c r="BQ160" s="176"/>
      <c r="BR160" s="176"/>
      <c r="BS160" s="176"/>
      <c r="BT160" s="176"/>
      <c r="BU160" s="176"/>
      <c r="BV160" s="176"/>
      <c r="BW160" s="176"/>
      <c r="BX160" s="176"/>
      <c r="BY160" s="176"/>
      <c r="BZ160" s="176"/>
      <c r="CA160" s="176"/>
      <c r="CB160" s="176"/>
      <c r="CC160" s="176"/>
      <c r="CD160" s="176"/>
      <c r="CE160" s="176"/>
      <c r="CF160" s="176"/>
      <c r="CG160" s="176"/>
      <c r="CH160" s="176"/>
    </row>
    <row r="161" spans="1:86" s="673" customFormat="1" ht="30" customHeight="1" x14ac:dyDescent="0.35">
      <c r="A161" s="668"/>
      <c r="B161" s="634" t="s">
        <v>854</v>
      </c>
      <c r="C161" s="669"/>
      <c r="D161" s="670"/>
      <c r="E161" s="670"/>
      <c r="F161" s="670"/>
      <c r="G161" s="670"/>
      <c r="H161" s="670"/>
      <c r="I161" s="670"/>
      <c r="J161" s="670"/>
      <c r="K161" s="670"/>
      <c r="L161" s="670"/>
      <c r="M161" s="670"/>
      <c r="N161" s="670"/>
      <c r="O161" s="670"/>
      <c r="P161" s="670"/>
      <c r="Q161" s="670"/>
      <c r="R161" s="670"/>
      <c r="S161" s="670"/>
      <c r="T161" s="670"/>
      <c r="U161" s="670"/>
      <c r="V161" s="670"/>
      <c r="W161" s="670"/>
      <c r="X161" s="670"/>
      <c r="Y161" s="670"/>
      <c r="Z161" s="670"/>
      <c r="AA161" s="670"/>
      <c r="AB161" s="670"/>
      <c r="AC161" s="670"/>
      <c r="AD161" s="670"/>
      <c r="AE161" s="670"/>
      <c r="AF161" s="670"/>
      <c r="AG161" s="670"/>
      <c r="AH161" s="670"/>
      <c r="AI161" s="670"/>
      <c r="AJ161" s="670"/>
      <c r="AK161" s="670"/>
      <c r="AL161" s="670"/>
      <c r="AM161" s="670"/>
      <c r="AN161" s="670"/>
      <c r="AO161" s="670"/>
      <c r="AP161" s="670"/>
      <c r="AQ161" s="670"/>
      <c r="AR161" s="670"/>
      <c r="AS161" s="670"/>
      <c r="AT161" s="670"/>
      <c r="AU161" s="670"/>
      <c r="AV161" s="670"/>
      <c r="AW161" s="670"/>
      <c r="AX161" s="670"/>
      <c r="AY161" s="670"/>
      <c r="AZ161" s="670"/>
      <c r="BA161" s="670"/>
      <c r="BB161" s="670"/>
      <c r="BC161" s="670"/>
      <c r="BD161" s="670"/>
      <c r="BE161" s="670"/>
      <c r="BF161" s="670"/>
      <c r="BG161" s="670"/>
      <c r="BH161" s="670"/>
      <c r="BI161" s="670"/>
      <c r="BJ161" s="670"/>
      <c r="BK161" s="670"/>
      <c r="BL161" s="670"/>
      <c r="BM161" s="670"/>
      <c r="BN161" s="670"/>
      <c r="BO161" s="670"/>
      <c r="BP161" s="670"/>
      <c r="BQ161" s="670"/>
      <c r="BR161" s="670"/>
      <c r="BS161" s="670"/>
      <c r="BT161" s="670"/>
      <c r="BU161" s="670"/>
      <c r="BV161" s="670"/>
      <c r="BW161" s="670"/>
      <c r="BX161" s="671"/>
      <c r="BY161" s="671"/>
      <c r="BZ161" s="671"/>
      <c r="CA161" s="672"/>
    </row>
    <row r="162" spans="1:86" ht="21.4" customHeight="1" outlineLevel="1" x14ac:dyDescent="0.35">
      <c r="A162" s="176"/>
      <c r="B162" s="176"/>
      <c r="C162" s="713"/>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H162" s="176"/>
      <c r="AI162" s="176"/>
      <c r="AJ162" s="176"/>
      <c r="AK162" s="176"/>
      <c r="AL162" s="176"/>
      <c r="AM162" s="176"/>
      <c r="AN162" s="176"/>
      <c r="AO162" s="176"/>
      <c r="AP162" s="176"/>
      <c r="AQ162" s="176"/>
      <c r="AR162" s="176"/>
      <c r="AS162" s="176"/>
      <c r="AT162" s="176"/>
      <c r="AU162" s="176"/>
      <c r="AV162" s="176"/>
      <c r="AW162" s="176"/>
      <c r="AX162" s="176"/>
      <c r="AY162" s="176"/>
      <c r="AZ162" s="176"/>
      <c r="BA162" s="176"/>
      <c r="BB162" s="176"/>
      <c r="BC162" s="176"/>
      <c r="BD162" s="176"/>
      <c r="BE162" s="176"/>
      <c r="BF162" s="176"/>
      <c r="BG162" s="176"/>
      <c r="BH162" s="176"/>
      <c r="BI162" s="176"/>
      <c r="BJ162" s="176"/>
      <c r="BK162" s="176"/>
      <c r="BL162" s="176"/>
      <c r="BM162" s="176"/>
      <c r="BN162" s="176"/>
      <c r="BO162" s="176"/>
      <c r="BP162" s="176"/>
      <c r="BQ162" s="176"/>
      <c r="BR162" s="176"/>
      <c r="BS162" s="176"/>
      <c r="BT162" s="176"/>
      <c r="BU162" s="176"/>
      <c r="BV162" s="176"/>
      <c r="BW162" s="176"/>
      <c r="BX162" s="176"/>
      <c r="BY162" s="176"/>
      <c r="BZ162" s="176"/>
      <c r="CA162" s="176"/>
      <c r="CB162" s="176"/>
      <c r="CC162" s="176"/>
      <c r="CD162" s="176"/>
      <c r="CE162" s="176"/>
      <c r="CF162" s="176"/>
      <c r="CG162" s="176"/>
      <c r="CH162" s="176"/>
    </row>
    <row r="163" spans="1:86" ht="21.4" customHeight="1" outlineLevel="1" x14ac:dyDescent="0.35">
      <c r="A163" s="176"/>
      <c r="B163" s="168" t="s">
        <v>902</v>
      </c>
      <c r="C163" s="713"/>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H163" s="176"/>
      <c r="AI163" s="176"/>
      <c r="AJ163" s="176"/>
      <c r="AK163" s="176"/>
      <c r="AL163" s="176"/>
      <c r="AM163" s="176"/>
      <c r="AN163" s="176"/>
      <c r="AO163" s="176"/>
      <c r="AP163" s="176"/>
      <c r="AQ163" s="176"/>
      <c r="AR163" s="176"/>
      <c r="AS163" s="176"/>
      <c r="AT163" s="176"/>
      <c r="AU163" s="176"/>
      <c r="AV163" s="176"/>
      <c r="AW163" s="176"/>
      <c r="AX163" s="176"/>
      <c r="AY163" s="176"/>
      <c r="AZ163" s="176"/>
      <c r="BA163" s="176"/>
      <c r="BB163" s="176"/>
      <c r="BC163" s="176"/>
      <c r="BD163" s="176"/>
      <c r="BE163" s="176"/>
      <c r="BF163" s="176"/>
      <c r="BG163" s="176"/>
      <c r="BH163" s="176"/>
      <c r="BI163" s="176"/>
      <c r="BJ163" s="176"/>
      <c r="BK163" s="176"/>
      <c r="BL163" s="176"/>
      <c r="BM163" s="176"/>
      <c r="BN163" s="176"/>
      <c r="BO163" s="176"/>
      <c r="BP163" s="176"/>
      <c r="BQ163" s="176"/>
      <c r="BR163" s="176"/>
      <c r="BS163" s="176"/>
      <c r="BT163" s="176"/>
      <c r="BU163" s="176"/>
      <c r="BV163" s="176"/>
      <c r="BW163" s="176"/>
      <c r="BX163" s="176"/>
      <c r="BY163" s="176"/>
      <c r="BZ163" s="176"/>
      <c r="CA163" s="176"/>
      <c r="CB163" s="176"/>
      <c r="CC163" s="176"/>
      <c r="CD163" s="176"/>
      <c r="CE163" s="176"/>
      <c r="CF163" s="176"/>
      <c r="CG163" s="176"/>
      <c r="CH163" s="176"/>
    </row>
    <row r="164" spans="1:86" ht="21.4" customHeight="1" outlineLevel="1" x14ac:dyDescent="0.35">
      <c r="A164" s="176"/>
      <c r="B164" s="169" t="s">
        <v>751</v>
      </c>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H164" s="176"/>
      <c r="AI164" s="176"/>
      <c r="AJ164" s="176"/>
      <c r="AK164" s="176"/>
      <c r="AL164" s="176"/>
      <c r="AM164" s="176"/>
      <c r="AN164" s="176"/>
      <c r="AO164" s="176"/>
      <c r="AP164" s="176"/>
      <c r="AQ164" s="176"/>
      <c r="AR164" s="176"/>
      <c r="AS164" s="176"/>
      <c r="AT164" s="176"/>
      <c r="AU164" s="176"/>
      <c r="AV164" s="176"/>
      <c r="AW164" s="176"/>
      <c r="AX164" s="176"/>
      <c r="AY164" s="176"/>
      <c r="AZ164" s="176"/>
      <c r="BA164" s="176"/>
      <c r="BB164" s="176"/>
      <c r="BC164" s="176"/>
      <c r="BD164" s="176"/>
      <c r="BE164" s="176"/>
      <c r="BF164" s="176"/>
      <c r="BG164" s="176"/>
      <c r="BH164" s="176"/>
      <c r="BI164" s="176"/>
      <c r="BJ164" s="176"/>
      <c r="BK164" s="176"/>
      <c r="BL164" s="176"/>
      <c r="BM164" s="176"/>
      <c r="BN164" s="176"/>
      <c r="BO164" s="176"/>
      <c r="BP164" s="176"/>
      <c r="BQ164" s="176"/>
      <c r="BR164" s="176"/>
      <c r="BS164" s="176"/>
      <c r="BT164" s="176"/>
      <c r="BU164" s="176"/>
      <c r="BV164" s="176"/>
      <c r="BW164" s="176"/>
      <c r="BX164" s="176"/>
      <c r="BY164" s="176"/>
      <c r="BZ164" s="176"/>
      <c r="CA164" s="176"/>
      <c r="CB164" s="176"/>
      <c r="CC164" s="176"/>
      <c r="CD164" s="176"/>
      <c r="CE164" s="176"/>
      <c r="CF164" s="176"/>
      <c r="CG164" s="176"/>
      <c r="CH164" s="176"/>
    </row>
    <row r="165" spans="1:86" ht="25.9" customHeight="1" outlineLevel="1" x14ac:dyDescent="0.35">
      <c r="A165" s="176"/>
      <c r="B165" s="714" t="s">
        <v>248</v>
      </c>
      <c r="C165" s="715" t="s">
        <v>250</v>
      </c>
      <c r="D165" s="1309" t="s">
        <v>752</v>
      </c>
      <c r="E165" s="1310"/>
      <c r="F165" s="1306" t="s">
        <v>750</v>
      </c>
      <c r="G165" s="1306" t="s">
        <v>749</v>
      </c>
      <c r="H165" s="1306" t="s">
        <v>754</v>
      </c>
      <c r="I165" s="1306" t="s">
        <v>1389</v>
      </c>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H165" s="176"/>
      <c r="AI165" s="176"/>
      <c r="AJ165" s="176"/>
      <c r="AK165" s="176"/>
      <c r="AL165" s="176"/>
      <c r="AM165" s="176"/>
      <c r="AN165" s="176"/>
      <c r="AO165" s="176"/>
      <c r="AP165" s="176"/>
      <c r="AQ165" s="176"/>
      <c r="AR165" s="176"/>
      <c r="AS165" s="176"/>
      <c r="AT165" s="176"/>
      <c r="AU165" s="176"/>
      <c r="AV165" s="176"/>
      <c r="AW165" s="176"/>
      <c r="AX165" s="176"/>
      <c r="AY165" s="176"/>
      <c r="AZ165" s="176"/>
      <c r="BA165" s="176"/>
      <c r="BB165" s="176"/>
      <c r="BC165" s="176"/>
      <c r="BD165" s="176"/>
      <c r="BE165" s="176"/>
      <c r="BF165" s="176"/>
      <c r="BG165" s="176"/>
      <c r="BH165" s="176"/>
      <c r="BI165" s="176"/>
      <c r="BJ165" s="176"/>
      <c r="BK165" s="176"/>
      <c r="BL165" s="176"/>
      <c r="BM165" s="176"/>
      <c r="BN165" s="176"/>
      <c r="BO165" s="176"/>
      <c r="BP165" s="176"/>
      <c r="BQ165" s="176"/>
      <c r="BR165" s="176"/>
      <c r="BS165" s="176"/>
      <c r="BT165" s="176"/>
      <c r="BU165" s="176"/>
      <c r="BV165" s="176"/>
      <c r="BW165" s="176"/>
      <c r="BX165" s="176"/>
      <c r="BY165" s="176"/>
      <c r="BZ165" s="176"/>
      <c r="CA165" s="176"/>
      <c r="CB165" s="176"/>
      <c r="CC165" s="176"/>
      <c r="CD165" s="176"/>
      <c r="CE165" s="176"/>
      <c r="CF165" s="176"/>
      <c r="CG165" s="176"/>
      <c r="CH165" s="176"/>
    </row>
    <row r="166" spans="1:86" ht="22.15" customHeight="1" outlineLevel="1" x14ac:dyDescent="0.35">
      <c r="A166" s="176"/>
      <c r="B166" s="716" t="s">
        <v>249</v>
      </c>
      <c r="C166" s="717" t="s">
        <v>753</v>
      </c>
      <c r="D166" s="718" t="s">
        <v>251</v>
      </c>
      <c r="E166" s="719" t="s">
        <v>253</v>
      </c>
      <c r="F166" s="1307"/>
      <c r="G166" s="1307"/>
      <c r="H166" s="1307"/>
      <c r="I166" s="1307"/>
      <c r="J166" s="176"/>
      <c r="K166" s="176"/>
      <c r="L166" s="176"/>
      <c r="M166" s="176"/>
      <c r="N166" s="176"/>
      <c r="O166" s="176"/>
      <c r="P166" s="176"/>
      <c r="Q166" s="176"/>
      <c r="R166" s="176"/>
      <c r="S166" s="176"/>
      <c r="T166" s="176"/>
      <c r="U166" s="176"/>
      <c r="V166" s="176"/>
      <c r="W166" s="176"/>
      <c r="X166" s="176"/>
      <c r="Y166" s="176"/>
      <c r="Z166" s="176"/>
      <c r="AA166" s="176"/>
      <c r="AB166" s="176"/>
      <c r="AC166" s="176"/>
      <c r="AD166" s="176"/>
      <c r="AE166" s="176"/>
      <c r="AF166" s="176"/>
      <c r="AG166" s="176"/>
      <c r="AH166" s="176"/>
      <c r="AI166" s="176"/>
      <c r="AJ166" s="176"/>
      <c r="AK166" s="176"/>
      <c r="AL166" s="176"/>
      <c r="AM166" s="176"/>
      <c r="AN166" s="176"/>
      <c r="AO166" s="176"/>
      <c r="AP166" s="176"/>
      <c r="AQ166" s="176"/>
      <c r="AR166" s="176"/>
      <c r="AS166" s="176"/>
      <c r="AT166" s="176"/>
      <c r="AU166" s="176"/>
      <c r="AV166" s="176"/>
      <c r="AW166" s="176"/>
      <c r="AX166" s="176"/>
      <c r="AY166" s="176"/>
      <c r="AZ166" s="176"/>
      <c r="BA166" s="176"/>
      <c r="BB166" s="176"/>
      <c r="BC166" s="176"/>
      <c r="BD166" s="176"/>
      <c r="BE166" s="176"/>
      <c r="BF166" s="176"/>
      <c r="BG166" s="176"/>
      <c r="BH166" s="176"/>
      <c r="BI166" s="176"/>
      <c r="BJ166" s="176"/>
      <c r="BK166" s="176"/>
      <c r="BL166" s="176"/>
      <c r="BM166" s="176"/>
      <c r="BN166" s="176"/>
      <c r="BO166" s="176"/>
      <c r="BP166" s="176"/>
      <c r="BQ166" s="176"/>
      <c r="BR166" s="176"/>
      <c r="BS166" s="176"/>
      <c r="BT166" s="176"/>
      <c r="BU166" s="176"/>
      <c r="BV166" s="176"/>
      <c r="BW166" s="176"/>
      <c r="BX166" s="176"/>
      <c r="BY166" s="176"/>
      <c r="BZ166" s="176"/>
      <c r="CA166" s="176"/>
      <c r="CB166" s="176"/>
      <c r="CC166" s="176"/>
      <c r="CD166" s="176"/>
      <c r="CE166" s="176"/>
      <c r="CF166" s="176"/>
      <c r="CG166" s="176"/>
      <c r="CH166" s="176"/>
    </row>
    <row r="167" spans="1:86" ht="15" customHeight="1" outlineLevel="1" x14ac:dyDescent="0.35">
      <c r="A167" s="176"/>
      <c r="B167" s="720"/>
      <c r="C167" s="721"/>
      <c r="D167" s="722" t="s">
        <v>252</v>
      </c>
      <c r="E167" s="723" t="s">
        <v>254</v>
      </c>
      <c r="F167" s="724" t="s">
        <v>757</v>
      </c>
      <c r="G167" s="1308"/>
      <c r="H167" s="725" t="s">
        <v>707</v>
      </c>
      <c r="I167" s="1308"/>
      <c r="J167" s="176"/>
      <c r="K167" s="176"/>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H167" s="176"/>
      <c r="AI167" s="176"/>
      <c r="AJ167" s="176"/>
      <c r="AK167" s="176"/>
      <c r="AL167" s="176"/>
      <c r="AM167" s="176"/>
      <c r="AN167" s="176"/>
      <c r="AO167" s="176"/>
      <c r="AP167" s="176"/>
      <c r="AQ167" s="176"/>
      <c r="AR167" s="176"/>
      <c r="AS167" s="176"/>
      <c r="AT167" s="176"/>
      <c r="AU167" s="176"/>
      <c r="AV167" s="176"/>
      <c r="AW167" s="176"/>
      <c r="AX167" s="176"/>
      <c r="AY167" s="176"/>
      <c r="AZ167" s="176"/>
      <c r="BA167" s="176"/>
      <c r="BB167" s="176"/>
      <c r="BC167" s="176"/>
      <c r="BD167" s="176"/>
      <c r="BE167" s="176"/>
      <c r="BF167" s="176"/>
      <c r="BG167" s="176"/>
      <c r="BH167" s="176"/>
      <c r="BI167" s="176"/>
      <c r="BJ167" s="176"/>
      <c r="BK167" s="176"/>
      <c r="BL167" s="176"/>
      <c r="BM167" s="176"/>
      <c r="BN167" s="176"/>
      <c r="BO167" s="176"/>
      <c r="BP167" s="176"/>
      <c r="BQ167" s="176"/>
      <c r="BR167" s="176"/>
      <c r="BS167" s="176"/>
      <c r="BT167" s="176"/>
      <c r="BU167" s="176"/>
      <c r="BV167" s="176"/>
      <c r="BW167" s="176"/>
      <c r="BX167" s="176"/>
      <c r="BY167" s="176"/>
      <c r="BZ167" s="176"/>
      <c r="CA167" s="176"/>
      <c r="CB167" s="176"/>
      <c r="CC167" s="176"/>
      <c r="CD167" s="176"/>
      <c r="CE167" s="176"/>
      <c r="CF167" s="176"/>
      <c r="CG167" s="176"/>
      <c r="CH167" s="176"/>
    </row>
    <row r="168" spans="1:86" ht="35.5" customHeight="1" outlineLevel="1" x14ac:dyDescent="0.35">
      <c r="A168" s="176"/>
      <c r="B168" s="726" t="s">
        <v>183</v>
      </c>
      <c r="C168" s="727">
        <v>0.01</v>
      </c>
      <c r="D168" s="728">
        <v>5.0000000000000001E-3</v>
      </c>
      <c r="E168" s="729">
        <f>G168</f>
        <v>0.8</v>
      </c>
      <c r="F168" s="730">
        <f>0.7/2</f>
        <v>0.35</v>
      </c>
      <c r="G168" s="730">
        <v>0.8</v>
      </c>
      <c r="H168" s="394">
        <v>0.5</v>
      </c>
      <c r="I168" s="731">
        <v>150</v>
      </c>
      <c r="J168" s="176"/>
      <c r="K168" s="176"/>
      <c r="L168" s="176"/>
      <c r="M168" s="176"/>
      <c r="N168" s="176"/>
      <c r="O168" s="176"/>
      <c r="P168" s="176"/>
      <c r="Q168" s="176"/>
      <c r="R168" s="176"/>
      <c r="S168" s="176"/>
      <c r="T168" s="176"/>
      <c r="U168" s="176"/>
      <c r="V168" s="176"/>
      <c r="W168" s="176"/>
      <c r="X168" s="176"/>
      <c r="Y168" s="176"/>
      <c r="Z168" s="176"/>
      <c r="AA168" s="176"/>
      <c r="AB168" s="176"/>
      <c r="AC168" s="176"/>
      <c r="AD168" s="176"/>
      <c r="AE168" s="176"/>
      <c r="AF168" s="176"/>
      <c r="AG168" s="176"/>
      <c r="AH168" s="176"/>
      <c r="AI168" s="176"/>
      <c r="AJ168" s="176"/>
      <c r="AK168" s="176"/>
      <c r="AL168" s="176"/>
      <c r="AM168" s="176"/>
      <c r="AN168" s="176"/>
      <c r="AO168" s="176"/>
      <c r="AP168" s="176"/>
      <c r="AQ168" s="176"/>
      <c r="AR168" s="176"/>
      <c r="AS168" s="176"/>
      <c r="AT168" s="176"/>
      <c r="AU168" s="176"/>
      <c r="AV168" s="176"/>
      <c r="AW168" s="176"/>
      <c r="AX168" s="176"/>
      <c r="AY168" s="176"/>
      <c r="AZ168" s="176"/>
      <c r="BA168" s="176"/>
      <c r="BB168" s="176"/>
      <c r="BC168" s="176"/>
      <c r="BD168" s="176"/>
      <c r="BE168" s="176"/>
      <c r="BF168" s="176"/>
      <c r="BG168" s="176"/>
      <c r="BH168" s="176"/>
      <c r="BI168" s="176"/>
      <c r="BJ168" s="176"/>
      <c r="BK168" s="176"/>
      <c r="BL168" s="176"/>
      <c r="BM168" s="176"/>
      <c r="BN168" s="176"/>
      <c r="BO168" s="176"/>
      <c r="BP168" s="176"/>
      <c r="BQ168" s="176"/>
      <c r="BR168" s="176"/>
      <c r="BS168" s="176"/>
      <c r="BT168" s="176"/>
      <c r="BU168" s="176"/>
      <c r="BV168" s="176"/>
      <c r="BW168" s="176"/>
      <c r="BX168" s="176"/>
      <c r="BY168" s="176"/>
      <c r="BZ168" s="176"/>
      <c r="CA168" s="176"/>
      <c r="CB168" s="176"/>
      <c r="CC168" s="176"/>
      <c r="CD168" s="176"/>
      <c r="CE168" s="176"/>
      <c r="CF168" s="176"/>
      <c r="CG168" s="176"/>
      <c r="CH168" s="176"/>
    </row>
    <row r="169" spans="1:86" ht="35.5" customHeight="1" outlineLevel="1" x14ac:dyDescent="0.35">
      <c r="A169" s="176"/>
      <c r="B169" s="732" t="s">
        <v>184</v>
      </c>
      <c r="C169" s="727">
        <v>0.03</v>
      </c>
      <c r="D169" s="729">
        <v>0.15</v>
      </c>
      <c r="E169" s="729">
        <f t="shared" ref="E169:E176" si="8">G169</f>
        <v>0.8</v>
      </c>
      <c r="F169" s="730">
        <f>0.7/2</f>
        <v>0.35</v>
      </c>
      <c r="G169" s="730">
        <v>0.8</v>
      </c>
      <c r="H169" s="394">
        <v>6</v>
      </c>
      <c r="I169" s="731">
        <v>150</v>
      </c>
      <c r="J169" s="176"/>
      <c r="K169" s="176"/>
      <c r="L169" s="176"/>
      <c r="M169" s="176"/>
      <c r="N169" s="176"/>
      <c r="O169" s="176"/>
      <c r="P169" s="176"/>
      <c r="Q169" s="176"/>
      <c r="R169" s="176"/>
      <c r="S169" s="176"/>
      <c r="T169" s="176"/>
      <c r="U169" s="176"/>
      <c r="V169" s="176"/>
      <c r="W169" s="176"/>
      <c r="X169" s="176"/>
      <c r="Y169" s="176"/>
      <c r="Z169" s="176"/>
      <c r="AA169" s="176"/>
      <c r="AB169" s="176"/>
      <c r="AC169" s="176"/>
      <c r="AD169" s="176"/>
      <c r="AE169" s="176"/>
      <c r="AF169" s="176"/>
      <c r="AG169" s="176"/>
      <c r="AH169" s="176"/>
      <c r="AI169" s="176"/>
      <c r="AJ169" s="176"/>
      <c r="AK169" s="176"/>
      <c r="AL169" s="176"/>
      <c r="AM169" s="176"/>
      <c r="AN169" s="176"/>
      <c r="AO169" s="176"/>
      <c r="AP169" s="176"/>
      <c r="AQ169" s="176"/>
      <c r="AR169" s="176"/>
      <c r="AS169" s="176"/>
      <c r="AT169" s="176"/>
      <c r="AU169" s="176"/>
      <c r="AV169" s="176"/>
      <c r="AW169" s="176"/>
      <c r="AX169" s="176"/>
      <c r="AY169" s="176"/>
      <c r="AZ169" s="176"/>
      <c r="BA169" s="176"/>
      <c r="BB169" s="176"/>
      <c r="BC169" s="176"/>
      <c r="BD169" s="176"/>
      <c r="BE169" s="176"/>
      <c r="BF169" s="176"/>
      <c r="BG169" s="176"/>
      <c r="BH169" s="176"/>
      <c r="BI169" s="176"/>
      <c r="BJ169" s="176"/>
      <c r="BK169" s="176"/>
      <c r="BL169" s="176"/>
      <c r="BM169" s="176"/>
      <c r="BN169" s="176"/>
      <c r="BO169" s="176"/>
      <c r="BP169" s="176"/>
      <c r="BQ169" s="176"/>
      <c r="BR169" s="176"/>
      <c r="BS169" s="176"/>
      <c r="BT169" s="176"/>
      <c r="BU169" s="176"/>
      <c r="BV169" s="176"/>
      <c r="BW169" s="176"/>
      <c r="BX169" s="176"/>
      <c r="BY169" s="176"/>
      <c r="BZ169" s="176"/>
      <c r="CA169" s="176"/>
      <c r="CB169" s="176"/>
      <c r="CC169" s="176"/>
      <c r="CD169" s="176"/>
      <c r="CE169" s="176"/>
      <c r="CF169" s="176"/>
      <c r="CG169" s="176"/>
      <c r="CH169" s="176"/>
    </row>
    <row r="170" spans="1:86" ht="35.5" customHeight="1" outlineLevel="1" x14ac:dyDescent="0.35">
      <c r="A170" s="176"/>
      <c r="B170" s="732" t="s">
        <v>185</v>
      </c>
      <c r="C170" s="727">
        <v>0.03</v>
      </c>
      <c r="D170" s="729">
        <v>0.35</v>
      </c>
      <c r="E170" s="729">
        <f t="shared" si="8"/>
        <v>1</v>
      </c>
      <c r="F170" s="730">
        <f>0.7/2</f>
        <v>0.35</v>
      </c>
      <c r="G170" s="730">
        <v>1</v>
      </c>
      <c r="H170" s="394">
        <v>2000</v>
      </c>
      <c r="I170" s="731">
        <v>2500</v>
      </c>
      <c r="J170" s="176"/>
      <c r="K170" s="176"/>
      <c r="L170" s="176"/>
      <c r="M170" s="176"/>
      <c r="N170" s="176"/>
      <c r="O170" s="176"/>
      <c r="P170" s="176"/>
      <c r="Q170" s="176"/>
      <c r="R170" s="176"/>
      <c r="S170" s="176"/>
      <c r="T170" s="176"/>
      <c r="U170" s="176"/>
      <c r="V170" s="176"/>
      <c r="W170" s="176"/>
      <c r="X170" s="176"/>
      <c r="Y170" s="176"/>
      <c r="Z170" s="176"/>
      <c r="AA170" s="176"/>
      <c r="AB170" s="176"/>
      <c r="AC170" s="176"/>
      <c r="AD170" s="176"/>
      <c r="AE170" s="176"/>
      <c r="AF170" s="176"/>
      <c r="AG170" s="176"/>
      <c r="AH170" s="176"/>
      <c r="AI170" s="176"/>
      <c r="AJ170" s="176"/>
      <c r="AK170" s="176"/>
      <c r="AL170" s="176"/>
      <c r="AM170" s="176"/>
      <c r="AN170" s="176"/>
      <c r="AO170" s="176"/>
      <c r="AP170" s="176"/>
      <c r="AQ170" s="176"/>
      <c r="AR170" s="176"/>
      <c r="AS170" s="176"/>
      <c r="AT170" s="176"/>
      <c r="AU170" s="176"/>
      <c r="AV170" s="176"/>
      <c r="AW170" s="176"/>
      <c r="AX170" s="176"/>
      <c r="AY170" s="176"/>
      <c r="AZ170" s="176"/>
      <c r="BA170" s="176"/>
      <c r="BB170" s="176"/>
      <c r="BC170" s="176"/>
      <c r="BD170" s="176"/>
      <c r="BE170" s="176"/>
      <c r="BF170" s="176"/>
      <c r="BG170" s="176"/>
      <c r="BH170" s="176"/>
      <c r="BI170" s="176"/>
      <c r="BJ170" s="176"/>
      <c r="BK170" s="176"/>
      <c r="BL170" s="176"/>
      <c r="BM170" s="176"/>
      <c r="BN170" s="176"/>
      <c r="BO170" s="176"/>
      <c r="BP170" s="176"/>
      <c r="BQ170" s="176"/>
      <c r="BR170" s="176"/>
      <c r="BS170" s="176"/>
      <c r="BT170" s="176"/>
      <c r="BU170" s="176"/>
      <c r="BV170" s="176"/>
      <c r="BW170" s="176"/>
      <c r="BX170" s="176"/>
      <c r="BY170" s="176"/>
      <c r="BZ170" s="176"/>
      <c r="CA170" s="176"/>
      <c r="CB170" s="176"/>
      <c r="CC170" s="176"/>
      <c r="CD170" s="176"/>
      <c r="CE170" s="176"/>
      <c r="CF170" s="176"/>
      <c r="CG170" s="176"/>
      <c r="CH170" s="176"/>
    </row>
    <row r="171" spans="1:86" ht="35.5" customHeight="1" outlineLevel="1" x14ac:dyDescent="0.35">
      <c r="A171" s="176"/>
      <c r="B171" s="732" t="s">
        <v>186</v>
      </c>
      <c r="C171" s="727">
        <v>0.01</v>
      </c>
      <c r="D171" s="729">
        <v>0.5</v>
      </c>
      <c r="E171" s="729">
        <f t="shared" si="8"/>
        <v>0.5</v>
      </c>
      <c r="F171" s="730">
        <f>0.7/2</f>
        <v>0.35</v>
      </c>
      <c r="G171" s="730">
        <v>0.5</v>
      </c>
      <c r="H171" s="394">
        <v>8</v>
      </c>
      <c r="I171" s="731">
        <v>2500</v>
      </c>
      <c r="J171" s="176"/>
      <c r="K171" s="176"/>
      <c r="L171" s="176"/>
      <c r="M171" s="176"/>
      <c r="N171" s="176"/>
      <c r="O171" s="176"/>
      <c r="P171" s="176"/>
      <c r="Q171" s="176"/>
      <c r="R171" s="176"/>
      <c r="S171" s="176"/>
      <c r="T171" s="176"/>
      <c r="U171" s="176"/>
      <c r="V171" s="176"/>
      <c r="W171" s="176"/>
      <c r="X171" s="176"/>
      <c r="Y171" s="176"/>
      <c r="Z171" s="176"/>
      <c r="AA171" s="176"/>
      <c r="AB171" s="176"/>
      <c r="AC171" s="176"/>
      <c r="AD171" s="176"/>
      <c r="AE171" s="176"/>
      <c r="AF171" s="176"/>
      <c r="AG171" s="176"/>
      <c r="AH171" s="176"/>
      <c r="AI171" s="176"/>
      <c r="AJ171" s="176"/>
      <c r="AK171" s="176"/>
      <c r="AL171" s="176"/>
      <c r="AM171" s="176"/>
      <c r="AN171" s="176"/>
      <c r="AO171" s="176"/>
      <c r="AP171" s="176"/>
      <c r="AQ171" s="176"/>
      <c r="AR171" s="176"/>
      <c r="AS171" s="176"/>
      <c r="AT171" s="176"/>
      <c r="AU171" s="176"/>
      <c r="AV171" s="176"/>
      <c r="AW171" s="176"/>
      <c r="AX171" s="176"/>
      <c r="AY171" s="176"/>
      <c r="AZ171" s="176"/>
      <c r="BA171" s="176"/>
      <c r="BB171" s="176"/>
      <c r="BC171" s="176"/>
      <c r="BD171" s="176"/>
      <c r="BE171" s="176"/>
      <c r="BF171" s="176"/>
      <c r="BG171" s="176"/>
      <c r="BH171" s="176"/>
      <c r="BI171" s="176"/>
      <c r="BJ171" s="176"/>
      <c r="BK171" s="176"/>
      <c r="BL171" s="176"/>
      <c r="BM171" s="176"/>
      <c r="BN171" s="176"/>
      <c r="BO171" s="176"/>
      <c r="BP171" s="176"/>
      <c r="BQ171" s="176"/>
      <c r="BR171" s="176"/>
      <c r="BS171" s="176"/>
      <c r="BT171" s="176"/>
      <c r="BU171" s="176"/>
      <c r="BV171" s="176"/>
      <c r="BW171" s="176"/>
      <c r="BX171" s="176"/>
      <c r="BY171" s="176"/>
      <c r="BZ171" s="176"/>
      <c r="CA171" s="176"/>
      <c r="CB171" s="176"/>
      <c r="CC171" s="176"/>
      <c r="CD171" s="176"/>
      <c r="CE171" s="176"/>
      <c r="CF171" s="176"/>
      <c r="CG171" s="176"/>
      <c r="CH171" s="176"/>
    </row>
    <row r="172" spans="1:86" ht="35.5" customHeight="1" outlineLevel="1" x14ac:dyDescent="0.35">
      <c r="A172" s="176"/>
      <c r="B172" s="732" t="s">
        <v>187</v>
      </c>
      <c r="C172" s="727">
        <v>0.03</v>
      </c>
      <c r="D172" s="729">
        <v>0.25</v>
      </c>
      <c r="E172" s="729">
        <f t="shared" si="8"/>
        <v>1</v>
      </c>
      <c r="F172" s="730">
        <f>0.9/2</f>
        <v>0.45</v>
      </c>
      <c r="G172" s="730">
        <v>1</v>
      </c>
      <c r="H172" s="394">
        <v>10000</v>
      </c>
      <c r="I172" s="731">
        <v>150</v>
      </c>
      <c r="J172" s="176"/>
      <c r="K172" s="176"/>
      <c r="L172" s="176"/>
      <c r="M172" s="176"/>
      <c r="N172" s="176"/>
      <c r="O172" s="176"/>
      <c r="P172" s="176"/>
      <c r="Q172" s="176"/>
      <c r="R172" s="176"/>
      <c r="S172" s="176"/>
      <c r="T172" s="176"/>
      <c r="U172" s="176"/>
      <c r="V172" s="176"/>
      <c r="W172" s="176"/>
      <c r="X172" s="176"/>
      <c r="Y172" s="176"/>
      <c r="Z172" s="176"/>
      <c r="AA172" s="176"/>
      <c r="AB172" s="176"/>
      <c r="AC172" s="176"/>
      <c r="AD172" s="176"/>
      <c r="AE172" s="176"/>
      <c r="AF172" s="176"/>
      <c r="AG172" s="176"/>
      <c r="AH172" s="176"/>
      <c r="AI172" s="176"/>
      <c r="AJ172" s="176"/>
      <c r="AK172" s="176"/>
      <c r="AL172" s="176"/>
      <c r="AM172" s="176"/>
      <c r="AN172" s="176"/>
      <c r="AO172" s="176"/>
      <c r="AP172" s="176"/>
      <c r="AQ172" s="176"/>
      <c r="AR172" s="176"/>
      <c r="AS172" s="176"/>
      <c r="AT172" s="176"/>
      <c r="AU172" s="176"/>
      <c r="AV172" s="176"/>
      <c r="AW172" s="176"/>
      <c r="AX172" s="176"/>
      <c r="AY172" s="176"/>
      <c r="AZ172" s="176"/>
      <c r="BA172" s="176"/>
      <c r="BB172" s="176"/>
      <c r="BC172" s="176"/>
      <c r="BD172" s="176"/>
      <c r="BE172" s="176"/>
      <c r="BF172" s="176"/>
      <c r="BG172" s="176"/>
      <c r="BH172" s="176"/>
      <c r="BI172" s="176"/>
      <c r="BJ172" s="176"/>
      <c r="BK172" s="176"/>
      <c r="BL172" s="176"/>
      <c r="BM172" s="176"/>
      <c r="BN172" s="176"/>
      <c r="BO172" s="176"/>
      <c r="BP172" s="176"/>
      <c r="BQ172" s="176"/>
      <c r="BR172" s="176"/>
      <c r="BS172" s="176"/>
      <c r="BT172" s="176"/>
      <c r="BU172" s="176"/>
      <c r="BV172" s="176"/>
      <c r="BW172" s="176"/>
      <c r="BX172" s="176"/>
      <c r="BY172" s="176"/>
      <c r="BZ172" s="176"/>
      <c r="CA172" s="176"/>
      <c r="CB172" s="176"/>
      <c r="CC172" s="176"/>
      <c r="CD172" s="176"/>
      <c r="CE172" s="176"/>
      <c r="CF172" s="176"/>
      <c r="CG172" s="176"/>
      <c r="CH172" s="176"/>
    </row>
    <row r="173" spans="1:86" ht="35.5" customHeight="1" outlineLevel="1" x14ac:dyDescent="0.35">
      <c r="A173" s="176"/>
      <c r="B173" s="732" t="s">
        <v>1051</v>
      </c>
      <c r="C173" s="727">
        <v>0.01</v>
      </c>
      <c r="D173" s="729">
        <v>0.15</v>
      </c>
      <c r="E173" s="729">
        <f t="shared" si="8"/>
        <v>1</v>
      </c>
      <c r="F173" s="730">
        <f>0.95/2</f>
        <v>0.47499999999999998</v>
      </c>
      <c r="G173" s="730">
        <v>1</v>
      </c>
      <c r="H173" s="394">
        <v>2000</v>
      </c>
      <c r="I173" s="731">
        <v>150</v>
      </c>
      <c r="J173" s="176"/>
      <c r="K173" s="176"/>
      <c r="L173" s="176"/>
      <c r="M173" s="176"/>
      <c r="N173" s="176"/>
      <c r="O173" s="176"/>
      <c r="P173" s="176"/>
      <c r="Q173" s="176"/>
      <c r="R173" s="176"/>
      <c r="S173" s="176"/>
      <c r="T173" s="176"/>
      <c r="U173" s="176"/>
      <c r="V173" s="176"/>
      <c r="W173" s="176"/>
      <c r="X173" s="176"/>
      <c r="Y173" s="176"/>
      <c r="Z173" s="176"/>
      <c r="AA173" s="176"/>
      <c r="AB173" s="176"/>
      <c r="AC173" s="176"/>
      <c r="AD173" s="176"/>
      <c r="AE173" s="176"/>
      <c r="AF173" s="176"/>
      <c r="AG173" s="176"/>
      <c r="AH173" s="176"/>
      <c r="AI173" s="176"/>
      <c r="AJ173" s="176"/>
      <c r="AK173" s="176"/>
      <c r="AL173" s="176"/>
      <c r="AM173" s="176"/>
      <c r="AN173" s="176"/>
      <c r="AO173" s="176"/>
      <c r="AP173" s="176"/>
      <c r="AQ173" s="176"/>
      <c r="AR173" s="176"/>
      <c r="AS173" s="176"/>
      <c r="AT173" s="176"/>
      <c r="AU173" s="176"/>
      <c r="AV173" s="176"/>
      <c r="AW173" s="176"/>
      <c r="AX173" s="176"/>
      <c r="AY173" s="176"/>
      <c r="AZ173" s="176"/>
      <c r="BA173" s="176"/>
      <c r="BB173" s="176"/>
      <c r="BC173" s="176"/>
      <c r="BD173" s="176"/>
      <c r="BE173" s="176"/>
      <c r="BF173" s="176"/>
      <c r="BG173" s="176"/>
      <c r="BH173" s="176"/>
      <c r="BI173" s="176"/>
      <c r="BJ173" s="176"/>
      <c r="BK173" s="176"/>
      <c r="BL173" s="176"/>
      <c r="BM173" s="176"/>
      <c r="BN173" s="176"/>
      <c r="BO173" s="176"/>
      <c r="BP173" s="176"/>
      <c r="BQ173" s="176"/>
      <c r="BR173" s="176"/>
      <c r="BS173" s="176"/>
      <c r="BT173" s="176"/>
      <c r="BU173" s="176"/>
      <c r="BV173" s="176"/>
      <c r="BW173" s="176"/>
      <c r="BX173" s="176"/>
      <c r="BY173" s="176"/>
      <c r="BZ173" s="176"/>
      <c r="CA173" s="176"/>
      <c r="CB173" s="176"/>
      <c r="CC173" s="176"/>
      <c r="CD173" s="176"/>
      <c r="CE173" s="176"/>
      <c r="CF173" s="176"/>
      <c r="CG173" s="176"/>
      <c r="CH173" s="176"/>
    </row>
    <row r="174" spans="1:86" ht="35.5" customHeight="1" outlineLevel="1" x14ac:dyDescent="0.35">
      <c r="A174" s="176"/>
      <c r="B174" s="732" t="s">
        <v>188</v>
      </c>
      <c r="C174" s="727">
        <v>0.01</v>
      </c>
      <c r="D174" s="729">
        <v>0.1</v>
      </c>
      <c r="E174" s="729">
        <f t="shared" si="8"/>
        <v>0.8</v>
      </c>
      <c r="F174" s="730">
        <f>0.8/2</f>
        <v>0.4</v>
      </c>
      <c r="G174" s="730">
        <v>0.8</v>
      </c>
      <c r="H174" s="394">
        <v>100</v>
      </c>
      <c r="I174" s="731">
        <v>150</v>
      </c>
      <c r="J174" s="176"/>
      <c r="K174" s="176"/>
      <c r="L174" s="176"/>
      <c r="M174" s="176"/>
      <c r="N174" s="176"/>
      <c r="O174" s="176"/>
      <c r="P174" s="176"/>
      <c r="Q174" s="176"/>
      <c r="R174" s="176"/>
      <c r="S174" s="176"/>
      <c r="T174" s="176"/>
      <c r="U174" s="176"/>
      <c r="V174" s="176"/>
      <c r="W174" s="176"/>
      <c r="X174" s="176"/>
      <c r="Y174" s="176"/>
      <c r="Z174" s="176"/>
      <c r="AA174" s="176"/>
      <c r="AB174" s="176"/>
      <c r="AC174" s="176"/>
      <c r="AD174" s="176"/>
      <c r="AE174" s="176"/>
      <c r="AF174" s="176"/>
      <c r="AG174" s="176"/>
      <c r="AH174" s="176"/>
      <c r="AI174" s="176"/>
      <c r="AJ174" s="176"/>
      <c r="AK174" s="176"/>
      <c r="AL174" s="176"/>
      <c r="AM174" s="176"/>
      <c r="AN174" s="176"/>
      <c r="AO174" s="176"/>
      <c r="AP174" s="176"/>
      <c r="AQ174" s="176"/>
      <c r="AR174" s="176"/>
      <c r="AS174" s="176"/>
      <c r="AT174" s="176"/>
      <c r="AU174" s="176"/>
      <c r="AV174" s="176"/>
      <c r="AW174" s="176"/>
      <c r="AX174" s="176"/>
      <c r="AY174" s="176"/>
      <c r="AZ174" s="176"/>
      <c r="BA174" s="176"/>
      <c r="BB174" s="176"/>
      <c r="BC174" s="176"/>
      <c r="BD174" s="176"/>
      <c r="BE174" s="176"/>
      <c r="BF174" s="176"/>
      <c r="BG174" s="176"/>
      <c r="BH174" s="176"/>
      <c r="BI174" s="176"/>
      <c r="BJ174" s="176"/>
      <c r="BK174" s="176"/>
      <c r="BL174" s="176"/>
      <c r="BM174" s="176"/>
      <c r="BN174" s="176"/>
      <c r="BO174" s="176"/>
      <c r="BP174" s="176"/>
      <c r="BQ174" s="176"/>
      <c r="BR174" s="176"/>
      <c r="BS174" s="176"/>
      <c r="BT174" s="176"/>
      <c r="BU174" s="176"/>
      <c r="BV174" s="176"/>
      <c r="BW174" s="176"/>
      <c r="BX174" s="176"/>
      <c r="BY174" s="176"/>
      <c r="BZ174" s="176"/>
      <c r="CA174" s="176"/>
      <c r="CB174" s="176"/>
      <c r="CC174" s="176"/>
      <c r="CD174" s="176"/>
      <c r="CE174" s="176"/>
      <c r="CF174" s="176"/>
      <c r="CG174" s="176"/>
      <c r="CH174" s="176"/>
    </row>
    <row r="175" spans="1:86" ht="46.5" outlineLevel="1" x14ac:dyDescent="0.35">
      <c r="A175" s="176"/>
      <c r="B175" s="733" t="s">
        <v>850</v>
      </c>
      <c r="C175" s="734">
        <v>5.0000000000000001E-3</v>
      </c>
      <c r="D175" s="729">
        <v>0.2</v>
      </c>
      <c r="E175" s="729">
        <f t="shared" si="8"/>
        <v>0.5</v>
      </c>
      <c r="F175" s="730">
        <f>0.5/2</f>
        <v>0.25</v>
      </c>
      <c r="G175" s="730">
        <v>0.5</v>
      </c>
      <c r="H175" s="394">
        <v>0.5</v>
      </c>
      <c r="I175" s="731">
        <f>E258</f>
        <v>1300</v>
      </c>
      <c r="J175" s="176"/>
      <c r="K175" s="176"/>
      <c r="L175" s="176"/>
      <c r="M175" s="176"/>
      <c r="N175" s="176"/>
      <c r="O175" s="176"/>
      <c r="P175" s="176"/>
      <c r="Q175" s="176"/>
      <c r="R175" s="176"/>
      <c r="S175" s="176"/>
      <c r="T175" s="176"/>
      <c r="U175" s="176"/>
      <c r="V175" s="176"/>
      <c r="W175" s="176"/>
      <c r="X175" s="176"/>
      <c r="Y175" s="176"/>
      <c r="Z175" s="176"/>
      <c r="AA175" s="176"/>
      <c r="AB175" s="176"/>
      <c r="AC175" s="176"/>
      <c r="AD175" s="176"/>
      <c r="AE175" s="176"/>
      <c r="AF175" s="176"/>
      <c r="AG175" s="176"/>
      <c r="AH175" s="176"/>
      <c r="AI175" s="176"/>
      <c r="AJ175" s="176"/>
      <c r="AK175" s="176"/>
      <c r="AL175" s="176"/>
      <c r="AM175" s="176"/>
      <c r="AN175" s="176"/>
      <c r="AO175" s="176"/>
      <c r="AP175" s="176"/>
      <c r="AQ175" s="176"/>
      <c r="AR175" s="176"/>
      <c r="AS175" s="176"/>
      <c r="AT175" s="176"/>
      <c r="AU175" s="176"/>
      <c r="AV175" s="176"/>
      <c r="AW175" s="176"/>
      <c r="AX175" s="176"/>
      <c r="AY175" s="176"/>
      <c r="AZ175" s="176"/>
      <c r="BA175" s="176"/>
      <c r="BB175" s="176"/>
      <c r="BC175" s="176"/>
      <c r="BD175" s="176"/>
      <c r="BE175" s="176"/>
      <c r="BF175" s="176"/>
      <c r="BG175" s="176"/>
      <c r="BH175" s="176"/>
      <c r="BI175" s="176"/>
      <c r="BJ175" s="176"/>
      <c r="BK175" s="176"/>
      <c r="BL175" s="176"/>
      <c r="BM175" s="176"/>
      <c r="BN175" s="176"/>
      <c r="BO175" s="176"/>
      <c r="BP175" s="176"/>
      <c r="BQ175" s="176"/>
      <c r="BR175" s="176"/>
      <c r="BS175" s="176"/>
      <c r="BT175" s="176"/>
      <c r="BU175" s="176"/>
      <c r="BV175" s="176"/>
      <c r="BW175" s="176"/>
      <c r="BX175" s="176"/>
      <c r="BY175" s="176"/>
      <c r="BZ175" s="176"/>
      <c r="CA175" s="176"/>
      <c r="CB175" s="176"/>
      <c r="CC175" s="176"/>
      <c r="CD175" s="176"/>
      <c r="CE175" s="176"/>
      <c r="CF175" s="176"/>
      <c r="CG175" s="176"/>
      <c r="CH175" s="176"/>
    </row>
    <row r="176" spans="1:86" ht="35.5" customHeight="1" outlineLevel="1" x14ac:dyDescent="0.35">
      <c r="A176" s="176"/>
      <c r="B176" s="732" t="s">
        <v>189</v>
      </c>
      <c r="C176" s="734">
        <v>5.0000000000000001E-3</v>
      </c>
      <c r="D176" s="729">
        <v>0.2</v>
      </c>
      <c r="E176" s="729">
        <f t="shared" si="8"/>
        <v>0.5</v>
      </c>
      <c r="F176" s="730">
        <f>0.5/2</f>
        <v>0.25</v>
      </c>
      <c r="G176" s="730">
        <v>0.5</v>
      </c>
      <c r="H176" s="394">
        <v>1.5</v>
      </c>
      <c r="I176" s="731">
        <f>I175</f>
        <v>1300</v>
      </c>
      <c r="J176" s="176"/>
      <c r="K176" s="176"/>
      <c r="L176" s="176"/>
      <c r="M176" s="176"/>
      <c r="N176" s="176"/>
      <c r="O176" s="176"/>
      <c r="P176" s="176"/>
      <c r="Q176" s="176"/>
      <c r="R176" s="176"/>
      <c r="S176" s="176"/>
      <c r="T176" s="176"/>
      <c r="U176" s="176"/>
      <c r="V176" s="176"/>
      <c r="W176" s="176"/>
      <c r="X176" s="176"/>
      <c r="Y176" s="176"/>
      <c r="Z176" s="176"/>
      <c r="AA176" s="176"/>
      <c r="AB176" s="176"/>
      <c r="AC176" s="176"/>
      <c r="AD176" s="176"/>
      <c r="AE176" s="176"/>
      <c r="AF176" s="176"/>
      <c r="AG176" s="176"/>
      <c r="AH176" s="176"/>
      <c r="AI176" s="176"/>
      <c r="AJ176" s="176"/>
      <c r="AK176" s="176"/>
      <c r="AL176" s="176"/>
      <c r="AM176" s="176"/>
      <c r="AN176" s="176"/>
      <c r="AO176" s="176"/>
      <c r="AP176" s="176"/>
      <c r="AQ176" s="176"/>
      <c r="AR176" s="176"/>
      <c r="AS176" s="176"/>
      <c r="AT176" s="176"/>
      <c r="AU176" s="176"/>
      <c r="AV176" s="176"/>
      <c r="AW176" s="176"/>
      <c r="AX176" s="176"/>
      <c r="AY176" s="176"/>
      <c r="AZ176" s="176"/>
      <c r="BA176" s="176"/>
      <c r="BB176" s="176"/>
      <c r="BC176" s="176"/>
      <c r="BD176" s="176"/>
      <c r="BE176" s="176"/>
      <c r="BF176" s="176"/>
      <c r="BG176" s="176"/>
      <c r="BH176" s="176"/>
      <c r="BI176" s="176"/>
      <c r="BJ176" s="176"/>
      <c r="BK176" s="176"/>
      <c r="BL176" s="176"/>
      <c r="BM176" s="176"/>
      <c r="BN176" s="176"/>
      <c r="BO176" s="176"/>
      <c r="BP176" s="176"/>
      <c r="BQ176" s="176"/>
      <c r="BR176" s="176"/>
      <c r="BS176" s="176"/>
      <c r="BT176" s="176"/>
      <c r="BU176" s="176"/>
      <c r="BV176" s="176"/>
      <c r="BW176" s="176"/>
      <c r="BX176" s="176"/>
      <c r="BY176" s="176"/>
      <c r="BZ176" s="176"/>
      <c r="CA176" s="176"/>
      <c r="CB176" s="176"/>
      <c r="CC176" s="176"/>
      <c r="CD176" s="176"/>
      <c r="CE176" s="176"/>
      <c r="CF176" s="176"/>
      <c r="CG176" s="176"/>
      <c r="CH176" s="176"/>
    </row>
    <row r="177" spans="1:86" ht="21.4" customHeight="1" outlineLevel="1" x14ac:dyDescent="0.35">
      <c r="A177" s="176"/>
      <c r="B177" s="169" t="s">
        <v>1390</v>
      </c>
      <c r="C177" s="713"/>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c r="Z177" s="176"/>
      <c r="AA177" s="176"/>
      <c r="AB177" s="176"/>
      <c r="AC177" s="176"/>
      <c r="AD177" s="176"/>
      <c r="AE177" s="176"/>
      <c r="AF177" s="176"/>
      <c r="AG177" s="176"/>
      <c r="AH177" s="176"/>
      <c r="AI177" s="176"/>
      <c r="AJ177" s="176"/>
      <c r="AK177" s="176"/>
      <c r="AL177" s="176"/>
      <c r="AM177" s="176"/>
      <c r="AN177" s="176"/>
      <c r="AO177" s="176"/>
      <c r="AP177" s="176"/>
      <c r="AQ177" s="176"/>
      <c r="AR177" s="176"/>
      <c r="AS177" s="176"/>
      <c r="AT177" s="176"/>
      <c r="AU177" s="176"/>
      <c r="AV177" s="176"/>
      <c r="AW177" s="176"/>
      <c r="AX177" s="176"/>
      <c r="AY177" s="176"/>
      <c r="AZ177" s="176"/>
      <c r="BA177" s="176"/>
      <c r="BB177" s="176"/>
      <c r="BC177" s="176"/>
      <c r="BD177" s="176"/>
      <c r="BE177" s="176"/>
      <c r="BF177" s="176"/>
      <c r="BG177" s="176"/>
      <c r="BH177" s="176"/>
      <c r="BI177" s="176"/>
      <c r="BJ177" s="176"/>
      <c r="BK177" s="176"/>
      <c r="BL177" s="176"/>
      <c r="BM177" s="176"/>
      <c r="BN177" s="176"/>
      <c r="BO177" s="176"/>
      <c r="BP177" s="176"/>
      <c r="BQ177" s="176"/>
      <c r="BR177" s="176"/>
      <c r="BS177" s="176"/>
      <c r="BT177" s="176"/>
      <c r="BU177" s="176"/>
      <c r="BV177" s="176"/>
      <c r="BW177" s="176"/>
      <c r="BX177" s="176"/>
      <c r="BY177" s="176"/>
      <c r="BZ177" s="176"/>
      <c r="CA177" s="176"/>
      <c r="CB177" s="176"/>
      <c r="CC177" s="176"/>
      <c r="CD177" s="176"/>
      <c r="CE177" s="176"/>
      <c r="CF177" s="176"/>
      <c r="CG177" s="176"/>
      <c r="CH177" s="176"/>
    </row>
    <row r="178" spans="1:86" ht="21.4" customHeight="1" outlineLevel="1" x14ac:dyDescent="0.35">
      <c r="A178" s="176"/>
      <c r="B178" s="176"/>
      <c r="C178" s="713"/>
      <c r="D178" s="176"/>
      <c r="E178" s="176"/>
      <c r="F178" s="176"/>
      <c r="G178" s="176"/>
      <c r="H178" s="176"/>
      <c r="I178" s="176"/>
      <c r="J178" s="176"/>
      <c r="K178" s="176"/>
      <c r="L178" s="176"/>
      <c r="M178" s="176"/>
      <c r="N178" s="176"/>
      <c r="O178" s="176"/>
      <c r="P178" s="176"/>
      <c r="Q178" s="176"/>
      <c r="R178" s="176"/>
      <c r="S178" s="176"/>
      <c r="T178" s="176"/>
      <c r="U178" s="176"/>
      <c r="V178" s="176"/>
      <c r="W178" s="176"/>
      <c r="X178" s="176"/>
      <c r="Y178" s="176"/>
      <c r="Z178" s="176"/>
      <c r="AA178" s="176"/>
      <c r="AB178" s="176"/>
      <c r="AC178" s="176"/>
      <c r="AD178" s="176"/>
      <c r="AE178" s="176"/>
      <c r="AF178" s="176"/>
      <c r="AG178" s="176"/>
      <c r="AH178" s="176"/>
      <c r="AI178" s="176"/>
      <c r="AJ178" s="176"/>
      <c r="AK178" s="176"/>
      <c r="AL178" s="176"/>
      <c r="AM178" s="176"/>
      <c r="AN178" s="176"/>
      <c r="AO178" s="176"/>
      <c r="AP178" s="176"/>
      <c r="AQ178" s="176"/>
      <c r="AR178" s="176"/>
      <c r="AS178" s="176"/>
      <c r="AT178" s="176"/>
      <c r="AU178" s="176"/>
      <c r="AV178" s="176"/>
      <c r="AW178" s="176"/>
      <c r="AX178" s="176"/>
      <c r="AY178" s="176"/>
      <c r="AZ178" s="176"/>
      <c r="BA178" s="176"/>
      <c r="BB178" s="176"/>
      <c r="BC178" s="176"/>
      <c r="BD178" s="176"/>
      <c r="BE178" s="176"/>
      <c r="BF178" s="176"/>
      <c r="BG178" s="176"/>
      <c r="BH178" s="176"/>
      <c r="BI178" s="176"/>
      <c r="BJ178" s="176"/>
      <c r="BK178" s="176"/>
      <c r="BL178" s="176"/>
      <c r="BM178" s="176"/>
      <c r="BN178" s="176"/>
      <c r="BO178" s="176"/>
      <c r="BP178" s="176"/>
      <c r="BQ178" s="176"/>
      <c r="BR178" s="176"/>
      <c r="BS178" s="176"/>
      <c r="BT178" s="176"/>
      <c r="BU178" s="176"/>
      <c r="BV178" s="176"/>
      <c r="BW178" s="176"/>
      <c r="BX178" s="176"/>
      <c r="BY178" s="176"/>
      <c r="BZ178" s="176"/>
      <c r="CA178" s="176"/>
      <c r="CB178" s="176"/>
      <c r="CC178" s="176"/>
      <c r="CD178" s="176"/>
      <c r="CE178" s="176"/>
      <c r="CF178" s="176"/>
      <c r="CG178" s="176"/>
      <c r="CH178" s="176"/>
    </row>
    <row r="179" spans="1:86" ht="21.4" customHeight="1" outlineLevel="1" x14ac:dyDescent="0.35">
      <c r="A179" s="176"/>
      <c r="B179" s="168" t="s">
        <v>904</v>
      </c>
      <c r="C179" s="176"/>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c r="AA179" s="176"/>
      <c r="AB179" s="176"/>
      <c r="AC179" s="176"/>
      <c r="AD179" s="176"/>
      <c r="AE179" s="176"/>
      <c r="AF179" s="176"/>
      <c r="AG179" s="176"/>
      <c r="AH179" s="176"/>
      <c r="AI179" s="176"/>
      <c r="AJ179" s="176"/>
      <c r="AK179" s="176"/>
      <c r="AL179" s="176"/>
      <c r="AM179" s="176"/>
      <c r="AN179" s="176"/>
      <c r="AO179" s="176"/>
      <c r="AP179" s="176"/>
      <c r="AQ179" s="176"/>
      <c r="AR179" s="176"/>
      <c r="AS179" s="176"/>
      <c r="AT179" s="176"/>
      <c r="AU179" s="176"/>
      <c r="AV179" s="176"/>
      <c r="AW179" s="176"/>
      <c r="AX179" s="176"/>
      <c r="AY179" s="176"/>
      <c r="AZ179" s="176"/>
      <c r="BA179" s="176"/>
      <c r="BB179" s="176"/>
      <c r="BC179" s="176"/>
      <c r="BD179" s="176"/>
      <c r="BE179" s="176"/>
      <c r="BF179" s="176"/>
      <c r="BG179" s="176"/>
      <c r="BH179" s="176"/>
      <c r="BI179" s="176"/>
      <c r="BJ179" s="176"/>
      <c r="BK179" s="176"/>
      <c r="BL179" s="176"/>
      <c r="BM179" s="176"/>
      <c r="BN179" s="176"/>
      <c r="BO179" s="176"/>
      <c r="BP179" s="176"/>
      <c r="BQ179" s="176"/>
      <c r="BR179" s="176"/>
      <c r="BS179" s="176"/>
      <c r="BT179" s="176"/>
      <c r="BU179" s="176"/>
      <c r="BV179" s="176"/>
      <c r="BW179" s="176"/>
      <c r="BX179" s="176"/>
      <c r="BY179" s="176"/>
      <c r="BZ179" s="176"/>
      <c r="CA179" s="176"/>
      <c r="CB179" s="176"/>
      <c r="CC179" s="176"/>
      <c r="CD179" s="176"/>
      <c r="CE179" s="176"/>
      <c r="CF179" s="176"/>
      <c r="CG179" s="176"/>
      <c r="CH179" s="176"/>
    </row>
    <row r="180" spans="1:86" ht="16" outlineLevel="1" thickBot="1" x14ac:dyDescent="0.4">
      <c r="B180" s="735" t="s">
        <v>42</v>
      </c>
      <c r="C180" s="735" t="s">
        <v>903</v>
      </c>
      <c r="D180" s="735" t="s">
        <v>799</v>
      </c>
      <c r="E180" s="735" t="s">
        <v>800</v>
      </c>
      <c r="F180" s="735" t="s">
        <v>32</v>
      </c>
      <c r="G180" s="735" t="s">
        <v>196</v>
      </c>
      <c r="H180" s="1280" t="s">
        <v>554</v>
      </c>
      <c r="I180" s="1280"/>
      <c r="J180" s="1280"/>
      <c r="K180" s="1280"/>
    </row>
    <row r="181" spans="1:86" ht="16" outlineLevel="1" thickTop="1" x14ac:dyDescent="0.35">
      <c r="B181" s="316" t="s">
        <v>801</v>
      </c>
      <c r="C181" s="736" t="s">
        <v>802</v>
      </c>
      <c r="D181" s="169" t="s">
        <v>803</v>
      </c>
      <c r="E181" s="737">
        <v>7.0000000000000007E-2</v>
      </c>
      <c r="F181" s="316" t="s">
        <v>340</v>
      </c>
      <c r="G181" s="736" t="s">
        <v>804</v>
      </c>
      <c r="H181" s="738" t="s">
        <v>805</v>
      </c>
    </row>
    <row r="182" spans="1:86" outlineLevel="1" x14ac:dyDescent="0.35">
      <c r="B182" s="316" t="s">
        <v>801</v>
      </c>
      <c r="C182" s="736" t="s">
        <v>802</v>
      </c>
      <c r="D182" s="169" t="s">
        <v>806</v>
      </c>
      <c r="E182" s="737">
        <v>2E-3</v>
      </c>
      <c r="F182" s="316" t="s">
        <v>340</v>
      </c>
      <c r="G182" s="736" t="s">
        <v>807</v>
      </c>
      <c r="H182" s="738" t="s">
        <v>805</v>
      </c>
    </row>
    <row r="183" spans="1:86" outlineLevel="1" x14ac:dyDescent="0.35">
      <c r="B183" s="316" t="s">
        <v>801</v>
      </c>
      <c r="C183" s="736" t="s">
        <v>802</v>
      </c>
      <c r="D183" s="169" t="s">
        <v>808</v>
      </c>
      <c r="E183" s="737">
        <v>0.93</v>
      </c>
      <c r="F183" s="316" t="s">
        <v>340</v>
      </c>
      <c r="G183" s="736" t="s">
        <v>809</v>
      </c>
      <c r="H183" s="738" t="s">
        <v>805</v>
      </c>
    </row>
    <row r="184" spans="1:86" outlineLevel="1" x14ac:dyDescent="0.35">
      <c r="B184" s="739" t="s">
        <v>801</v>
      </c>
      <c r="C184" s="740" t="s">
        <v>802</v>
      </c>
      <c r="D184" s="741" t="s">
        <v>810</v>
      </c>
      <c r="E184" s="739" t="s">
        <v>811</v>
      </c>
      <c r="F184" s="739" t="s">
        <v>812</v>
      </c>
      <c r="G184" s="740"/>
      <c r="H184" s="742" t="s">
        <v>805</v>
      </c>
      <c r="I184" s="742"/>
      <c r="J184" s="742"/>
      <c r="K184" s="742"/>
    </row>
    <row r="185" spans="1:86" outlineLevel="1" x14ac:dyDescent="0.35">
      <c r="B185" s="316" t="s">
        <v>801</v>
      </c>
      <c r="C185" s="736" t="s">
        <v>813</v>
      </c>
      <c r="D185" s="169" t="s">
        <v>803</v>
      </c>
      <c r="E185" s="737">
        <v>8.5000000000000006E-2</v>
      </c>
      <c r="F185" s="316" t="s">
        <v>340</v>
      </c>
      <c r="G185" s="736" t="s">
        <v>804</v>
      </c>
      <c r="H185" s="738" t="s">
        <v>814</v>
      </c>
    </row>
    <row r="186" spans="1:86" outlineLevel="1" x14ac:dyDescent="0.35">
      <c r="B186" s="316" t="s">
        <v>801</v>
      </c>
      <c r="C186" s="736" t="s">
        <v>813</v>
      </c>
      <c r="D186" s="169" t="s">
        <v>806</v>
      </c>
      <c r="E186" s="737">
        <v>2.5999999999999999E-2</v>
      </c>
      <c r="F186" s="316" t="s">
        <v>340</v>
      </c>
      <c r="G186" s="736" t="s">
        <v>815</v>
      </c>
      <c r="H186" s="738" t="s">
        <v>814</v>
      </c>
    </row>
    <row r="187" spans="1:86" outlineLevel="1" x14ac:dyDescent="0.35">
      <c r="B187" s="316" t="s">
        <v>801</v>
      </c>
      <c r="C187" s="736" t="s">
        <v>813</v>
      </c>
      <c r="D187" s="169" t="s">
        <v>808</v>
      </c>
      <c r="E187" s="737">
        <v>0.95</v>
      </c>
      <c r="F187" s="316" t="s">
        <v>340</v>
      </c>
      <c r="G187" s="736" t="s">
        <v>809</v>
      </c>
      <c r="H187" s="738" t="s">
        <v>814</v>
      </c>
    </row>
    <row r="188" spans="1:86" outlineLevel="1" x14ac:dyDescent="0.35">
      <c r="B188" s="739" t="s">
        <v>801</v>
      </c>
      <c r="C188" s="740" t="s">
        <v>813</v>
      </c>
      <c r="D188" s="741" t="s">
        <v>810</v>
      </c>
      <c r="E188" s="743" t="s">
        <v>811</v>
      </c>
      <c r="F188" s="739" t="s">
        <v>812</v>
      </c>
      <c r="G188" s="740"/>
      <c r="H188" s="742" t="s">
        <v>814</v>
      </c>
      <c r="I188" s="742"/>
      <c r="J188" s="742"/>
      <c r="K188" s="742"/>
    </row>
    <row r="189" spans="1:86" ht="17.5" outlineLevel="1" x14ac:dyDescent="0.35">
      <c r="B189" s="316" t="s">
        <v>816</v>
      </c>
      <c r="C189" s="736" t="s">
        <v>817</v>
      </c>
      <c r="D189" s="169" t="s">
        <v>803</v>
      </c>
      <c r="E189" s="744">
        <v>0.04</v>
      </c>
      <c r="F189" s="316" t="s">
        <v>1369</v>
      </c>
      <c r="G189" s="736" t="s">
        <v>818</v>
      </c>
      <c r="H189" s="738" t="s">
        <v>819</v>
      </c>
    </row>
    <row r="190" spans="1:86" ht="17.5" outlineLevel="1" x14ac:dyDescent="0.35">
      <c r="B190" s="316" t="s">
        <v>801</v>
      </c>
      <c r="C190" s="736" t="s">
        <v>817</v>
      </c>
      <c r="D190" s="169" t="s">
        <v>803</v>
      </c>
      <c r="E190" s="744">
        <v>0.2</v>
      </c>
      <c r="F190" s="316" t="s">
        <v>1369</v>
      </c>
      <c r="G190" s="736" t="s">
        <v>818</v>
      </c>
      <c r="H190" s="738" t="s">
        <v>819</v>
      </c>
    </row>
    <row r="191" spans="1:86" ht="17.5" outlineLevel="1" x14ac:dyDescent="0.35">
      <c r="B191" s="316" t="s">
        <v>816</v>
      </c>
      <c r="C191" s="736" t="s">
        <v>820</v>
      </c>
      <c r="D191" s="169" t="s">
        <v>803</v>
      </c>
      <c r="E191" s="745">
        <v>0.9</v>
      </c>
      <c r="F191" s="316" t="s">
        <v>1370</v>
      </c>
      <c r="G191" s="736" t="s">
        <v>818</v>
      </c>
      <c r="H191" s="738" t="s">
        <v>819</v>
      </c>
    </row>
    <row r="192" spans="1:86" ht="17.5" outlineLevel="1" x14ac:dyDescent="0.35">
      <c r="B192" s="739" t="s">
        <v>801</v>
      </c>
      <c r="C192" s="740" t="s">
        <v>820</v>
      </c>
      <c r="D192" s="741" t="s">
        <v>803</v>
      </c>
      <c r="E192" s="746">
        <v>4</v>
      </c>
      <c r="F192" s="739" t="s">
        <v>1370</v>
      </c>
      <c r="G192" s="740" t="s">
        <v>818</v>
      </c>
      <c r="H192" s="742" t="s">
        <v>819</v>
      </c>
      <c r="I192" s="742"/>
      <c r="J192" s="742"/>
      <c r="K192" s="742"/>
    </row>
    <row r="193" spans="1:86" ht="17.5" outlineLevel="1" x14ac:dyDescent="0.35">
      <c r="B193" s="316" t="s">
        <v>198</v>
      </c>
      <c r="C193" s="736" t="s">
        <v>821</v>
      </c>
      <c r="D193" s="169" t="s">
        <v>822</v>
      </c>
      <c r="E193" s="747">
        <v>3.98E-6</v>
      </c>
      <c r="F193" s="316" t="s">
        <v>1371</v>
      </c>
      <c r="G193" s="736"/>
      <c r="H193" s="738" t="s">
        <v>823</v>
      </c>
    </row>
    <row r="194" spans="1:86" ht="17.5" outlineLevel="1" x14ac:dyDescent="0.35">
      <c r="B194" s="316" t="s">
        <v>199</v>
      </c>
      <c r="C194" s="736" t="s">
        <v>821</v>
      </c>
      <c r="D194" s="169" t="s">
        <v>822</v>
      </c>
      <c r="E194" s="747">
        <v>4.5499999999999995E-4</v>
      </c>
      <c r="F194" s="316" t="s">
        <v>1372</v>
      </c>
      <c r="G194" s="736"/>
      <c r="H194" s="738" t="s">
        <v>823</v>
      </c>
    </row>
    <row r="195" spans="1:86" ht="17.5" outlineLevel="1" x14ac:dyDescent="0.35">
      <c r="B195" s="316" t="s">
        <v>200</v>
      </c>
      <c r="C195" s="736" t="s">
        <v>821</v>
      </c>
      <c r="D195" s="169" t="s">
        <v>822</v>
      </c>
      <c r="E195" s="747" t="s">
        <v>50</v>
      </c>
      <c r="F195" s="316" t="s">
        <v>1373</v>
      </c>
      <c r="G195" s="736"/>
      <c r="H195" s="738" t="s">
        <v>823</v>
      </c>
    </row>
    <row r="196" spans="1:86" ht="18" outlineLevel="1" thickBot="1" x14ac:dyDescent="0.4">
      <c r="B196" s="748" t="s">
        <v>824</v>
      </c>
      <c r="C196" s="749" t="s">
        <v>821</v>
      </c>
      <c r="D196" s="750" t="s">
        <v>822</v>
      </c>
      <c r="E196" s="751">
        <f>E193*1+E194*28</f>
        <v>1.2743979999999999E-2</v>
      </c>
      <c r="F196" s="748" t="s">
        <v>1374</v>
      </c>
      <c r="G196" s="752"/>
      <c r="H196" s="753"/>
      <c r="I196" s="753"/>
      <c r="J196" s="753"/>
      <c r="K196" s="753"/>
    </row>
    <row r="197" spans="1:86" ht="18" outlineLevel="1" thickTop="1" x14ac:dyDescent="0.35">
      <c r="B197" s="316" t="s">
        <v>198</v>
      </c>
      <c r="C197" s="736" t="s">
        <v>821</v>
      </c>
      <c r="D197" s="169" t="s">
        <v>825</v>
      </c>
      <c r="E197" s="747">
        <v>1.1000000000000001E-7</v>
      </c>
      <c r="F197" s="316" t="s">
        <v>1371</v>
      </c>
      <c r="G197" s="736"/>
      <c r="H197" s="738" t="s">
        <v>823</v>
      </c>
    </row>
    <row r="198" spans="1:86" ht="17.5" outlineLevel="1" x14ac:dyDescent="0.35">
      <c r="B198" s="316" t="s">
        <v>199</v>
      </c>
      <c r="C198" s="736" t="s">
        <v>821</v>
      </c>
      <c r="D198" s="169" t="s">
        <v>825</v>
      </c>
      <c r="E198" s="747">
        <v>2.5000000000000001E-5</v>
      </c>
      <c r="F198" s="316" t="s">
        <v>1372</v>
      </c>
      <c r="G198" s="736"/>
      <c r="H198" s="738" t="s">
        <v>823</v>
      </c>
    </row>
    <row r="199" spans="1:86" ht="17.5" outlineLevel="1" x14ac:dyDescent="0.35">
      <c r="B199" s="316" t="s">
        <v>200</v>
      </c>
      <c r="C199" s="736" t="s">
        <v>821</v>
      </c>
      <c r="D199" s="169" t="s">
        <v>825</v>
      </c>
      <c r="E199" s="747" t="s">
        <v>50</v>
      </c>
      <c r="F199" s="316" t="s">
        <v>1373</v>
      </c>
      <c r="G199" s="736"/>
      <c r="H199" s="738" t="s">
        <v>823</v>
      </c>
    </row>
    <row r="200" spans="1:86" ht="18" outlineLevel="1" thickBot="1" x14ac:dyDescent="0.4">
      <c r="B200" s="748" t="s">
        <v>824</v>
      </c>
      <c r="C200" s="749" t="s">
        <v>821</v>
      </c>
      <c r="D200" s="750" t="s">
        <v>825</v>
      </c>
      <c r="E200" s="751">
        <f>E197*1+E198*28</f>
        <v>7.0010999999999999E-4</v>
      </c>
      <c r="F200" s="748" t="s">
        <v>1374</v>
      </c>
      <c r="G200" s="752"/>
      <c r="H200" s="753"/>
      <c r="I200" s="753"/>
      <c r="J200" s="753"/>
      <c r="K200" s="753"/>
    </row>
    <row r="201" spans="1:86" ht="18" outlineLevel="1" thickTop="1" x14ac:dyDescent="0.35">
      <c r="B201" s="316" t="s">
        <v>198</v>
      </c>
      <c r="C201" s="736" t="s">
        <v>821</v>
      </c>
      <c r="D201" s="169" t="s">
        <v>826</v>
      </c>
      <c r="E201" s="747">
        <v>5.1E-5</v>
      </c>
      <c r="F201" s="316" t="s">
        <v>1371</v>
      </c>
      <c r="G201" s="736"/>
      <c r="H201" s="738" t="s">
        <v>823</v>
      </c>
    </row>
    <row r="202" spans="1:86" ht="17.5" outlineLevel="1" x14ac:dyDescent="0.35">
      <c r="B202" s="316" t="s">
        <v>199</v>
      </c>
      <c r="C202" s="736" t="s">
        <v>821</v>
      </c>
      <c r="D202" s="169" t="s">
        <v>826</v>
      </c>
      <c r="E202" s="747">
        <v>1.2999999999999999E-3</v>
      </c>
      <c r="F202" s="316" t="s">
        <v>1372</v>
      </c>
      <c r="G202" s="736"/>
      <c r="H202" s="738" t="s">
        <v>823</v>
      </c>
    </row>
    <row r="203" spans="1:86" ht="17.5" outlineLevel="1" x14ac:dyDescent="0.35">
      <c r="B203" s="316" t="s">
        <v>200</v>
      </c>
      <c r="C203" s="736" t="s">
        <v>821</v>
      </c>
      <c r="D203" s="169" t="s">
        <v>826</v>
      </c>
      <c r="E203" s="747" t="s">
        <v>50</v>
      </c>
      <c r="F203" s="316" t="s">
        <v>1373</v>
      </c>
      <c r="G203" s="736"/>
      <c r="H203" s="738" t="s">
        <v>823</v>
      </c>
    </row>
    <row r="204" spans="1:86" ht="18" outlineLevel="1" thickBot="1" x14ac:dyDescent="0.4">
      <c r="B204" s="748" t="s">
        <v>824</v>
      </c>
      <c r="C204" s="749" t="s">
        <v>821</v>
      </c>
      <c r="D204" s="750" t="s">
        <v>826</v>
      </c>
      <c r="E204" s="751">
        <f>E201*1+E202*28</f>
        <v>3.6451000000000004E-2</v>
      </c>
      <c r="F204" s="748" t="s">
        <v>1374</v>
      </c>
      <c r="G204" s="752"/>
      <c r="H204" s="753"/>
      <c r="I204" s="753"/>
      <c r="J204" s="753"/>
      <c r="K204" s="753"/>
    </row>
    <row r="205" spans="1:86" ht="16" thickTop="1" x14ac:dyDescent="0.35"/>
    <row r="206" spans="1:86" s="673" customFormat="1" ht="30" customHeight="1" x14ac:dyDescent="0.35">
      <c r="A206" s="668"/>
      <c r="B206" s="634" t="s">
        <v>905</v>
      </c>
      <c r="C206" s="669"/>
      <c r="D206" s="670"/>
      <c r="E206" s="670"/>
      <c r="F206" s="670"/>
      <c r="G206" s="670"/>
      <c r="H206" s="670"/>
      <c r="I206" s="670"/>
      <c r="J206" s="670"/>
      <c r="K206" s="670"/>
      <c r="L206" s="670"/>
      <c r="M206" s="670"/>
      <c r="N206" s="670"/>
      <c r="O206" s="670"/>
      <c r="P206" s="670"/>
      <c r="Q206" s="670"/>
      <c r="R206" s="670"/>
      <c r="S206" s="670"/>
      <c r="T206" s="670"/>
      <c r="U206" s="670"/>
      <c r="V206" s="670"/>
      <c r="W206" s="670"/>
      <c r="X206" s="670"/>
      <c r="Y206" s="670"/>
      <c r="Z206" s="670"/>
      <c r="AA206" s="670"/>
      <c r="AB206" s="670"/>
      <c r="AC206" s="670"/>
      <c r="AD206" s="670"/>
      <c r="AE206" s="670"/>
      <c r="AF206" s="670"/>
      <c r="AG206" s="670"/>
      <c r="AH206" s="670"/>
      <c r="AI206" s="670"/>
      <c r="AJ206" s="670"/>
      <c r="AK206" s="670"/>
      <c r="AL206" s="670"/>
      <c r="AM206" s="670"/>
      <c r="AN206" s="670"/>
      <c r="AO206" s="670"/>
      <c r="AP206" s="670"/>
      <c r="AQ206" s="670"/>
      <c r="AR206" s="670"/>
      <c r="AS206" s="670"/>
      <c r="AT206" s="670"/>
      <c r="AU206" s="670"/>
      <c r="AV206" s="670"/>
      <c r="AW206" s="670"/>
      <c r="AX206" s="670"/>
      <c r="AY206" s="670"/>
      <c r="AZ206" s="670"/>
      <c r="BA206" s="670"/>
      <c r="BB206" s="670"/>
      <c r="BC206" s="670"/>
      <c r="BD206" s="670"/>
      <c r="BE206" s="670"/>
      <c r="BF206" s="670"/>
      <c r="BG206" s="670"/>
      <c r="BH206" s="670"/>
      <c r="BI206" s="670"/>
      <c r="BJ206" s="670"/>
      <c r="BK206" s="670"/>
      <c r="BL206" s="670"/>
      <c r="BM206" s="670"/>
      <c r="BN206" s="670"/>
      <c r="BO206" s="670"/>
      <c r="BP206" s="670"/>
      <c r="BQ206" s="670"/>
      <c r="BR206" s="670"/>
      <c r="BS206" s="670"/>
      <c r="BT206" s="670"/>
      <c r="BU206" s="670"/>
      <c r="BV206" s="670"/>
      <c r="BW206" s="670"/>
      <c r="BX206" s="671"/>
      <c r="BY206" s="671"/>
      <c r="BZ206" s="671"/>
      <c r="CA206" s="672"/>
    </row>
    <row r="207" spans="1:86" ht="21.4" customHeight="1" outlineLevel="1" x14ac:dyDescent="0.35">
      <c r="A207" s="176"/>
      <c r="B207" s="176"/>
      <c r="C207" s="713"/>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c r="Z207" s="176"/>
      <c r="AA207" s="176"/>
      <c r="AB207" s="176"/>
      <c r="AC207" s="176"/>
      <c r="AD207" s="176"/>
      <c r="AE207" s="176"/>
      <c r="AF207" s="176"/>
      <c r="AG207" s="176"/>
      <c r="AH207" s="176"/>
      <c r="AI207" s="176"/>
      <c r="AJ207" s="176"/>
      <c r="AK207" s="176"/>
      <c r="AL207" s="176"/>
      <c r="AM207" s="176"/>
      <c r="AN207" s="176"/>
      <c r="AO207" s="176"/>
      <c r="AP207" s="176"/>
      <c r="AQ207" s="176"/>
      <c r="AR207" s="176"/>
      <c r="AS207" s="176"/>
      <c r="AT207" s="176"/>
      <c r="AU207" s="176"/>
      <c r="AV207" s="176"/>
      <c r="AW207" s="176"/>
      <c r="AX207" s="176"/>
      <c r="AY207" s="176"/>
      <c r="AZ207" s="176"/>
      <c r="BA207" s="176"/>
      <c r="BB207" s="176"/>
      <c r="BC207" s="176"/>
      <c r="BD207" s="176"/>
      <c r="BE207" s="176"/>
      <c r="BF207" s="176"/>
      <c r="BG207" s="176"/>
      <c r="BH207" s="176"/>
      <c r="BI207" s="176"/>
      <c r="BJ207" s="176"/>
      <c r="BK207" s="176"/>
      <c r="BL207" s="176"/>
      <c r="BM207" s="176"/>
      <c r="BN207" s="176"/>
      <c r="BO207" s="176"/>
      <c r="BP207" s="176"/>
      <c r="BQ207" s="176"/>
      <c r="BR207" s="176"/>
      <c r="BS207" s="176"/>
      <c r="BT207" s="176"/>
      <c r="BU207" s="176"/>
      <c r="BV207" s="176"/>
      <c r="BW207" s="176"/>
      <c r="BX207" s="176"/>
      <c r="BY207" s="176"/>
      <c r="BZ207" s="176"/>
      <c r="CA207" s="176"/>
      <c r="CB207" s="176"/>
      <c r="CC207" s="176"/>
      <c r="CD207" s="176"/>
      <c r="CE207" s="176"/>
      <c r="CF207" s="176"/>
      <c r="CG207" s="176"/>
      <c r="CH207" s="176"/>
    </row>
    <row r="208" spans="1:86" ht="21.4" customHeight="1" outlineLevel="1" x14ac:dyDescent="0.35">
      <c r="A208" s="176"/>
      <c r="B208" s="795" t="s">
        <v>855</v>
      </c>
      <c r="C208" s="283" t="s">
        <v>856</v>
      </c>
      <c r="D208" s="795" t="s">
        <v>968</v>
      </c>
      <c r="E208" s="795" t="s">
        <v>1230</v>
      </c>
      <c r="F208" s="795" t="s">
        <v>1557</v>
      </c>
      <c r="G208" s="795" t="s">
        <v>554</v>
      </c>
      <c r="H208" s="176"/>
      <c r="I208" s="176"/>
      <c r="J208" s="176"/>
      <c r="K208" s="176"/>
      <c r="L208" s="176"/>
      <c r="M208" s="176"/>
      <c r="N208" s="176"/>
      <c r="O208" s="176"/>
      <c r="P208" s="176"/>
      <c r="Q208" s="176"/>
      <c r="R208" s="176"/>
      <c r="S208" s="176"/>
      <c r="T208" s="176"/>
      <c r="U208" s="176"/>
      <c r="V208" s="176"/>
      <c r="W208" s="176"/>
      <c r="X208" s="176"/>
      <c r="Y208" s="176"/>
      <c r="Z208" s="176"/>
      <c r="AA208" s="176"/>
      <c r="AB208" s="176"/>
      <c r="AC208" s="176"/>
      <c r="AD208" s="176"/>
      <c r="AE208" s="176"/>
      <c r="AF208" s="176"/>
      <c r="AG208" s="176"/>
      <c r="AH208" s="176"/>
      <c r="AI208" s="176"/>
      <c r="AJ208" s="176"/>
      <c r="AK208" s="176"/>
      <c r="AL208" s="176"/>
      <c r="AM208" s="176"/>
      <c r="AN208" s="176"/>
      <c r="AO208" s="176"/>
      <c r="AP208" s="176"/>
      <c r="AQ208" s="176"/>
      <c r="AR208" s="176"/>
      <c r="AS208" s="176"/>
      <c r="AT208" s="176"/>
      <c r="AU208" s="176"/>
      <c r="AV208" s="176"/>
      <c r="AW208" s="176"/>
      <c r="AX208" s="176"/>
      <c r="AY208" s="176"/>
      <c r="AZ208" s="176"/>
      <c r="BA208" s="176"/>
      <c r="BB208" s="176"/>
      <c r="BC208" s="176"/>
      <c r="BD208" s="176"/>
      <c r="BE208" s="176"/>
      <c r="BF208" s="176"/>
      <c r="BG208" s="176"/>
      <c r="BH208" s="176"/>
      <c r="BI208" s="176"/>
      <c r="BJ208" s="176"/>
      <c r="BK208" s="176"/>
      <c r="BL208" s="176"/>
      <c r="BM208" s="176"/>
      <c r="BN208" s="176"/>
      <c r="BO208" s="176"/>
      <c r="BP208" s="176"/>
      <c r="BQ208" s="176"/>
      <c r="BR208" s="176"/>
      <c r="BS208" s="176"/>
      <c r="BT208" s="176"/>
      <c r="BU208" s="176"/>
      <c r="BV208" s="176"/>
      <c r="BW208" s="176"/>
      <c r="BX208" s="176"/>
      <c r="BY208" s="176"/>
      <c r="BZ208" s="176"/>
      <c r="CA208" s="176"/>
      <c r="CB208" s="176"/>
      <c r="CC208" s="176"/>
      <c r="CD208" s="176"/>
      <c r="CE208" s="176"/>
      <c r="CF208" s="176"/>
      <c r="CG208" s="176"/>
      <c r="CH208" s="176"/>
    </row>
    <row r="209" spans="1:86" ht="21.4" customHeight="1" outlineLevel="1" x14ac:dyDescent="0.35">
      <c r="A209" s="176"/>
      <c r="B209" s="796" t="s">
        <v>857</v>
      </c>
      <c r="C209" s="1017">
        <v>510.64400013059742</v>
      </c>
      <c r="D209" s="797" t="str">
        <f t="shared" ref="D209:D216" si="9">"kg CO2e / "&amp;F209</f>
        <v>kg CO2e / t clínquer</v>
      </c>
      <c r="E209" s="797" t="s">
        <v>1231</v>
      </c>
      <c r="F209" s="797" t="s">
        <v>875</v>
      </c>
      <c r="G209" s="798" t="s">
        <v>858</v>
      </c>
      <c r="H209" s="176"/>
      <c r="I209" s="176"/>
      <c r="J209" s="176"/>
      <c r="K209" s="176"/>
      <c r="L209" s="176"/>
      <c r="M209" s="176"/>
      <c r="N209" s="176"/>
      <c r="O209" s="176"/>
      <c r="P209" s="176"/>
      <c r="Q209" s="176"/>
      <c r="R209" s="176"/>
      <c r="S209" s="176"/>
      <c r="T209" s="176"/>
      <c r="U209" s="176"/>
      <c r="V209" s="176"/>
      <c r="W209" s="176"/>
      <c r="X209" s="176"/>
      <c r="Y209" s="176"/>
      <c r="Z209" s="176"/>
      <c r="AA209" s="176"/>
      <c r="AB209" s="176"/>
      <c r="AC209" s="176"/>
      <c r="AD209" s="176"/>
      <c r="AE209" s="176"/>
      <c r="AF209" s="176"/>
      <c r="AG209" s="176"/>
      <c r="AH209" s="176"/>
      <c r="AI209" s="176"/>
      <c r="AJ209" s="176"/>
      <c r="AK209" s="176"/>
      <c r="AL209" s="176"/>
      <c r="AM209" s="176"/>
      <c r="AN209" s="176"/>
      <c r="AO209" s="176"/>
      <c r="AP209" s="176"/>
      <c r="AQ209" s="176"/>
      <c r="AR209" s="176"/>
      <c r="AS209" s="176"/>
      <c r="AT209" s="176"/>
      <c r="AU209" s="176"/>
      <c r="AV209" s="176"/>
      <c r="AW209" s="176"/>
      <c r="AX209" s="176"/>
      <c r="AY209" s="176"/>
      <c r="AZ209" s="176"/>
      <c r="BA209" s="176"/>
      <c r="BB209" s="176"/>
      <c r="BC209" s="176"/>
      <c r="BD209" s="176"/>
      <c r="BE209" s="176"/>
      <c r="BF209" s="176"/>
      <c r="BG209" s="176"/>
      <c r="BH209" s="176"/>
      <c r="BI209" s="176"/>
      <c r="BJ209" s="176"/>
      <c r="BK209" s="176"/>
      <c r="BL209" s="176"/>
      <c r="BM209" s="176"/>
      <c r="BN209" s="176"/>
      <c r="BO209" s="176"/>
      <c r="BP209" s="176"/>
      <c r="BQ209" s="176"/>
      <c r="BR209" s="176"/>
      <c r="BS209" s="176"/>
      <c r="BT209" s="176"/>
      <c r="BU209" s="176"/>
      <c r="BV209" s="176"/>
      <c r="BW209" s="176"/>
      <c r="BX209" s="176"/>
      <c r="BY209" s="176"/>
      <c r="BZ209" s="176"/>
      <c r="CA209" s="176"/>
      <c r="CB209" s="176"/>
      <c r="CC209" s="176"/>
      <c r="CD209" s="176"/>
      <c r="CE209" s="176"/>
      <c r="CF209" s="176"/>
      <c r="CG209" s="176"/>
      <c r="CH209" s="176"/>
    </row>
    <row r="210" spans="1:86" ht="21.4" customHeight="1" outlineLevel="1" x14ac:dyDescent="0.35">
      <c r="A210" s="176"/>
      <c r="B210" s="796" t="s">
        <v>859</v>
      </c>
      <c r="C210" s="1017">
        <v>683.82051204099218</v>
      </c>
      <c r="D210" s="797" t="str">
        <f t="shared" si="9"/>
        <v>kg CO2e / t cal</v>
      </c>
      <c r="E210" s="797" t="s">
        <v>1232</v>
      </c>
      <c r="F210" s="797" t="s">
        <v>876</v>
      </c>
      <c r="G210" s="798" t="s">
        <v>858</v>
      </c>
      <c r="H210" s="176"/>
      <c r="I210" s="176"/>
      <c r="J210" s="176"/>
      <c r="K210" s="176"/>
      <c r="L210" s="176"/>
      <c r="M210" s="176"/>
      <c r="N210" s="176"/>
      <c r="O210" s="176"/>
      <c r="P210" s="176"/>
      <c r="Q210" s="176"/>
      <c r="R210" s="176"/>
      <c r="S210" s="176"/>
      <c r="T210" s="176"/>
      <c r="U210" s="176"/>
      <c r="V210" s="176"/>
      <c r="W210" s="176"/>
      <c r="X210" s="176"/>
      <c r="Y210" s="176"/>
      <c r="Z210" s="176"/>
      <c r="AA210" s="176"/>
      <c r="AB210" s="176"/>
      <c r="AC210" s="176"/>
      <c r="AD210" s="176"/>
      <c r="AE210" s="176"/>
      <c r="AF210" s="176"/>
      <c r="AG210" s="176"/>
      <c r="AH210" s="176"/>
      <c r="AI210" s="176"/>
      <c r="AJ210" s="176"/>
      <c r="AK210" s="176"/>
      <c r="AL210" s="176"/>
      <c r="AM210" s="176"/>
      <c r="AN210" s="176"/>
      <c r="AO210" s="176"/>
      <c r="AP210" s="176"/>
      <c r="AQ210" s="176"/>
      <c r="AR210" s="176"/>
      <c r="AS210" s="176"/>
      <c r="AT210" s="176"/>
      <c r="AU210" s="176"/>
      <c r="AV210" s="176"/>
      <c r="AW210" s="176"/>
      <c r="AX210" s="176"/>
      <c r="AY210" s="176"/>
      <c r="AZ210" s="176"/>
      <c r="BA210" s="176"/>
      <c r="BB210" s="176"/>
      <c r="BC210" s="176"/>
      <c r="BD210" s="176"/>
      <c r="BE210" s="176"/>
      <c r="BF210" s="176"/>
      <c r="BG210" s="176"/>
      <c r="BH210" s="176"/>
      <c r="BI210" s="176"/>
      <c r="BJ210" s="176"/>
      <c r="BK210" s="176"/>
      <c r="BL210" s="176"/>
      <c r="BM210" s="176"/>
      <c r="BN210" s="176"/>
      <c r="BO210" s="176"/>
      <c r="BP210" s="176"/>
      <c r="BQ210" s="176"/>
      <c r="BR210" s="176"/>
      <c r="BS210" s="176"/>
      <c r="BT210" s="176"/>
      <c r="BU210" s="176"/>
      <c r="BV210" s="176"/>
      <c r="BW210" s="176"/>
      <c r="BX210" s="176"/>
      <c r="BY210" s="176"/>
      <c r="BZ210" s="176"/>
      <c r="CA210" s="176"/>
      <c r="CB210" s="176"/>
      <c r="CC210" s="176"/>
      <c r="CD210" s="176"/>
      <c r="CE210" s="176"/>
      <c r="CF210" s="176"/>
      <c r="CG210" s="176"/>
      <c r="CH210" s="176"/>
    </row>
    <row r="211" spans="1:86" ht="21.4" customHeight="1" outlineLevel="1" x14ac:dyDescent="0.35">
      <c r="A211" s="176"/>
      <c r="B211" s="796" t="s">
        <v>860</v>
      </c>
      <c r="C211" s="1017">
        <v>89.208332324399436</v>
      </c>
      <c r="D211" s="797" t="str">
        <f t="shared" si="9"/>
        <v>kg CO2e / t vidro</v>
      </c>
      <c r="E211" s="797" t="s">
        <v>1233</v>
      </c>
      <c r="F211" s="797" t="s">
        <v>877</v>
      </c>
      <c r="G211" s="798" t="s">
        <v>858</v>
      </c>
      <c r="H211" s="176"/>
      <c r="I211" s="176"/>
      <c r="J211" s="176"/>
      <c r="K211" s="176"/>
      <c r="L211" s="176"/>
      <c r="M211" s="176"/>
      <c r="N211" s="176"/>
      <c r="O211" s="176"/>
      <c r="P211" s="176"/>
      <c r="Q211" s="176"/>
      <c r="R211" s="176"/>
      <c r="S211" s="176"/>
      <c r="T211" s="176"/>
      <c r="U211" s="176"/>
      <c r="V211" s="176"/>
      <c r="W211" s="176"/>
      <c r="X211" s="176"/>
      <c r="Y211" s="176"/>
      <c r="Z211" s="176"/>
      <c r="AA211" s="176"/>
      <c r="AB211" s="176"/>
      <c r="AC211" s="176"/>
      <c r="AD211" s="176"/>
      <c r="AE211" s="176"/>
      <c r="AF211" s="176"/>
      <c r="AG211" s="176"/>
      <c r="AH211" s="176"/>
      <c r="AI211" s="176"/>
      <c r="AJ211" s="176"/>
      <c r="AK211" s="176"/>
      <c r="AL211" s="176"/>
      <c r="AM211" s="176"/>
      <c r="AN211" s="176"/>
      <c r="AO211" s="176"/>
      <c r="AP211" s="176"/>
      <c r="AQ211" s="176"/>
      <c r="AR211" s="176"/>
      <c r="AS211" s="176"/>
      <c r="AT211" s="176"/>
      <c r="AU211" s="176"/>
      <c r="AV211" s="176"/>
      <c r="AW211" s="176"/>
      <c r="AX211" s="176"/>
      <c r="AY211" s="176"/>
      <c r="AZ211" s="176"/>
      <c r="BA211" s="176"/>
      <c r="BB211" s="176"/>
      <c r="BC211" s="176"/>
      <c r="BD211" s="176"/>
      <c r="BE211" s="176"/>
      <c r="BF211" s="176"/>
      <c r="BG211" s="176"/>
      <c r="BH211" s="176"/>
      <c r="BI211" s="176"/>
      <c r="BJ211" s="176"/>
      <c r="BK211" s="176"/>
      <c r="BL211" s="176"/>
      <c r="BM211" s="176"/>
      <c r="BN211" s="176"/>
      <c r="BO211" s="176"/>
      <c r="BP211" s="176"/>
      <c r="BQ211" s="176"/>
      <c r="BR211" s="176"/>
      <c r="BS211" s="176"/>
      <c r="BT211" s="176"/>
      <c r="BU211" s="176"/>
      <c r="BV211" s="176"/>
      <c r="BW211" s="176"/>
      <c r="BX211" s="176"/>
      <c r="BY211" s="176"/>
      <c r="BZ211" s="176"/>
      <c r="CA211" s="176"/>
      <c r="CB211" s="176"/>
      <c r="CC211" s="176"/>
      <c r="CD211" s="176"/>
      <c r="CE211" s="176"/>
      <c r="CF211" s="176"/>
      <c r="CG211" s="176"/>
      <c r="CH211" s="176"/>
    </row>
    <row r="212" spans="1:86" ht="21.4" customHeight="1" outlineLevel="1" x14ac:dyDescent="0.35">
      <c r="A212" s="176"/>
      <c r="B212" s="796" t="s">
        <v>861</v>
      </c>
      <c r="C212" s="1017">
        <v>21.896543813572944</v>
      </c>
      <c r="D212" s="797" t="str">
        <f t="shared" si="9"/>
        <v>kg CO2e / t carbonatos consumidos</v>
      </c>
      <c r="E212" s="797" t="s">
        <v>1558</v>
      </c>
      <c r="F212" s="797" t="s">
        <v>878</v>
      </c>
      <c r="G212" s="798" t="s">
        <v>858</v>
      </c>
      <c r="H212" s="176"/>
      <c r="I212" s="176"/>
      <c r="J212" s="176"/>
      <c r="K212" s="176"/>
      <c r="L212" s="176"/>
      <c r="M212" s="176"/>
      <c r="N212" s="176"/>
      <c r="O212" s="176"/>
      <c r="P212" s="176"/>
      <c r="Q212" s="176"/>
      <c r="R212" s="176"/>
      <c r="S212" s="176"/>
      <c r="T212" s="176"/>
      <c r="U212" s="176"/>
      <c r="V212" s="176"/>
      <c r="W212" s="176"/>
      <c r="X212" s="176"/>
      <c r="Y212" s="176"/>
      <c r="Z212" s="176"/>
      <c r="AA212" s="176"/>
      <c r="AB212" s="176"/>
      <c r="AC212" s="176"/>
      <c r="AD212" s="176"/>
      <c r="AE212" s="176"/>
      <c r="AF212" s="176"/>
      <c r="AG212" s="176"/>
      <c r="AH212" s="176"/>
      <c r="AI212" s="176"/>
      <c r="AJ212" s="176"/>
      <c r="AK212" s="176"/>
      <c r="AL212" s="176"/>
      <c r="AM212" s="176"/>
      <c r="AN212" s="176"/>
      <c r="AO212" s="176"/>
      <c r="AP212" s="176"/>
      <c r="AQ212" s="176"/>
      <c r="AR212" s="176"/>
      <c r="AS212" s="176"/>
      <c r="AT212" s="176"/>
      <c r="AU212" s="176"/>
      <c r="AV212" s="176"/>
      <c r="AW212" s="176"/>
      <c r="AX212" s="176"/>
      <c r="AY212" s="176"/>
      <c r="AZ212" s="176"/>
      <c r="BA212" s="176"/>
      <c r="BB212" s="176"/>
      <c r="BC212" s="176"/>
      <c r="BD212" s="176"/>
      <c r="BE212" s="176"/>
      <c r="BF212" s="176"/>
      <c r="BG212" s="176"/>
      <c r="BH212" s="176"/>
      <c r="BI212" s="176"/>
      <c r="BJ212" s="176"/>
      <c r="BK212" s="176"/>
      <c r="BL212" s="176"/>
      <c r="BM212" s="176"/>
      <c r="BN212" s="176"/>
      <c r="BO212" s="176"/>
      <c r="BP212" s="176"/>
      <c r="BQ212" s="176"/>
      <c r="BR212" s="176"/>
      <c r="BS212" s="176"/>
      <c r="BT212" s="176"/>
      <c r="BU212" s="176"/>
      <c r="BV212" s="176"/>
      <c r="BW212" s="176"/>
      <c r="BX212" s="176"/>
      <c r="BY212" s="176"/>
      <c r="BZ212" s="176"/>
      <c r="CA212" s="176"/>
      <c r="CB212" s="176"/>
      <c r="CC212" s="176"/>
      <c r="CD212" s="176"/>
      <c r="CE212" s="176"/>
      <c r="CF212" s="176"/>
      <c r="CG212" s="176"/>
      <c r="CH212" s="176"/>
    </row>
    <row r="213" spans="1:86" ht="21.4" customHeight="1" outlineLevel="1" x14ac:dyDescent="0.35">
      <c r="A213" s="176"/>
      <c r="B213" s="796" t="s">
        <v>862</v>
      </c>
      <c r="C213" s="1017">
        <v>75.134848369877133</v>
      </c>
      <c r="D213" s="797" t="str">
        <f t="shared" si="9"/>
        <v>kg CO2e / t ácido nítrico</v>
      </c>
      <c r="E213" s="797" t="s">
        <v>1234</v>
      </c>
      <c r="F213" s="797" t="s">
        <v>879</v>
      </c>
      <c r="G213" s="798" t="s">
        <v>858</v>
      </c>
      <c r="H213" s="176"/>
      <c r="I213" s="176"/>
      <c r="J213" s="176"/>
      <c r="K213" s="176"/>
      <c r="L213" s="176"/>
      <c r="M213" s="176"/>
      <c r="N213" s="176"/>
      <c r="O213" s="176"/>
      <c r="P213" s="176"/>
      <c r="Q213" s="176"/>
      <c r="R213" s="176"/>
      <c r="S213" s="176"/>
      <c r="T213" s="176"/>
      <c r="U213" s="176"/>
      <c r="V213" s="176"/>
      <c r="W213" s="176"/>
      <c r="X213" s="176"/>
      <c r="Y213" s="176"/>
      <c r="Z213" s="176"/>
      <c r="AA213" s="176"/>
      <c r="AB213" s="176"/>
      <c r="AC213" s="176"/>
      <c r="AD213" s="176"/>
      <c r="AE213" s="176"/>
      <c r="AF213" s="176"/>
      <c r="AG213" s="176"/>
      <c r="AH213" s="176"/>
      <c r="AI213" s="176"/>
      <c r="AJ213" s="176"/>
      <c r="AK213" s="176"/>
      <c r="AL213" s="176"/>
      <c r="AM213" s="176"/>
      <c r="AN213" s="176"/>
      <c r="AO213" s="176"/>
      <c r="AP213" s="176"/>
      <c r="AQ213" s="176"/>
      <c r="AR213" s="176"/>
      <c r="AS213" s="176"/>
      <c r="AT213" s="176"/>
      <c r="AU213" s="176"/>
      <c r="AV213" s="176"/>
      <c r="AW213" s="176"/>
      <c r="AX213" s="176"/>
      <c r="AY213" s="176"/>
      <c r="AZ213" s="176"/>
      <c r="BA213" s="176"/>
      <c r="BB213" s="176"/>
      <c r="BC213" s="176"/>
      <c r="BD213" s="176"/>
      <c r="BE213" s="176"/>
      <c r="BF213" s="176"/>
      <c r="BG213" s="176"/>
      <c r="BH213" s="176"/>
      <c r="BI213" s="176"/>
      <c r="BJ213" s="176"/>
      <c r="BK213" s="176"/>
      <c r="BL213" s="176"/>
      <c r="BM213" s="176"/>
      <c r="BN213" s="176"/>
      <c r="BO213" s="176"/>
      <c r="BP213" s="176"/>
      <c r="BQ213" s="176"/>
      <c r="BR213" s="176"/>
      <c r="BS213" s="176"/>
      <c r="BT213" s="176"/>
      <c r="BU213" s="176"/>
      <c r="BV213" s="176"/>
      <c r="BW213" s="176"/>
      <c r="BX213" s="176"/>
      <c r="BY213" s="176"/>
      <c r="BZ213" s="176"/>
      <c r="CA213" s="176"/>
      <c r="CB213" s="176"/>
      <c r="CC213" s="176"/>
      <c r="CD213" s="176"/>
      <c r="CE213" s="176"/>
      <c r="CF213" s="176"/>
      <c r="CG213" s="176"/>
      <c r="CH213" s="176"/>
    </row>
    <row r="214" spans="1:86" ht="62" outlineLevel="1" x14ac:dyDescent="0.35">
      <c r="A214" s="176"/>
      <c r="B214" s="796" t="s">
        <v>863</v>
      </c>
      <c r="C214" s="1017">
        <v>1730</v>
      </c>
      <c r="D214" s="797" t="str">
        <f t="shared" si="9"/>
        <v>kg CO2e / t etileno</v>
      </c>
      <c r="E214" s="797" t="s">
        <v>1235</v>
      </c>
      <c r="F214" s="797" t="s">
        <v>880</v>
      </c>
      <c r="G214" s="1035" t="s">
        <v>864</v>
      </c>
      <c r="H214" s="176"/>
      <c r="I214" s="176"/>
      <c r="J214" s="176"/>
      <c r="K214" s="176"/>
      <c r="L214" s="176"/>
      <c r="M214" s="176"/>
      <c r="N214" s="176"/>
      <c r="O214" s="176"/>
      <c r="P214" s="176"/>
      <c r="Q214" s="176"/>
      <c r="R214" s="176"/>
      <c r="S214" s="176"/>
      <c r="T214" s="176"/>
      <c r="U214" s="176"/>
      <c r="V214" s="176"/>
      <c r="W214" s="176"/>
      <c r="X214" s="176"/>
      <c r="Y214" s="176"/>
      <c r="Z214" s="176"/>
      <c r="AA214" s="176"/>
      <c r="AB214" s="176"/>
      <c r="AC214" s="176"/>
      <c r="AD214" s="176"/>
      <c r="AE214" s="176"/>
      <c r="AF214" s="176"/>
      <c r="AG214" s="176"/>
      <c r="AH214" s="176"/>
      <c r="AI214" s="176"/>
      <c r="AJ214" s="176"/>
      <c r="AK214" s="176"/>
      <c r="AL214" s="176"/>
      <c r="AM214" s="176"/>
      <c r="AN214" s="176"/>
      <c r="AO214" s="176"/>
      <c r="AP214" s="176"/>
      <c r="AQ214" s="176"/>
      <c r="AR214" s="176"/>
      <c r="AS214" s="176"/>
      <c r="AT214" s="176"/>
      <c r="AU214" s="176"/>
      <c r="AV214" s="176"/>
      <c r="AW214" s="176"/>
      <c r="AX214" s="176"/>
      <c r="AY214" s="176"/>
      <c r="AZ214" s="176"/>
      <c r="BA214" s="176"/>
      <c r="BB214" s="176"/>
      <c r="BC214" s="176"/>
      <c r="BD214" s="176"/>
      <c r="BE214" s="176"/>
      <c r="BF214" s="176"/>
      <c r="BG214" s="176"/>
      <c r="BH214" s="176"/>
      <c r="BI214" s="176"/>
      <c r="BJ214" s="176"/>
      <c r="BK214" s="176"/>
      <c r="BL214" s="176"/>
      <c r="BM214" s="176"/>
      <c r="BN214" s="176"/>
      <c r="BO214" s="176"/>
      <c r="BP214" s="176"/>
      <c r="BQ214" s="176"/>
      <c r="BR214" s="176"/>
      <c r="BS214" s="176"/>
      <c r="BT214" s="176"/>
      <c r="BU214" s="176"/>
      <c r="BV214" s="176"/>
      <c r="BW214" s="176"/>
      <c r="BX214" s="176"/>
      <c r="BY214" s="176"/>
      <c r="BZ214" s="176"/>
      <c r="CA214" s="176"/>
      <c r="CB214" s="176"/>
      <c r="CC214" s="176"/>
      <c r="CD214" s="176"/>
      <c r="CE214" s="176"/>
      <c r="CF214" s="176"/>
      <c r="CG214" s="176"/>
      <c r="CH214" s="176"/>
    </row>
    <row r="215" spans="1:86" ht="21.4" customHeight="1" outlineLevel="1" x14ac:dyDescent="0.35">
      <c r="A215" s="176"/>
      <c r="B215" s="796" t="s">
        <v>865</v>
      </c>
      <c r="C215" s="1017">
        <v>34.10331661918017</v>
      </c>
      <c r="D215" s="797" t="str">
        <f t="shared" si="9"/>
        <v>kg CO2e / t aço</v>
      </c>
      <c r="E215" s="797" t="s">
        <v>1236</v>
      </c>
      <c r="F215" s="797" t="s">
        <v>881</v>
      </c>
      <c r="G215" s="798" t="s">
        <v>858</v>
      </c>
      <c r="H215" s="176"/>
      <c r="I215" s="176"/>
      <c r="J215" s="176"/>
      <c r="K215" s="176"/>
      <c r="L215" s="176"/>
      <c r="M215" s="176"/>
      <c r="N215" s="176"/>
      <c r="O215" s="176"/>
      <c r="P215" s="176"/>
      <c r="Q215" s="176"/>
      <c r="R215" s="176"/>
      <c r="S215" s="176"/>
      <c r="T215" s="176"/>
      <c r="U215" s="176"/>
      <c r="V215" s="176"/>
      <c r="W215" s="176"/>
      <c r="X215" s="176"/>
      <c r="Y215" s="176"/>
      <c r="Z215" s="176"/>
      <c r="AA215" s="176"/>
      <c r="AB215" s="176"/>
      <c r="AC215" s="176"/>
      <c r="AD215" s="176"/>
      <c r="AE215" s="176"/>
      <c r="AF215" s="176"/>
      <c r="AG215" s="176"/>
      <c r="AH215" s="176"/>
      <c r="AI215" s="176"/>
      <c r="AJ215" s="176"/>
      <c r="AK215" s="176"/>
      <c r="AL215" s="176"/>
      <c r="AM215" s="176"/>
      <c r="AN215" s="176"/>
      <c r="AO215" s="176"/>
      <c r="AP215" s="176"/>
      <c r="AQ215" s="176"/>
      <c r="AR215" s="176"/>
      <c r="AS215" s="176"/>
      <c r="AT215" s="176"/>
      <c r="AU215" s="176"/>
      <c r="AV215" s="176"/>
      <c r="AW215" s="176"/>
      <c r="AX215" s="176"/>
      <c r="AY215" s="176"/>
      <c r="AZ215" s="176"/>
      <c r="BA215" s="176"/>
      <c r="BB215" s="176"/>
      <c r="BC215" s="176"/>
      <c r="BD215" s="176"/>
      <c r="BE215" s="176"/>
      <c r="BF215" s="176"/>
      <c r="BG215" s="176"/>
      <c r="BH215" s="176"/>
      <c r="BI215" s="176"/>
      <c r="BJ215" s="176"/>
      <c r="BK215" s="176"/>
      <c r="BL215" s="176"/>
      <c r="BM215" s="176"/>
      <c r="BN215" s="176"/>
      <c r="BO215" s="176"/>
      <c r="BP215" s="176"/>
      <c r="BQ215" s="176"/>
      <c r="BR215" s="176"/>
      <c r="BS215" s="176"/>
      <c r="BT215" s="176"/>
      <c r="BU215" s="176"/>
      <c r="BV215" s="176"/>
      <c r="BW215" s="176"/>
      <c r="BX215" s="176"/>
      <c r="BY215" s="176"/>
      <c r="BZ215" s="176"/>
      <c r="CA215" s="176"/>
      <c r="CB215" s="176"/>
      <c r="CC215" s="176"/>
      <c r="CD215" s="176"/>
      <c r="CE215" s="176"/>
      <c r="CF215" s="176"/>
      <c r="CG215" s="176"/>
      <c r="CH215" s="176"/>
    </row>
    <row r="216" spans="1:86" ht="62" outlineLevel="1" x14ac:dyDescent="0.35">
      <c r="A216" s="176"/>
      <c r="B216" s="796" t="s">
        <v>866</v>
      </c>
      <c r="C216" s="1017">
        <v>520</v>
      </c>
      <c r="D216" s="797" t="str">
        <f t="shared" si="9"/>
        <v>kg CO2e / t chumbo</v>
      </c>
      <c r="E216" s="797" t="s">
        <v>1237</v>
      </c>
      <c r="F216" s="797" t="s">
        <v>882</v>
      </c>
      <c r="G216" s="1035" t="s">
        <v>867</v>
      </c>
      <c r="H216" s="176"/>
      <c r="I216" s="176"/>
      <c r="J216" s="176"/>
      <c r="K216" s="176"/>
      <c r="L216" s="176"/>
      <c r="M216" s="176"/>
      <c r="N216" s="176"/>
      <c r="O216" s="176"/>
      <c r="P216" s="176"/>
      <c r="Q216" s="176"/>
      <c r="R216" s="176"/>
      <c r="S216" s="176"/>
      <c r="T216" s="176"/>
      <c r="U216" s="176"/>
      <c r="V216" s="176"/>
      <c r="W216" s="176"/>
      <c r="X216" s="176"/>
      <c r="Y216" s="176"/>
      <c r="Z216" s="176"/>
      <c r="AA216" s="176"/>
      <c r="AB216" s="176"/>
      <c r="AC216" s="176"/>
      <c r="AD216" s="176"/>
      <c r="AE216" s="176"/>
      <c r="AF216" s="176"/>
      <c r="AG216" s="176"/>
      <c r="AH216" s="176"/>
      <c r="AI216" s="176"/>
      <c r="AJ216" s="176"/>
      <c r="AK216" s="176"/>
      <c r="AL216" s="176"/>
      <c r="AM216" s="176"/>
      <c r="AN216" s="176"/>
      <c r="AO216" s="176"/>
      <c r="AP216" s="176"/>
      <c r="AQ216" s="176"/>
      <c r="AR216" s="176"/>
      <c r="AS216" s="176"/>
      <c r="AT216" s="176"/>
      <c r="AU216" s="176"/>
      <c r="AV216" s="176"/>
      <c r="AW216" s="176"/>
      <c r="AX216" s="176"/>
      <c r="AY216" s="176"/>
      <c r="AZ216" s="176"/>
      <c r="BA216" s="176"/>
      <c r="BB216" s="176"/>
      <c r="BC216" s="176"/>
      <c r="BD216" s="176"/>
      <c r="BE216" s="176"/>
      <c r="BF216" s="176"/>
      <c r="BG216" s="176"/>
      <c r="BH216" s="176"/>
      <c r="BI216" s="176"/>
      <c r="BJ216" s="176"/>
      <c r="BK216" s="176"/>
      <c r="BL216" s="176"/>
      <c r="BM216" s="176"/>
      <c r="BN216" s="176"/>
      <c r="BO216" s="176"/>
      <c r="BP216" s="176"/>
      <c r="BQ216" s="176"/>
      <c r="BR216" s="176"/>
      <c r="BS216" s="176"/>
      <c r="BT216" s="176"/>
      <c r="BU216" s="176"/>
      <c r="BV216" s="176"/>
      <c r="BW216" s="176"/>
      <c r="BX216" s="176"/>
      <c r="BY216" s="176"/>
      <c r="BZ216" s="176"/>
      <c r="CA216" s="176"/>
      <c r="CB216" s="176"/>
      <c r="CC216" s="176"/>
      <c r="CD216" s="176"/>
      <c r="CE216" s="176"/>
      <c r="CF216" s="176"/>
      <c r="CG216" s="176"/>
      <c r="CH216" s="176"/>
    </row>
    <row r="217" spans="1:86" ht="21.4" customHeight="1" outlineLevel="1" x14ac:dyDescent="0.35">
      <c r="A217" s="176"/>
      <c r="B217" s="176"/>
      <c r="C217" s="713"/>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c r="Z217" s="176"/>
      <c r="AA217" s="176"/>
      <c r="AB217" s="176"/>
      <c r="AC217" s="176"/>
      <c r="AD217" s="176"/>
      <c r="AE217" s="176"/>
      <c r="AF217" s="176"/>
      <c r="AG217" s="176"/>
      <c r="AH217" s="176"/>
      <c r="AI217" s="176"/>
      <c r="AJ217" s="176"/>
      <c r="AK217" s="176"/>
      <c r="AL217" s="176"/>
      <c r="AM217" s="176"/>
      <c r="AN217" s="176"/>
      <c r="AO217" s="176"/>
      <c r="AP217" s="176"/>
      <c r="AQ217" s="176"/>
      <c r="AR217" s="176"/>
      <c r="AS217" s="176"/>
      <c r="AT217" s="176"/>
      <c r="AU217" s="176"/>
      <c r="AV217" s="176"/>
      <c r="AW217" s="176"/>
      <c r="AX217" s="176"/>
      <c r="AY217" s="176"/>
      <c r="AZ217" s="176"/>
      <c r="BA217" s="176"/>
      <c r="BB217" s="176"/>
      <c r="BC217" s="176"/>
      <c r="BD217" s="176"/>
      <c r="BE217" s="176"/>
      <c r="BF217" s="176"/>
      <c r="BG217" s="176"/>
      <c r="BH217" s="176"/>
      <c r="BI217" s="176"/>
      <c r="BJ217" s="176"/>
      <c r="BK217" s="176"/>
      <c r="BL217" s="176"/>
      <c r="BM217" s="176"/>
      <c r="BN217" s="176"/>
      <c r="BO217" s="176"/>
      <c r="BP217" s="176"/>
      <c r="BQ217" s="176"/>
      <c r="BR217" s="176"/>
      <c r="BS217" s="176"/>
      <c r="BT217" s="176"/>
      <c r="BU217" s="176"/>
      <c r="BV217" s="176"/>
      <c r="BW217" s="176"/>
      <c r="BX217" s="176"/>
      <c r="BY217" s="176"/>
      <c r="BZ217" s="176"/>
      <c r="CA217" s="176"/>
      <c r="CB217" s="176"/>
      <c r="CC217" s="176"/>
      <c r="CD217" s="176"/>
      <c r="CE217" s="176"/>
      <c r="CF217" s="176"/>
      <c r="CG217" s="176"/>
      <c r="CH217" s="176"/>
    </row>
    <row r="218" spans="1:86" ht="21.4" customHeight="1" x14ac:dyDescent="0.35">
      <c r="A218" s="176"/>
      <c r="B218" s="176"/>
      <c r="C218" s="713"/>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176"/>
      <c r="AC218" s="176"/>
      <c r="AD218" s="176"/>
      <c r="AE218" s="176"/>
      <c r="AF218" s="176"/>
      <c r="AG218" s="176"/>
      <c r="AH218" s="176"/>
      <c r="AI218" s="176"/>
      <c r="AJ218" s="176"/>
      <c r="AK218" s="176"/>
      <c r="AL218" s="176"/>
      <c r="AM218" s="176"/>
      <c r="AN218" s="176"/>
      <c r="AO218" s="176"/>
      <c r="AP218" s="176"/>
      <c r="AQ218" s="176"/>
      <c r="AR218" s="176"/>
      <c r="AS218" s="176"/>
      <c r="AT218" s="176"/>
      <c r="AU218" s="176"/>
      <c r="AV218" s="176"/>
      <c r="AW218" s="176"/>
      <c r="AX218" s="176"/>
      <c r="AY218" s="176"/>
      <c r="AZ218" s="176"/>
      <c r="BA218" s="176"/>
      <c r="BB218" s="176"/>
      <c r="BC218" s="176"/>
      <c r="BD218" s="176"/>
      <c r="BE218" s="176"/>
      <c r="BF218" s="176"/>
      <c r="BG218" s="176"/>
      <c r="BH218" s="176"/>
      <c r="BI218" s="176"/>
      <c r="BJ218" s="176"/>
      <c r="BK218" s="176"/>
      <c r="BL218" s="176"/>
      <c r="BM218" s="176"/>
      <c r="BN218" s="176"/>
      <c r="BO218" s="176"/>
      <c r="BP218" s="176"/>
      <c r="BQ218" s="176"/>
      <c r="BR218" s="176"/>
      <c r="BS218" s="176"/>
      <c r="BT218" s="176"/>
      <c r="BU218" s="176"/>
      <c r="BV218" s="176"/>
      <c r="BW218" s="176"/>
      <c r="BX218" s="176"/>
      <c r="BY218" s="176"/>
      <c r="BZ218" s="176"/>
      <c r="CA218" s="176"/>
      <c r="CB218" s="176"/>
      <c r="CC218" s="176"/>
      <c r="CD218" s="176"/>
      <c r="CE218" s="176"/>
      <c r="CF218" s="176"/>
      <c r="CG218" s="176"/>
      <c r="CH218" s="176"/>
    </row>
    <row r="219" spans="1:86" s="673" customFormat="1" ht="30" customHeight="1" x14ac:dyDescent="0.35">
      <c r="A219" s="668"/>
      <c r="B219" s="634" t="s">
        <v>966</v>
      </c>
      <c r="C219" s="669"/>
      <c r="D219" s="670"/>
      <c r="E219" s="670"/>
      <c r="F219" s="670"/>
      <c r="G219" s="670"/>
      <c r="H219" s="670"/>
      <c r="I219" s="670"/>
      <c r="J219" s="670"/>
      <c r="K219" s="670"/>
      <c r="L219" s="670"/>
      <c r="M219" s="670"/>
      <c r="N219" s="670"/>
      <c r="O219" s="670"/>
      <c r="P219" s="670"/>
      <c r="Q219" s="670"/>
      <c r="R219" s="670"/>
      <c r="S219" s="670"/>
      <c r="T219" s="670"/>
      <c r="U219" s="670"/>
      <c r="V219" s="670"/>
      <c r="W219" s="670"/>
      <c r="X219" s="670"/>
      <c r="Y219" s="670"/>
      <c r="Z219" s="670"/>
      <c r="AA219" s="670"/>
      <c r="AB219" s="670"/>
      <c r="AC219" s="670"/>
      <c r="AD219" s="670"/>
      <c r="AE219" s="670"/>
      <c r="AF219" s="670"/>
      <c r="AG219" s="670"/>
      <c r="AH219" s="670"/>
      <c r="AI219" s="670"/>
      <c r="AJ219" s="670"/>
      <c r="AK219" s="670"/>
      <c r="AL219" s="670"/>
      <c r="AM219" s="670"/>
      <c r="AN219" s="670"/>
      <c r="AO219" s="670"/>
      <c r="AP219" s="670"/>
      <c r="AQ219" s="670"/>
      <c r="AR219" s="670"/>
      <c r="AS219" s="670"/>
      <c r="AT219" s="670"/>
      <c r="AU219" s="670"/>
      <c r="AV219" s="670"/>
      <c r="AW219" s="670"/>
      <c r="AX219" s="670"/>
      <c r="AY219" s="670"/>
      <c r="AZ219" s="670"/>
      <c r="BA219" s="670"/>
      <c r="BB219" s="670"/>
      <c r="BC219" s="670"/>
      <c r="BD219" s="670"/>
      <c r="BE219" s="670"/>
      <c r="BF219" s="670"/>
      <c r="BG219" s="670"/>
      <c r="BH219" s="670"/>
      <c r="BI219" s="670"/>
      <c r="BJ219" s="670"/>
      <c r="BK219" s="670"/>
      <c r="BL219" s="670"/>
      <c r="BM219" s="670"/>
      <c r="BN219" s="670"/>
      <c r="BO219" s="670"/>
      <c r="BP219" s="670"/>
      <c r="BQ219" s="670"/>
      <c r="BR219" s="670"/>
      <c r="BS219" s="670"/>
      <c r="BT219" s="670"/>
      <c r="BU219" s="670"/>
      <c r="BV219" s="670"/>
      <c r="BW219" s="670"/>
      <c r="BX219" s="671"/>
      <c r="BY219" s="671"/>
      <c r="BZ219" s="671"/>
      <c r="CA219" s="672"/>
    </row>
    <row r="220" spans="1:86" ht="21.4" customHeight="1" outlineLevel="1" x14ac:dyDescent="0.35">
      <c r="A220" s="176"/>
      <c r="B220" s="176"/>
      <c r="C220" s="713"/>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c r="Z220" s="176"/>
      <c r="AA220" s="176"/>
      <c r="AB220" s="176"/>
      <c r="AC220" s="176"/>
      <c r="AD220" s="176"/>
      <c r="AE220" s="176"/>
      <c r="AF220" s="176"/>
      <c r="AG220" s="176"/>
      <c r="AH220" s="176"/>
      <c r="AI220" s="176"/>
      <c r="AJ220" s="176"/>
      <c r="AK220" s="176"/>
      <c r="AL220" s="176"/>
      <c r="AM220" s="176"/>
      <c r="AN220" s="176"/>
      <c r="AO220" s="176"/>
      <c r="AP220" s="176"/>
      <c r="AQ220" s="176"/>
      <c r="AR220" s="176"/>
      <c r="AS220" s="176"/>
      <c r="AT220" s="176"/>
      <c r="AU220" s="176"/>
      <c r="AV220" s="176"/>
      <c r="AW220" s="176"/>
      <c r="AX220" s="176"/>
      <c r="AY220" s="176"/>
      <c r="AZ220" s="176"/>
      <c r="BA220" s="176"/>
      <c r="BB220" s="176"/>
      <c r="BC220" s="176"/>
      <c r="BD220" s="176"/>
      <c r="BE220" s="176"/>
      <c r="BF220" s="176"/>
      <c r="BG220" s="176"/>
      <c r="BH220" s="176"/>
      <c r="BI220" s="176"/>
      <c r="BJ220" s="176"/>
      <c r="BK220" s="176"/>
      <c r="BL220" s="176"/>
      <c r="BM220" s="176"/>
      <c r="BN220" s="176"/>
      <c r="BO220" s="176"/>
      <c r="BP220" s="176"/>
      <c r="BQ220" s="176"/>
      <c r="BR220" s="176"/>
      <c r="BS220" s="176"/>
      <c r="BT220" s="176"/>
      <c r="BU220" s="176"/>
      <c r="BV220" s="176"/>
      <c r="BW220" s="176"/>
      <c r="BX220" s="176"/>
      <c r="BY220" s="176"/>
      <c r="BZ220" s="176"/>
      <c r="CA220" s="176"/>
      <c r="CB220" s="176"/>
      <c r="CC220" s="176"/>
      <c r="CD220" s="176"/>
      <c r="CE220" s="176"/>
      <c r="CF220" s="176"/>
      <c r="CG220" s="176"/>
      <c r="CH220" s="176"/>
    </row>
    <row r="221" spans="1:86" ht="21.4" customHeight="1" outlineLevel="1" x14ac:dyDescent="0.35">
      <c r="A221" s="176"/>
      <c r="B221" s="754" t="s">
        <v>910</v>
      </c>
      <c r="C221" s="754" t="s">
        <v>800</v>
      </c>
      <c r="D221" s="754" t="s">
        <v>968</v>
      </c>
      <c r="E221" s="754" t="s">
        <v>967</v>
      </c>
      <c r="F221" s="754" t="s">
        <v>554</v>
      </c>
      <c r="G221" s="176"/>
      <c r="H221" s="176"/>
      <c r="I221" s="176"/>
      <c r="J221" s="176"/>
      <c r="K221" s="176"/>
      <c r="L221" s="176"/>
      <c r="M221" s="176"/>
      <c r="N221" s="176"/>
      <c r="O221" s="176"/>
      <c r="P221" s="176"/>
      <c r="Q221" s="176"/>
      <c r="R221" s="176"/>
      <c r="S221" s="176"/>
      <c r="T221" s="176"/>
      <c r="U221" s="176"/>
      <c r="V221" s="176"/>
      <c r="W221" s="176"/>
      <c r="X221" s="176"/>
      <c r="Y221" s="176"/>
      <c r="Z221" s="176"/>
      <c r="AA221" s="176"/>
      <c r="AB221" s="176"/>
      <c r="AC221" s="176"/>
      <c r="AD221" s="176"/>
      <c r="AE221" s="176"/>
      <c r="AF221" s="176"/>
      <c r="AG221" s="176"/>
      <c r="AH221" s="176"/>
      <c r="AI221" s="176"/>
      <c r="AJ221" s="176"/>
      <c r="AK221" s="176"/>
      <c r="AL221" s="176"/>
      <c r="AM221" s="176"/>
      <c r="AN221" s="176"/>
      <c r="AO221" s="176"/>
      <c r="AP221" s="176"/>
      <c r="AQ221" s="176"/>
      <c r="AR221" s="176"/>
      <c r="AS221" s="176"/>
      <c r="AT221" s="176"/>
      <c r="AU221" s="176"/>
      <c r="AV221" s="176"/>
      <c r="AW221" s="176"/>
      <c r="AX221" s="176"/>
      <c r="AY221" s="176"/>
      <c r="AZ221" s="176"/>
      <c r="BA221" s="176"/>
      <c r="BB221" s="176"/>
      <c r="BC221" s="176"/>
      <c r="BD221" s="176"/>
      <c r="BE221" s="176"/>
      <c r="BF221" s="176"/>
      <c r="BG221" s="176"/>
      <c r="BH221" s="176"/>
      <c r="BI221" s="176"/>
      <c r="BJ221" s="176"/>
      <c r="BK221" s="176"/>
      <c r="BL221" s="176"/>
      <c r="BM221" s="176"/>
      <c r="BN221" s="176"/>
      <c r="BO221" s="176"/>
      <c r="BP221" s="176"/>
      <c r="BQ221" s="176"/>
      <c r="BR221" s="176"/>
      <c r="BS221" s="176"/>
      <c r="BT221" s="176"/>
      <c r="BU221" s="176"/>
      <c r="BV221" s="176"/>
      <c r="BW221" s="176"/>
      <c r="BX221" s="176"/>
      <c r="BY221" s="176"/>
      <c r="BZ221" s="176"/>
      <c r="CA221" s="176"/>
      <c r="CB221" s="176"/>
      <c r="CC221" s="176"/>
      <c r="CD221" s="176"/>
      <c r="CE221" s="176"/>
      <c r="CF221" s="176"/>
      <c r="CG221" s="176"/>
      <c r="CH221" s="176"/>
    </row>
    <row r="222" spans="1:86" ht="31" outlineLevel="1" x14ac:dyDescent="0.35">
      <c r="A222" s="176"/>
      <c r="B222" s="1036" t="s">
        <v>947</v>
      </c>
      <c r="C222" s="394"/>
      <c r="D222" s="1037" t="str">
        <f>"kg CO2e / "&amp;E222</f>
        <v>kg CO2e / t resíduo sólido enviado para deposição</v>
      </c>
      <c r="E222" s="1037" t="s">
        <v>949</v>
      </c>
      <c r="F222" s="394"/>
      <c r="G222" s="176"/>
      <c r="H222" s="176"/>
      <c r="I222" s="176"/>
      <c r="J222" s="176"/>
      <c r="K222" s="176"/>
      <c r="L222" s="176"/>
      <c r="M222" s="176"/>
      <c r="N222" s="176"/>
      <c r="O222" s="176"/>
      <c r="P222" s="176"/>
      <c r="Q222" s="176"/>
      <c r="R222" s="176"/>
      <c r="S222" s="176"/>
      <c r="T222" s="176"/>
      <c r="U222" s="176"/>
      <c r="V222" s="176"/>
      <c r="W222" s="176"/>
      <c r="X222" s="176"/>
      <c r="Y222" s="176"/>
      <c r="Z222" s="176"/>
      <c r="AA222" s="176"/>
      <c r="AB222" s="176"/>
      <c r="AC222" s="176"/>
      <c r="AD222" s="176"/>
      <c r="AE222" s="176"/>
      <c r="AF222" s="176"/>
      <c r="AG222" s="176"/>
      <c r="AH222" s="176"/>
      <c r="AI222" s="176"/>
      <c r="AJ222" s="176"/>
      <c r="AK222" s="176"/>
      <c r="AL222" s="176"/>
      <c r="AM222" s="176"/>
      <c r="AN222" s="176"/>
      <c r="AO222" s="176"/>
      <c r="AP222" s="176"/>
      <c r="AQ222" s="176"/>
      <c r="AR222" s="176"/>
      <c r="AS222" s="176"/>
      <c r="AT222" s="176"/>
      <c r="AU222" s="176"/>
      <c r="AV222" s="176"/>
      <c r="AW222" s="176"/>
      <c r="AX222" s="176"/>
      <c r="AY222" s="176"/>
      <c r="AZ222" s="176"/>
      <c r="BA222" s="176"/>
      <c r="BB222" s="176"/>
      <c r="BC222" s="176"/>
      <c r="BD222" s="176"/>
      <c r="BE222" s="176"/>
      <c r="BF222" s="176"/>
      <c r="BG222" s="176"/>
      <c r="BH222" s="176"/>
      <c r="BI222" s="176"/>
      <c r="BJ222" s="176"/>
      <c r="BK222" s="176"/>
      <c r="BL222" s="176"/>
      <c r="BM222" s="176"/>
      <c r="BN222" s="176"/>
      <c r="BO222" s="176"/>
      <c r="BP222" s="176"/>
      <c r="BQ222" s="176"/>
      <c r="BR222" s="176"/>
      <c r="BS222" s="176"/>
      <c r="BT222" s="176"/>
      <c r="BU222" s="176"/>
      <c r="BV222" s="176"/>
      <c r="BW222" s="176"/>
      <c r="BX222" s="176"/>
      <c r="BY222" s="176"/>
      <c r="BZ222" s="176"/>
      <c r="CA222" s="176"/>
      <c r="CB222" s="176"/>
      <c r="CC222" s="176"/>
      <c r="CD222" s="176"/>
      <c r="CE222" s="176"/>
      <c r="CF222" s="176"/>
      <c r="CG222" s="176"/>
      <c r="CH222" s="176"/>
    </row>
    <row r="223" spans="1:86" ht="31" outlineLevel="1" x14ac:dyDescent="0.35">
      <c r="A223" s="176"/>
      <c r="B223" s="1036" t="s">
        <v>960</v>
      </c>
      <c r="C223" s="755">
        <f>(4*'Fatores de Emissão'!$E$248+0.24*'Fatores de Emissão'!$E$249)/1000</f>
        <v>0.17560000000000001</v>
      </c>
      <c r="D223" s="1037" t="str">
        <f>"kg CO2e / "&amp;E223</f>
        <v>kg CO2e / t resíduo sólido enviado para compostagem</v>
      </c>
      <c r="E223" s="1037" t="s">
        <v>962</v>
      </c>
      <c r="F223" s="755" t="s">
        <v>1609</v>
      </c>
      <c r="G223" s="176"/>
      <c r="H223" s="176"/>
      <c r="I223" s="176"/>
      <c r="J223" s="176"/>
      <c r="K223" s="176"/>
      <c r="L223" s="176"/>
      <c r="M223" s="176"/>
      <c r="N223" s="176"/>
      <c r="O223" s="176"/>
      <c r="P223" s="176"/>
      <c r="Q223" s="176"/>
      <c r="R223" s="176"/>
      <c r="S223" s="176"/>
      <c r="T223" s="176"/>
      <c r="U223" s="176"/>
      <c r="V223" s="176"/>
      <c r="W223" s="176"/>
      <c r="X223" s="176"/>
      <c r="Y223" s="176"/>
      <c r="Z223" s="176"/>
      <c r="AA223" s="176"/>
      <c r="AB223" s="176"/>
      <c r="AC223" s="176"/>
      <c r="AD223" s="176"/>
      <c r="AE223" s="176"/>
      <c r="AF223" s="176"/>
      <c r="AG223" s="176"/>
      <c r="AH223" s="176"/>
      <c r="AI223" s="176"/>
      <c r="AJ223" s="176"/>
      <c r="AK223" s="176"/>
      <c r="AL223" s="176"/>
      <c r="AM223" s="176"/>
      <c r="AN223" s="176"/>
      <c r="AO223" s="176"/>
      <c r="AP223" s="176"/>
      <c r="AQ223" s="176"/>
      <c r="AR223" s="176"/>
      <c r="AS223" s="176"/>
      <c r="AT223" s="176"/>
      <c r="AU223" s="176"/>
      <c r="AV223" s="176"/>
      <c r="AW223" s="176"/>
      <c r="AX223" s="176"/>
      <c r="AY223" s="176"/>
      <c r="AZ223" s="176"/>
      <c r="BA223" s="176"/>
      <c r="BB223" s="176"/>
      <c r="BC223" s="176"/>
      <c r="BD223" s="176"/>
      <c r="BE223" s="176"/>
      <c r="BF223" s="176"/>
      <c r="BG223" s="176"/>
      <c r="BH223" s="176"/>
      <c r="BI223" s="176"/>
      <c r="BJ223" s="176"/>
      <c r="BK223" s="176"/>
      <c r="BL223" s="176"/>
      <c r="BM223" s="176"/>
      <c r="BN223" s="176"/>
      <c r="BO223" s="176"/>
      <c r="BP223" s="176"/>
      <c r="BQ223" s="176"/>
      <c r="BR223" s="176"/>
      <c r="BS223" s="176"/>
      <c r="BT223" s="176"/>
      <c r="BU223" s="176"/>
      <c r="BV223" s="176"/>
      <c r="BW223" s="176"/>
      <c r="BX223" s="176"/>
      <c r="BY223" s="176"/>
      <c r="BZ223" s="176"/>
      <c r="CA223" s="176"/>
      <c r="CB223" s="176"/>
      <c r="CC223" s="176"/>
      <c r="CD223" s="176"/>
      <c r="CE223" s="176"/>
      <c r="CF223" s="176"/>
      <c r="CG223" s="176"/>
      <c r="CH223" s="176"/>
    </row>
    <row r="224" spans="1:86" ht="31" outlineLevel="1" x14ac:dyDescent="0.35">
      <c r="A224" s="176"/>
      <c r="B224" s="1036" t="s">
        <v>961</v>
      </c>
      <c r="C224" s="755">
        <f>(0.8*'Fatores de Emissão'!$E$248+0*'Fatores de Emissão'!$E$249)/1000</f>
        <v>2.2400000000000003E-2</v>
      </c>
      <c r="D224" s="1037" t="str">
        <f>"kg CO2e / "&amp;E224</f>
        <v>kg CO2e / t resíduo sólido enviado para digestão anaeróbia</v>
      </c>
      <c r="E224" s="1037" t="s">
        <v>950</v>
      </c>
      <c r="F224" s="755" t="s">
        <v>1609</v>
      </c>
      <c r="G224" s="176"/>
      <c r="H224" s="176"/>
      <c r="I224" s="176"/>
      <c r="J224" s="176"/>
      <c r="K224" s="176"/>
      <c r="L224" s="176"/>
      <c r="M224" s="176"/>
      <c r="N224" s="176"/>
      <c r="O224" s="176"/>
      <c r="P224" s="176"/>
      <c r="Q224" s="176"/>
      <c r="R224" s="176"/>
      <c r="S224" s="176"/>
      <c r="T224" s="176"/>
      <c r="U224" s="176"/>
      <c r="V224" s="176"/>
      <c r="W224" s="176"/>
      <c r="X224" s="176"/>
      <c r="Y224" s="176"/>
      <c r="Z224" s="176"/>
      <c r="AA224" s="176"/>
      <c r="AB224" s="176"/>
      <c r="AC224" s="176"/>
      <c r="AD224" s="176"/>
      <c r="AE224" s="176"/>
      <c r="AF224" s="176"/>
      <c r="AG224" s="176"/>
      <c r="AH224" s="176"/>
      <c r="AI224" s="176"/>
      <c r="AJ224" s="176"/>
      <c r="AK224" s="176"/>
      <c r="AL224" s="176"/>
      <c r="AM224" s="176"/>
      <c r="AN224" s="176"/>
      <c r="AO224" s="176"/>
      <c r="AP224" s="176"/>
      <c r="AQ224" s="176"/>
      <c r="AR224" s="176"/>
      <c r="AS224" s="176"/>
      <c r="AT224" s="176"/>
      <c r="AU224" s="176"/>
      <c r="AV224" s="176"/>
      <c r="AW224" s="176"/>
      <c r="AX224" s="176"/>
      <c r="AY224" s="176"/>
      <c r="AZ224" s="176"/>
      <c r="BA224" s="176"/>
      <c r="BB224" s="176"/>
      <c r="BC224" s="176"/>
      <c r="BD224" s="176"/>
      <c r="BE224" s="176"/>
      <c r="BF224" s="176"/>
      <c r="BG224" s="176"/>
      <c r="BH224" s="176"/>
      <c r="BI224" s="176"/>
      <c r="BJ224" s="176"/>
      <c r="BK224" s="176"/>
      <c r="BL224" s="176"/>
      <c r="BM224" s="176"/>
      <c r="BN224" s="176"/>
      <c r="BO224" s="176"/>
      <c r="BP224" s="176"/>
      <c r="BQ224" s="176"/>
      <c r="BR224" s="176"/>
      <c r="BS224" s="176"/>
      <c r="BT224" s="176"/>
      <c r="BU224" s="176"/>
      <c r="BV224" s="176"/>
      <c r="BW224" s="176"/>
      <c r="BX224" s="176"/>
      <c r="BY224" s="176"/>
      <c r="BZ224" s="176"/>
      <c r="CA224" s="176"/>
      <c r="CB224" s="176"/>
      <c r="CC224" s="176"/>
      <c r="CD224" s="176"/>
      <c r="CE224" s="176"/>
      <c r="CF224" s="176"/>
      <c r="CG224" s="176"/>
      <c r="CH224" s="176"/>
    </row>
    <row r="225" spans="1:86" ht="31" outlineLevel="1" x14ac:dyDescent="0.35">
      <c r="A225" s="176"/>
      <c r="B225" s="1036" t="s">
        <v>948</v>
      </c>
      <c r="C225" s="394"/>
      <c r="D225" s="1037" t="str">
        <f>"kg CO2e / "&amp;E225</f>
        <v>kg CO2e / t resíduo enviado para incineração</v>
      </c>
      <c r="E225" s="1037" t="s">
        <v>951</v>
      </c>
      <c r="F225" s="394"/>
      <c r="G225" s="176"/>
      <c r="H225" s="176"/>
      <c r="I225" s="176"/>
      <c r="J225" s="176"/>
      <c r="K225" s="176"/>
      <c r="L225" s="176"/>
      <c r="M225" s="176"/>
      <c r="N225" s="176"/>
      <c r="O225" s="176"/>
      <c r="P225" s="176"/>
      <c r="Q225" s="176"/>
      <c r="R225" s="176"/>
      <c r="S225" s="176"/>
      <c r="T225" s="176"/>
      <c r="U225" s="176"/>
      <c r="V225" s="176"/>
      <c r="W225" s="176"/>
      <c r="X225" s="176"/>
      <c r="Y225" s="176"/>
      <c r="Z225" s="176"/>
      <c r="AA225" s="176"/>
      <c r="AB225" s="176"/>
      <c r="AC225" s="176"/>
      <c r="AD225" s="176"/>
      <c r="AE225" s="176"/>
      <c r="AF225" s="176"/>
      <c r="AG225" s="176"/>
      <c r="AH225" s="176"/>
      <c r="AI225" s="176"/>
      <c r="AJ225" s="176"/>
      <c r="AK225" s="176"/>
      <c r="AL225" s="176"/>
      <c r="AM225" s="176"/>
      <c r="AN225" s="176"/>
      <c r="AO225" s="176"/>
      <c r="AP225" s="176"/>
      <c r="AQ225" s="176"/>
      <c r="AR225" s="176"/>
      <c r="AS225" s="176"/>
      <c r="AT225" s="176"/>
      <c r="AU225" s="176"/>
      <c r="AV225" s="176"/>
      <c r="AW225" s="176"/>
      <c r="AX225" s="176"/>
      <c r="AY225" s="176"/>
      <c r="AZ225" s="176"/>
      <c r="BA225" s="176"/>
      <c r="BB225" s="176"/>
      <c r="BC225" s="176"/>
      <c r="BD225" s="176"/>
      <c r="BE225" s="176"/>
      <c r="BF225" s="176"/>
      <c r="BG225" s="176"/>
      <c r="BH225" s="176"/>
      <c r="BI225" s="176"/>
      <c r="BJ225" s="176"/>
      <c r="BK225" s="176"/>
      <c r="BL225" s="176"/>
      <c r="BM225" s="176"/>
      <c r="BN225" s="176"/>
      <c r="BO225" s="176"/>
      <c r="BP225" s="176"/>
      <c r="BQ225" s="176"/>
      <c r="BR225" s="176"/>
      <c r="BS225" s="176"/>
      <c r="BT225" s="176"/>
      <c r="BU225" s="176"/>
      <c r="BV225" s="176"/>
      <c r="BW225" s="176"/>
      <c r="BX225" s="176"/>
      <c r="BY225" s="176"/>
      <c r="BZ225" s="176"/>
      <c r="CA225" s="176"/>
      <c r="CB225" s="176"/>
      <c r="CC225" s="176"/>
      <c r="CD225" s="176"/>
      <c r="CE225" s="176"/>
      <c r="CF225" s="176"/>
      <c r="CG225" s="176"/>
      <c r="CH225" s="176"/>
    </row>
    <row r="226" spans="1:86" ht="46.5" outlineLevel="1" x14ac:dyDescent="0.35">
      <c r="A226" s="176"/>
      <c r="B226" s="1036" t="s">
        <v>1152</v>
      </c>
      <c r="C226" s="394"/>
      <c r="D226" s="1037" t="str">
        <f>"kg CO2e / "&amp;E226</f>
        <v>kg CO2e / m3 de águas residuais enviadas para tratamento ou descarregadas</v>
      </c>
      <c r="E226" s="1037" t="s">
        <v>1375</v>
      </c>
      <c r="F226" s="394"/>
      <c r="G226" s="176"/>
      <c r="H226" s="176"/>
      <c r="I226" s="176"/>
      <c r="J226" s="176"/>
      <c r="K226" s="176"/>
      <c r="L226" s="176"/>
      <c r="M226" s="176"/>
      <c r="N226" s="176"/>
      <c r="O226" s="176"/>
      <c r="P226" s="176"/>
      <c r="Q226" s="176"/>
      <c r="R226" s="176"/>
      <c r="S226" s="176"/>
      <c r="T226" s="176"/>
      <c r="U226" s="176"/>
      <c r="V226" s="176"/>
      <c r="W226" s="176"/>
      <c r="X226" s="176"/>
      <c r="Y226" s="176"/>
      <c r="Z226" s="176"/>
      <c r="AA226" s="176"/>
      <c r="AB226" s="176"/>
      <c r="AC226" s="176"/>
      <c r="AD226" s="176"/>
      <c r="AE226" s="176"/>
      <c r="AF226" s="176"/>
      <c r="AG226" s="176"/>
      <c r="AH226" s="176"/>
      <c r="AI226" s="176"/>
      <c r="AJ226" s="176"/>
      <c r="AK226" s="176"/>
      <c r="AL226" s="176"/>
      <c r="AM226" s="176"/>
      <c r="AN226" s="176"/>
      <c r="AO226" s="176"/>
      <c r="AP226" s="176"/>
      <c r="AQ226" s="176"/>
      <c r="AR226" s="176"/>
      <c r="AS226" s="176"/>
      <c r="AT226" s="176"/>
      <c r="AU226" s="176"/>
      <c r="AV226" s="176"/>
      <c r="AW226" s="176"/>
      <c r="AX226" s="176"/>
      <c r="AY226" s="176"/>
      <c r="AZ226" s="176"/>
      <c r="BA226" s="176"/>
      <c r="BB226" s="176"/>
      <c r="BC226" s="176"/>
      <c r="BD226" s="176"/>
      <c r="BE226" s="176"/>
      <c r="BF226" s="176"/>
      <c r="BG226" s="176"/>
      <c r="BH226" s="176"/>
      <c r="BI226" s="176"/>
      <c r="BJ226" s="176"/>
      <c r="BK226" s="176"/>
      <c r="BL226" s="176"/>
      <c r="BM226" s="176"/>
      <c r="BN226" s="176"/>
      <c r="BO226" s="176"/>
      <c r="BP226" s="176"/>
      <c r="BQ226" s="176"/>
      <c r="BR226" s="176"/>
      <c r="BS226" s="176"/>
      <c r="BT226" s="176"/>
      <c r="BU226" s="176"/>
      <c r="BV226" s="176"/>
      <c r="BW226" s="176"/>
      <c r="BX226" s="176"/>
      <c r="BY226" s="176"/>
      <c r="BZ226" s="176"/>
      <c r="CA226" s="176"/>
      <c r="CB226" s="176"/>
      <c r="CC226" s="176"/>
      <c r="CD226" s="176"/>
      <c r="CE226" s="176"/>
      <c r="CF226" s="176"/>
      <c r="CG226" s="176"/>
      <c r="CH226" s="176"/>
    </row>
    <row r="227" spans="1:86" ht="21" customHeight="1" outlineLevel="1" x14ac:dyDescent="0.35">
      <c r="A227" s="176"/>
      <c r="B227" s="1036" t="s">
        <v>959</v>
      </c>
      <c r="C227" s="394"/>
      <c r="D227" s="1036" t="s">
        <v>929</v>
      </c>
      <c r="E227" s="1037"/>
      <c r="F227" s="394"/>
      <c r="G227" s="176"/>
      <c r="H227" s="176"/>
      <c r="I227" s="176"/>
      <c r="J227" s="176"/>
      <c r="K227" s="176"/>
      <c r="L227" s="176"/>
      <c r="M227" s="176"/>
      <c r="N227" s="176"/>
      <c r="O227" s="176"/>
      <c r="P227" s="176"/>
      <c r="Q227" s="176"/>
      <c r="R227" s="176"/>
      <c r="S227" s="176"/>
      <c r="T227" s="176"/>
      <c r="U227" s="176"/>
      <c r="V227" s="176"/>
      <c r="W227" s="176"/>
      <c r="X227" s="176"/>
      <c r="Y227" s="176"/>
      <c r="Z227" s="176"/>
      <c r="AA227" s="176"/>
      <c r="AB227" s="176"/>
      <c r="AC227" s="176"/>
      <c r="AD227" s="176"/>
      <c r="AE227" s="176"/>
      <c r="AF227" s="176"/>
      <c r="AG227" s="176"/>
      <c r="AH227" s="176"/>
      <c r="AI227" s="176"/>
      <c r="AJ227" s="176"/>
      <c r="AK227" s="176"/>
      <c r="AL227" s="176"/>
      <c r="AM227" s="176"/>
      <c r="AN227" s="176"/>
      <c r="AO227" s="176"/>
      <c r="AP227" s="176"/>
      <c r="AQ227" s="176"/>
      <c r="AR227" s="176"/>
      <c r="AS227" s="176"/>
      <c r="AT227" s="176"/>
      <c r="AU227" s="176"/>
      <c r="AV227" s="176"/>
      <c r="AW227" s="176"/>
      <c r="AX227" s="176"/>
      <c r="AY227" s="176"/>
      <c r="AZ227" s="176"/>
      <c r="BA227" s="176"/>
      <c r="BB227" s="176"/>
      <c r="BC227" s="176"/>
      <c r="BD227" s="176"/>
      <c r="BE227" s="176"/>
      <c r="BF227" s="176"/>
      <c r="BG227" s="176"/>
      <c r="BH227" s="176"/>
      <c r="BI227" s="176"/>
      <c r="BJ227" s="176"/>
      <c r="BK227" s="176"/>
      <c r="BL227" s="176"/>
      <c r="BM227" s="176"/>
      <c r="BN227" s="176"/>
      <c r="BO227" s="176"/>
      <c r="BP227" s="176"/>
      <c r="BQ227" s="176"/>
      <c r="BR227" s="176"/>
      <c r="BS227" s="176"/>
      <c r="BT227" s="176"/>
      <c r="BU227" s="176"/>
      <c r="BV227" s="176"/>
      <c r="BW227" s="176"/>
      <c r="BX227" s="176"/>
      <c r="BY227" s="176"/>
      <c r="BZ227" s="176"/>
      <c r="CA227" s="176"/>
      <c r="CB227" s="176"/>
      <c r="CC227" s="176"/>
      <c r="CD227" s="176"/>
      <c r="CE227" s="176"/>
      <c r="CF227" s="176"/>
      <c r="CG227" s="176"/>
      <c r="CH227" s="176"/>
    </row>
    <row r="228" spans="1:86" ht="21.4" customHeight="1" outlineLevel="1" x14ac:dyDescent="0.35">
      <c r="A228" s="176"/>
      <c r="B228" s="176"/>
      <c r="C228" s="713"/>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A228" s="176"/>
      <c r="AB228" s="176"/>
      <c r="AC228" s="176"/>
      <c r="AD228" s="176"/>
      <c r="AE228" s="176"/>
      <c r="AF228" s="176"/>
      <c r="AG228" s="176"/>
      <c r="AH228" s="176"/>
      <c r="AI228" s="176"/>
      <c r="AJ228" s="176"/>
      <c r="AK228" s="176"/>
      <c r="AL228" s="176"/>
      <c r="AM228" s="176"/>
      <c r="AN228" s="176"/>
      <c r="AO228" s="176"/>
      <c r="AP228" s="176"/>
      <c r="AQ228" s="176"/>
      <c r="AR228" s="176"/>
      <c r="AS228" s="176"/>
      <c r="AT228" s="176"/>
      <c r="AU228" s="176"/>
      <c r="AV228" s="176"/>
      <c r="AW228" s="176"/>
      <c r="AX228" s="176"/>
      <c r="AY228" s="176"/>
      <c r="AZ228" s="176"/>
      <c r="BA228" s="176"/>
      <c r="BB228" s="176"/>
      <c r="BC228" s="176"/>
      <c r="BD228" s="176"/>
      <c r="BE228" s="176"/>
      <c r="BF228" s="176"/>
      <c r="BG228" s="176"/>
      <c r="BH228" s="176"/>
      <c r="BI228" s="176"/>
      <c r="BJ228" s="176"/>
      <c r="BK228" s="176"/>
      <c r="BL228" s="176"/>
      <c r="BM228" s="176"/>
      <c r="BN228" s="176"/>
      <c r="BO228" s="176"/>
      <c r="BP228" s="176"/>
      <c r="BQ228" s="176"/>
      <c r="BR228" s="176"/>
      <c r="BS228" s="176"/>
      <c r="BT228" s="176"/>
      <c r="BU228" s="176"/>
      <c r="BV228" s="176"/>
      <c r="BW228" s="176"/>
      <c r="BX228" s="176"/>
      <c r="BY228" s="176"/>
      <c r="BZ228" s="176"/>
      <c r="CA228" s="176"/>
      <c r="CB228" s="176"/>
      <c r="CC228" s="176"/>
      <c r="CD228" s="176"/>
      <c r="CE228" s="176"/>
      <c r="CF228" s="176"/>
      <c r="CG228" s="176"/>
      <c r="CH228" s="176"/>
    </row>
    <row r="229" spans="1:86" ht="21.4" customHeight="1" x14ac:dyDescent="0.35">
      <c r="A229" s="176"/>
      <c r="B229" s="176"/>
      <c r="C229" s="713"/>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c r="AA229" s="176"/>
      <c r="AB229" s="176"/>
      <c r="AC229" s="176"/>
      <c r="AD229" s="176"/>
      <c r="AE229" s="176"/>
      <c r="AF229" s="176"/>
      <c r="AG229" s="176"/>
      <c r="AH229" s="176"/>
      <c r="AI229" s="176"/>
      <c r="AJ229" s="176"/>
      <c r="AK229" s="176"/>
      <c r="AL229" s="176"/>
      <c r="AM229" s="176"/>
      <c r="AN229" s="176"/>
      <c r="AO229" s="176"/>
      <c r="AP229" s="176"/>
      <c r="AQ229" s="176"/>
      <c r="AR229" s="176"/>
      <c r="AS229" s="176"/>
      <c r="AT229" s="176"/>
      <c r="AU229" s="176"/>
      <c r="AV229" s="176"/>
      <c r="AW229" s="176"/>
      <c r="AX229" s="176"/>
      <c r="AY229" s="176"/>
      <c r="AZ229" s="176"/>
      <c r="BA229" s="176"/>
      <c r="BB229" s="176"/>
      <c r="BC229" s="176"/>
      <c r="BD229" s="176"/>
      <c r="BE229" s="176"/>
      <c r="BF229" s="176"/>
      <c r="BG229" s="176"/>
      <c r="BH229" s="176"/>
      <c r="BI229" s="176"/>
      <c r="BJ229" s="176"/>
      <c r="BK229" s="176"/>
      <c r="BL229" s="176"/>
      <c r="BM229" s="176"/>
      <c r="BN229" s="176"/>
      <c r="BO229" s="176"/>
      <c r="BP229" s="176"/>
      <c r="BQ229" s="176"/>
      <c r="BR229" s="176"/>
      <c r="BS229" s="176"/>
      <c r="BT229" s="176"/>
      <c r="BU229" s="176"/>
      <c r="BV229" s="176"/>
      <c r="BW229" s="176"/>
      <c r="BX229" s="176"/>
      <c r="BY229" s="176"/>
      <c r="BZ229" s="176"/>
      <c r="CA229" s="176"/>
      <c r="CB229" s="176"/>
      <c r="CC229" s="176"/>
      <c r="CD229" s="176"/>
      <c r="CE229" s="176"/>
      <c r="CF229" s="176"/>
      <c r="CG229" s="176"/>
      <c r="CH229" s="176"/>
    </row>
    <row r="230" spans="1:86" s="673" customFormat="1" ht="30" customHeight="1" x14ac:dyDescent="0.35">
      <c r="A230" s="668"/>
      <c r="B230" s="634" t="s">
        <v>1008</v>
      </c>
      <c r="C230" s="669"/>
      <c r="D230" s="670"/>
      <c r="E230" s="670"/>
      <c r="F230" s="670"/>
      <c r="G230" s="670"/>
      <c r="H230" s="670"/>
      <c r="I230" s="670"/>
      <c r="J230" s="670"/>
      <c r="K230" s="670"/>
      <c r="L230" s="670"/>
      <c r="M230" s="670"/>
      <c r="N230" s="670"/>
      <c r="O230" s="670"/>
      <c r="P230" s="670"/>
      <c r="Q230" s="670"/>
      <c r="R230" s="670"/>
      <c r="S230" s="670"/>
      <c r="T230" s="670"/>
      <c r="U230" s="670"/>
      <c r="V230" s="670"/>
      <c r="W230" s="670"/>
      <c r="X230" s="670"/>
      <c r="Y230" s="670"/>
      <c r="Z230" s="670"/>
      <c r="AA230" s="670"/>
      <c r="AB230" s="670"/>
      <c r="AC230" s="670"/>
      <c r="AD230" s="670"/>
      <c r="AE230" s="670"/>
      <c r="AF230" s="670"/>
      <c r="AG230" s="670"/>
      <c r="AH230" s="670"/>
      <c r="AI230" s="670"/>
      <c r="AJ230" s="670"/>
      <c r="AK230" s="670"/>
      <c r="AL230" s="670"/>
      <c r="AM230" s="670"/>
      <c r="AN230" s="670"/>
      <c r="AO230" s="670"/>
      <c r="AP230" s="670"/>
      <c r="AQ230" s="670"/>
      <c r="AR230" s="670"/>
      <c r="AS230" s="670"/>
      <c r="AT230" s="670"/>
      <c r="AU230" s="670"/>
      <c r="AV230" s="670"/>
      <c r="AW230" s="670"/>
      <c r="AX230" s="670"/>
      <c r="AY230" s="670"/>
      <c r="AZ230" s="670"/>
      <c r="BA230" s="670"/>
      <c r="BB230" s="670"/>
      <c r="BC230" s="670"/>
      <c r="BD230" s="670"/>
      <c r="BE230" s="670"/>
      <c r="BF230" s="670"/>
      <c r="BG230" s="670"/>
      <c r="BH230" s="670"/>
      <c r="BI230" s="670"/>
      <c r="BJ230" s="670"/>
      <c r="BK230" s="670"/>
      <c r="BL230" s="670"/>
      <c r="BM230" s="670"/>
      <c r="BN230" s="670"/>
      <c r="BO230" s="670"/>
      <c r="BP230" s="670"/>
      <c r="BQ230" s="670"/>
      <c r="BR230" s="670"/>
      <c r="BS230" s="670"/>
      <c r="BT230" s="670"/>
      <c r="BU230" s="670"/>
      <c r="BV230" s="670"/>
      <c r="BW230" s="670"/>
      <c r="BX230" s="671"/>
      <c r="BY230" s="671"/>
      <c r="BZ230" s="671"/>
      <c r="CA230" s="672"/>
    </row>
    <row r="231" spans="1:86" ht="21.4" customHeight="1" outlineLevel="1" x14ac:dyDescent="0.35">
      <c r="A231" s="176"/>
      <c r="B231" s="176"/>
      <c r="C231" s="713"/>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c r="AB231" s="176"/>
      <c r="AC231" s="176"/>
      <c r="AD231" s="176"/>
      <c r="AE231" s="176"/>
      <c r="AF231" s="176"/>
      <c r="AG231" s="176"/>
      <c r="AH231" s="176"/>
      <c r="AI231" s="176"/>
      <c r="AJ231" s="176"/>
      <c r="AK231" s="176"/>
      <c r="AL231" s="176"/>
      <c r="AM231" s="176"/>
      <c r="AN231" s="176"/>
      <c r="AO231" s="176"/>
      <c r="AP231" s="176"/>
      <c r="AQ231" s="176"/>
      <c r="AR231" s="176"/>
      <c r="AS231" s="176"/>
      <c r="AT231" s="176"/>
      <c r="AU231" s="176"/>
      <c r="AV231" s="176"/>
      <c r="AW231" s="176"/>
      <c r="AX231" s="176"/>
      <c r="AY231" s="176"/>
      <c r="AZ231" s="176"/>
      <c r="BA231" s="176"/>
      <c r="BB231" s="176"/>
      <c r="BC231" s="176"/>
      <c r="BD231" s="176"/>
      <c r="BE231" s="176"/>
      <c r="BF231" s="176"/>
      <c r="BG231" s="176"/>
      <c r="BH231" s="176"/>
      <c r="BI231" s="176"/>
      <c r="BJ231" s="176"/>
      <c r="BK231" s="176"/>
      <c r="BL231" s="176"/>
      <c r="BM231" s="176"/>
      <c r="BN231" s="176"/>
      <c r="BO231" s="176"/>
      <c r="BP231" s="176"/>
      <c r="BQ231" s="176"/>
      <c r="BR231" s="176"/>
      <c r="BS231" s="176"/>
      <c r="BT231" s="176"/>
      <c r="BU231" s="176"/>
      <c r="BV231" s="176"/>
      <c r="BW231" s="176"/>
      <c r="BX231" s="176"/>
      <c r="BY231" s="176"/>
      <c r="BZ231" s="176"/>
      <c r="CA231" s="176"/>
      <c r="CB231" s="176"/>
      <c r="CC231" s="176"/>
      <c r="CD231" s="176"/>
      <c r="CE231" s="176"/>
      <c r="CF231" s="176"/>
      <c r="CG231" s="176"/>
      <c r="CH231" s="176"/>
    </row>
    <row r="232" spans="1:86" ht="21.4" customHeight="1" outlineLevel="1" x14ac:dyDescent="0.35">
      <c r="A232" s="176"/>
      <c r="B232" s="480" t="s">
        <v>621</v>
      </c>
      <c r="C232" s="876" t="s">
        <v>196</v>
      </c>
      <c r="D232" s="480" t="s">
        <v>622</v>
      </c>
      <c r="E232" s="480" t="s">
        <v>32</v>
      </c>
      <c r="F232" s="480" t="s">
        <v>554</v>
      </c>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c r="AC232" s="176"/>
      <c r="AD232" s="176"/>
      <c r="AE232" s="176"/>
      <c r="AF232" s="176"/>
      <c r="AG232" s="176"/>
      <c r="AH232" s="176"/>
      <c r="AI232" s="176"/>
      <c r="AJ232" s="176"/>
      <c r="AK232" s="176"/>
      <c r="AL232" s="176"/>
      <c r="AM232" s="176"/>
      <c r="AN232" s="176"/>
      <c r="AO232" s="176"/>
      <c r="AP232" s="176"/>
      <c r="AQ232" s="176"/>
      <c r="AR232" s="176"/>
      <c r="AS232" s="176"/>
      <c r="AT232" s="176"/>
      <c r="AU232" s="176"/>
      <c r="AV232" s="176"/>
      <c r="AW232" s="176"/>
      <c r="AX232" s="176"/>
      <c r="AY232" s="176"/>
      <c r="AZ232" s="176"/>
      <c r="BA232" s="176"/>
      <c r="BB232" s="176"/>
      <c r="BC232" s="176"/>
      <c r="BD232" s="176"/>
      <c r="BE232" s="176"/>
      <c r="BF232" s="176"/>
      <c r="BG232" s="176"/>
      <c r="BH232" s="176"/>
      <c r="BI232" s="176"/>
      <c r="BJ232" s="176"/>
      <c r="BK232" s="176"/>
      <c r="BL232" s="176"/>
      <c r="BM232" s="176"/>
      <c r="BN232" s="176"/>
      <c r="BO232" s="176"/>
      <c r="BP232" s="176"/>
      <c r="BQ232" s="176"/>
      <c r="BR232" s="176"/>
      <c r="BS232" s="176"/>
      <c r="BT232" s="176"/>
      <c r="BU232" s="176"/>
      <c r="BV232" s="176"/>
      <c r="BW232" s="176"/>
      <c r="BX232" s="176"/>
      <c r="BY232" s="176"/>
      <c r="BZ232" s="176"/>
      <c r="CA232" s="176"/>
      <c r="CB232" s="176"/>
      <c r="CC232" s="176"/>
      <c r="CD232" s="176"/>
      <c r="CE232" s="176"/>
      <c r="CF232" s="176"/>
      <c r="CG232" s="176"/>
      <c r="CH232" s="176"/>
    </row>
    <row r="233" spans="1:86" ht="21.4" customHeight="1" outlineLevel="1" x14ac:dyDescent="0.35">
      <c r="A233" s="176"/>
      <c r="B233" s="772" t="s">
        <v>623</v>
      </c>
      <c r="C233" s="877" t="s">
        <v>1280</v>
      </c>
      <c r="D233" s="878">
        <v>0.47899999999999998</v>
      </c>
      <c r="E233" s="772" t="s">
        <v>340</v>
      </c>
      <c r="F233" s="772" t="s">
        <v>636</v>
      </c>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176"/>
      <c r="AC233" s="176"/>
      <c r="AD233" s="176"/>
      <c r="AE233" s="176"/>
      <c r="AF233" s="176"/>
      <c r="AG233" s="176"/>
      <c r="AH233" s="176"/>
      <c r="AI233" s="176"/>
      <c r="AJ233" s="176"/>
      <c r="AK233" s="176"/>
      <c r="AL233" s="176"/>
      <c r="AM233" s="176"/>
      <c r="AN233" s="176"/>
      <c r="AO233" s="176"/>
      <c r="AP233" s="176"/>
      <c r="AQ233" s="176"/>
      <c r="AR233" s="176"/>
      <c r="AS233" s="176"/>
      <c r="AT233" s="176"/>
      <c r="AU233" s="176"/>
      <c r="AV233" s="176"/>
      <c r="AW233" s="176"/>
      <c r="AX233" s="176"/>
      <c r="AY233" s="176"/>
      <c r="AZ233" s="176"/>
      <c r="BA233" s="176"/>
      <c r="BB233" s="176"/>
      <c r="BC233" s="176"/>
      <c r="BD233" s="176"/>
      <c r="BE233" s="176"/>
      <c r="BF233" s="176"/>
      <c r="BG233" s="176"/>
      <c r="BH233" s="176"/>
      <c r="BI233" s="176"/>
      <c r="BJ233" s="176"/>
      <c r="BK233" s="176"/>
      <c r="BL233" s="176"/>
      <c r="BM233" s="176"/>
      <c r="BN233" s="176"/>
      <c r="BO233" s="176"/>
      <c r="BP233" s="176"/>
      <c r="BQ233" s="176"/>
      <c r="BR233" s="176"/>
      <c r="BS233" s="176"/>
      <c r="BT233" s="176"/>
      <c r="BU233" s="176"/>
      <c r="BV233" s="176"/>
      <c r="BW233" s="176"/>
      <c r="BX233" s="176"/>
      <c r="BY233" s="176"/>
      <c r="BZ233" s="176"/>
      <c r="CA233" s="176"/>
      <c r="CB233" s="176"/>
      <c r="CC233" s="176"/>
      <c r="CD233" s="176"/>
      <c r="CE233" s="176"/>
      <c r="CF233" s="176"/>
      <c r="CG233" s="176"/>
      <c r="CH233" s="176"/>
    </row>
    <row r="234" spans="1:86" ht="21.4" customHeight="1" outlineLevel="1" x14ac:dyDescent="0.35">
      <c r="A234" s="176"/>
      <c r="B234" s="772" t="s">
        <v>1281</v>
      </c>
      <c r="C234" s="877" t="s">
        <v>625</v>
      </c>
      <c r="D234" s="878">
        <v>0.18099999999999999</v>
      </c>
      <c r="E234" s="772" t="s">
        <v>340</v>
      </c>
      <c r="F234" s="1038" t="s">
        <v>636</v>
      </c>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c r="AL234" s="176"/>
      <c r="AM234" s="176"/>
      <c r="AN234" s="176"/>
      <c r="AO234" s="176"/>
      <c r="AP234" s="176"/>
      <c r="AQ234" s="176"/>
      <c r="AR234" s="176"/>
      <c r="AS234" s="176"/>
      <c r="AT234" s="176"/>
      <c r="AU234" s="176"/>
      <c r="AV234" s="176"/>
      <c r="AW234" s="176"/>
      <c r="AX234" s="176"/>
      <c r="AY234" s="176"/>
      <c r="AZ234" s="176"/>
      <c r="BA234" s="176"/>
      <c r="BB234" s="176"/>
      <c r="BC234" s="176"/>
      <c r="BD234" s="176"/>
      <c r="BE234" s="176"/>
      <c r="BF234" s="176"/>
      <c r="BG234" s="176"/>
      <c r="BH234" s="176"/>
      <c r="BI234" s="176"/>
      <c r="BJ234" s="176"/>
      <c r="BK234" s="176"/>
      <c r="BL234" s="176"/>
      <c r="BM234" s="176"/>
      <c r="BN234" s="176"/>
      <c r="BO234" s="176"/>
      <c r="BP234" s="176"/>
      <c r="BQ234" s="176"/>
      <c r="BR234" s="176"/>
      <c r="BS234" s="176"/>
      <c r="BT234" s="176"/>
      <c r="BU234" s="176"/>
      <c r="BV234" s="176"/>
      <c r="BW234" s="176"/>
      <c r="BX234" s="176"/>
      <c r="BY234" s="176"/>
      <c r="BZ234" s="176"/>
      <c r="CA234" s="176"/>
      <c r="CB234" s="176"/>
      <c r="CC234" s="176"/>
      <c r="CD234" s="176"/>
      <c r="CE234" s="176"/>
      <c r="CF234" s="176"/>
      <c r="CG234" s="176"/>
      <c r="CH234" s="176"/>
    </row>
    <row r="235" spans="1:86" ht="21.4" customHeight="1" outlineLevel="1" x14ac:dyDescent="0.35">
      <c r="A235" s="176"/>
      <c r="B235" s="772" t="s">
        <v>624</v>
      </c>
      <c r="C235" s="877" t="s">
        <v>626</v>
      </c>
      <c r="D235" s="878">
        <v>0.1229</v>
      </c>
      <c r="E235" s="772" t="s">
        <v>340</v>
      </c>
      <c r="F235" s="1038" t="s">
        <v>636</v>
      </c>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c r="AL235" s="176"/>
      <c r="AM235" s="176"/>
      <c r="AN235" s="176"/>
      <c r="AO235" s="176"/>
      <c r="AP235" s="176"/>
      <c r="AQ235" s="176"/>
      <c r="AR235" s="176"/>
      <c r="AS235" s="176"/>
      <c r="AT235" s="176"/>
      <c r="AU235" s="176"/>
      <c r="AV235" s="176"/>
      <c r="AW235" s="176"/>
      <c r="AX235" s="176"/>
      <c r="AY235" s="176"/>
      <c r="AZ235" s="176"/>
      <c r="BA235" s="176"/>
      <c r="BB235" s="176"/>
      <c r="BC235" s="176"/>
      <c r="BD235" s="176"/>
      <c r="BE235" s="176"/>
      <c r="BF235" s="176"/>
      <c r="BG235" s="176"/>
      <c r="BH235" s="176"/>
      <c r="BI235" s="176"/>
      <c r="BJ235" s="176"/>
      <c r="BK235" s="176"/>
      <c r="BL235" s="176"/>
      <c r="BM235" s="176"/>
      <c r="BN235" s="176"/>
      <c r="BO235" s="176"/>
      <c r="BP235" s="176"/>
      <c r="BQ235" s="176"/>
      <c r="BR235" s="176"/>
      <c r="BS235" s="176"/>
      <c r="BT235" s="176"/>
      <c r="BU235" s="176"/>
      <c r="BV235" s="176"/>
      <c r="BW235" s="176"/>
      <c r="BX235" s="176"/>
      <c r="BY235" s="176"/>
      <c r="BZ235" s="176"/>
      <c r="CA235" s="176"/>
      <c r="CB235" s="176"/>
      <c r="CC235" s="176"/>
      <c r="CD235" s="176"/>
      <c r="CE235" s="176"/>
      <c r="CF235" s="176"/>
      <c r="CG235" s="176"/>
      <c r="CH235" s="176"/>
    </row>
    <row r="236" spans="1:86" ht="21.4" customHeight="1" outlineLevel="1" x14ac:dyDescent="0.35">
      <c r="A236" s="176"/>
      <c r="B236" s="772" t="s">
        <v>627</v>
      </c>
      <c r="C236" s="877" t="s">
        <v>637</v>
      </c>
      <c r="D236" s="878">
        <f>1-D233-D234-D235</f>
        <v>0.21710000000000002</v>
      </c>
      <c r="E236" s="772" t="s">
        <v>340</v>
      </c>
      <c r="F236" s="1038" t="s">
        <v>636</v>
      </c>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176"/>
      <c r="AM236" s="176"/>
      <c r="AN236" s="176"/>
      <c r="AO236" s="176"/>
      <c r="AP236" s="176"/>
      <c r="AQ236" s="176"/>
      <c r="AR236" s="176"/>
      <c r="AS236" s="176"/>
      <c r="AT236" s="176"/>
      <c r="AU236" s="176"/>
      <c r="AV236" s="176"/>
      <c r="AW236" s="176"/>
      <c r="AX236" s="176"/>
      <c r="AY236" s="176"/>
      <c r="AZ236" s="176"/>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row>
    <row r="237" spans="1:86" ht="38" customHeight="1" outlineLevel="1" x14ac:dyDescent="0.35">
      <c r="A237" s="176"/>
      <c r="B237" s="772" t="s">
        <v>628</v>
      </c>
      <c r="C237" s="877" t="s">
        <v>638</v>
      </c>
      <c r="D237" s="879">
        <f>((E88+E90)/2)/K88</f>
        <v>0.12377878924602022</v>
      </c>
      <c r="E237" s="772" t="s">
        <v>205</v>
      </c>
      <c r="F237" s="1038" t="s">
        <v>1586</v>
      </c>
      <c r="G237" s="176"/>
      <c r="H237" s="176"/>
      <c r="I237" s="176"/>
      <c r="J237" s="176"/>
      <c r="K237" s="176"/>
      <c r="L237" s="176"/>
      <c r="M237" s="176"/>
      <c r="N237" s="176"/>
      <c r="O237" s="176"/>
      <c r="P237" s="176"/>
      <c r="Q237" s="176"/>
      <c r="R237" s="176"/>
      <c r="S237" s="176"/>
      <c r="T237" s="176"/>
      <c r="U237" s="176"/>
      <c r="V237" s="176"/>
      <c r="W237" s="176"/>
      <c r="X237" s="176"/>
      <c r="Y237" s="176"/>
      <c r="Z237" s="176"/>
      <c r="AA237" s="176"/>
      <c r="AB237" s="176"/>
      <c r="AC237" s="176"/>
      <c r="AD237" s="176"/>
      <c r="AE237" s="176"/>
      <c r="AF237" s="176"/>
      <c r="AG237" s="176"/>
      <c r="AH237" s="176"/>
      <c r="AI237" s="176"/>
      <c r="AJ237" s="176"/>
      <c r="AK237" s="176"/>
      <c r="AL237" s="176"/>
      <c r="AM237" s="176"/>
      <c r="AN237" s="176"/>
      <c r="AO237" s="176"/>
      <c r="AP237" s="176"/>
      <c r="AQ237" s="176"/>
      <c r="AR237" s="176"/>
      <c r="AS237" s="176"/>
      <c r="AT237" s="176"/>
      <c r="AU237" s="176"/>
      <c r="AV237" s="176"/>
      <c r="AW237" s="176"/>
      <c r="AX237" s="176"/>
      <c r="AY237" s="176"/>
      <c r="AZ237" s="176"/>
      <c r="BA237" s="176"/>
      <c r="BB237" s="176"/>
      <c r="BC237" s="176"/>
      <c r="BD237" s="176"/>
      <c r="BE237" s="176"/>
      <c r="BF237" s="176"/>
      <c r="BG237" s="176"/>
      <c r="BH237" s="176"/>
      <c r="BI237" s="176"/>
      <c r="BJ237" s="176"/>
      <c r="BK237" s="176"/>
      <c r="BL237" s="176"/>
      <c r="BM237" s="176"/>
      <c r="BN237" s="176"/>
      <c r="BO237" s="176"/>
      <c r="BP237" s="176"/>
      <c r="BQ237" s="176"/>
      <c r="BR237" s="176"/>
      <c r="BS237" s="176"/>
      <c r="BT237" s="176"/>
      <c r="BU237" s="176"/>
      <c r="BV237" s="176"/>
      <c r="BW237" s="176"/>
      <c r="BX237" s="176"/>
      <c r="BY237" s="176"/>
      <c r="BZ237" s="176"/>
      <c r="CA237" s="176"/>
      <c r="CB237" s="176"/>
      <c r="CC237" s="176"/>
      <c r="CD237" s="176"/>
      <c r="CE237" s="176"/>
      <c r="CF237" s="176"/>
      <c r="CG237" s="176"/>
      <c r="CH237" s="176"/>
    </row>
    <row r="238" spans="1:86" ht="40.5" customHeight="1" outlineLevel="1" x14ac:dyDescent="0.35">
      <c r="A238" s="176"/>
      <c r="B238" s="772" t="s">
        <v>1282</v>
      </c>
      <c r="C238" s="877" t="s">
        <v>632</v>
      </c>
      <c r="D238" s="879">
        <f>D237</f>
        <v>0.12377878924602022</v>
      </c>
      <c r="E238" s="772" t="str">
        <f>E237</f>
        <v>kg/km</v>
      </c>
      <c r="F238" s="1038" t="str">
        <f>F237</f>
        <v>Média entre fatores para gasóleo e gasolina, dividido pelo fator de utilização</v>
      </c>
      <c r="G238" s="176"/>
      <c r="H238" s="176"/>
      <c r="I238" s="176"/>
      <c r="J238" s="176"/>
      <c r="K238" s="176"/>
      <c r="L238" s="176"/>
      <c r="M238" s="176"/>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c r="AL238" s="176"/>
      <c r="AM238" s="176"/>
      <c r="AN238" s="176"/>
      <c r="AO238" s="176"/>
      <c r="AP238" s="176"/>
      <c r="AQ238" s="176"/>
      <c r="AR238" s="176"/>
      <c r="AS238" s="176"/>
      <c r="AT238" s="176"/>
      <c r="AU238" s="176"/>
      <c r="AV238" s="176"/>
      <c r="AW238" s="176"/>
      <c r="AX238" s="176"/>
      <c r="AY238" s="176"/>
      <c r="AZ238" s="176"/>
      <c r="BA238" s="176"/>
      <c r="BB238" s="176"/>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6"/>
      <c r="CF238" s="176"/>
      <c r="CG238" s="176"/>
      <c r="CH238" s="176"/>
    </row>
    <row r="239" spans="1:86" ht="45" customHeight="1" outlineLevel="1" x14ac:dyDescent="0.35">
      <c r="A239" s="176"/>
      <c r="B239" s="772" t="s">
        <v>629</v>
      </c>
      <c r="C239" s="877" t="s">
        <v>633</v>
      </c>
      <c r="D239" s="879">
        <f>(E106+E107+E86/K86+E117)/4</f>
        <v>6.6857900909336299E-2</v>
      </c>
      <c r="E239" s="772" t="str">
        <f>E238</f>
        <v>kg/km</v>
      </c>
      <c r="F239" s="949" t="s">
        <v>1587</v>
      </c>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c r="AE239" s="176"/>
      <c r="AF239" s="176"/>
      <c r="AG239" s="176"/>
      <c r="AH239" s="176"/>
      <c r="AI239" s="176"/>
      <c r="AJ239" s="176"/>
      <c r="AK239" s="176"/>
      <c r="AL239" s="176"/>
      <c r="AM239" s="176"/>
      <c r="AN239" s="176"/>
      <c r="AO239" s="176"/>
      <c r="AP239" s="176"/>
      <c r="AQ239" s="176"/>
      <c r="AR239" s="176"/>
      <c r="AS239" s="176"/>
      <c r="AT239" s="176"/>
      <c r="AU239" s="176"/>
      <c r="AV239" s="176"/>
      <c r="AW239" s="176"/>
      <c r="AX239" s="176"/>
      <c r="AY239" s="176"/>
      <c r="AZ239" s="176"/>
      <c r="BA239" s="176"/>
      <c r="BB239" s="176"/>
      <c r="BC239" s="176"/>
      <c r="BD239" s="176"/>
      <c r="BE239" s="176"/>
      <c r="BF239" s="176"/>
      <c r="BG239" s="176"/>
      <c r="BH239" s="176"/>
      <c r="BI239" s="176"/>
      <c r="BJ239" s="176"/>
      <c r="BK239" s="176"/>
      <c r="BL239" s="176"/>
      <c r="BM239" s="176"/>
      <c r="BN239" s="176"/>
      <c r="BO239" s="176"/>
      <c r="BP239" s="176"/>
      <c r="BQ239" s="176"/>
      <c r="BR239" s="176"/>
      <c r="BS239" s="176"/>
      <c r="BT239" s="176"/>
      <c r="BU239" s="176"/>
      <c r="BV239" s="176"/>
      <c r="BW239" s="176"/>
      <c r="BX239" s="176"/>
      <c r="BY239" s="176"/>
      <c r="BZ239" s="176"/>
      <c r="CA239" s="176"/>
      <c r="CB239" s="176"/>
      <c r="CC239" s="176"/>
      <c r="CD239" s="176"/>
      <c r="CE239" s="176"/>
      <c r="CF239" s="176"/>
      <c r="CG239" s="176"/>
      <c r="CH239" s="176"/>
    </row>
    <row r="240" spans="1:86" ht="21.4" customHeight="1" outlineLevel="1" x14ac:dyDescent="0.35">
      <c r="A240" s="176"/>
      <c r="B240" s="772" t="s">
        <v>630</v>
      </c>
      <c r="C240" s="877" t="s">
        <v>634</v>
      </c>
      <c r="D240" s="772">
        <v>0</v>
      </c>
      <c r="E240" s="772" t="str">
        <f>E239</f>
        <v>kg/km</v>
      </c>
      <c r="F240" s="1038" t="s">
        <v>639</v>
      </c>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c r="AL240" s="176"/>
      <c r="AM240" s="176"/>
      <c r="AN240" s="176"/>
      <c r="AO240" s="176"/>
      <c r="AP240" s="176"/>
      <c r="AQ240" s="176"/>
      <c r="AR240" s="176"/>
      <c r="AS240" s="176"/>
      <c r="AT240" s="176"/>
      <c r="AU240" s="176"/>
      <c r="AV240" s="176"/>
      <c r="AW240" s="176"/>
      <c r="AX240" s="176"/>
      <c r="AY240" s="176"/>
      <c r="AZ240" s="176"/>
      <c r="BA240" s="176"/>
      <c r="BB240" s="176"/>
      <c r="BC240" s="176"/>
      <c r="BD240" s="176"/>
      <c r="BE240" s="176"/>
      <c r="BF240" s="176"/>
      <c r="BG240" s="176"/>
      <c r="BH240" s="176"/>
      <c r="BI240" s="176"/>
      <c r="BJ240" s="176"/>
      <c r="BK240" s="176"/>
      <c r="BL240" s="176"/>
      <c r="BM240" s="176"/>
      <c r="BN240" s="176"/>
      <c r="BO240" s="176"/>
      <c r="BP240" s="176"/>
      <c r="BQ240" s="176"/>
      <c r="BR240" s="176"/>
      <c r="BS240" s="176"/>
      <c r="BT240" s="176"/>
      <c r="BU240" s="176"/>
      <c r="BV240" s="176"/>
      <c r="BW240" s="176"/>
      <c r="BX240" s="176"/>
      <c r="BY240" s="176"/>
      <c r="BZ240" s="176"/>
      <c r="CA240" s="176"/>
      <c r="CB240" s="176"/>
      <c r="CC240" s="176"/>
      <c r="CD240" s="176"/>
      <c r="CE240" s="176"/>
      <c r="CF240" s="176"/>
      <c r="CG240" s="176"/>
      <c r="CH240" s="176"/>
    </row>
    <row r="241" spans="1:86" ht="21.4" customHeight="1" outlineLevel="1" x14ac:dyDescent="0.35">
      <c r="A241" s="176"/>
      <c r="B241" s="772" t="s">
        <v>631</v>
      </c>
      <c r="C241" s="877" t="s">
        <v>635</v>
      </c>
      <c r="D241" s="772">
        <v>15</v>
      </c>
      <c r="E241" s="772" t="s">
        <v>551</v>
      </c>
      <c r="F241" s="1038" t="s">
        <v>640</v>
      </c>
      <c r="G241" s="176"/>
      <c r="H241" s="176"/>
      <c r="I241" s="176"/>
      <c r="J241" s="176"/>
      <c r="K241" s="176"/>
      <c r="L241" s="176"/>
      <c r="M241" s="176"/>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c r="AL241" s="176"/>
      <c r="AM241" s="176"/>
      <c r="AN241" s="176"/>
      <c r="AO241" s="176"/>
      <c r="AP241" s="176"/>
      <c r="AQ241" s="176"/>
      <c r="AR241" s="176"/>
      <c r="AS241" s="176"/>
      <c r="AT241" s="176"/>
      <c r="AU241" s="176"/>
      <c r="AV241" s="176"/>
      <c r="AW241" s="176"/>
      <c r="AX241" s="176"/>
      <c r="AY241" s="176"/>
      <c r="AZ241" s="176"/>
      <c r="BA241" s="176"/>
      <c r="BB241" s="176"/>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6"/>
      <c r="CF241" s="176"/>
      <c r="CG241" s="176"/>
      <c r="CH241" s="176"/>
    </row>
    <row r="242" spans="1:86" ht="21.4" customHeight="1" outlineLevel="1" x14ac:dyDescent="0.35">
      <c r="A242" s="176"/>
      <c r="B242" s="176"/>
      <c r="C242" s="713"/>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c r="AB242" s="176"/>
      <c r="AC242" s="176"/>
      <c r="AD242" s="176"/>
      <c r="AE242" s="176"/>
      <c r="AF242" s="176"/>
      <c r="AG242" s="176"/>
      <c r="AH242" s="176"/>
      <c r="AI242" s="176"/>
      <c r="AJ242" s="176"/>
      <c r="AK242" s="176"/>
      <c r="AL242" s="176"/>
      <c r="AM242" s="176"/>
      <c r="AN242" s="176"/>
      <c r="AO242" s="176"/>
      <c r="AP242" s="176"/>
      <c r="AQ242" s="176"/>
      <c r="AR242" s="176"/>
      <c r="AS242" s="176"/>
      <c r="AT242" s="176"/>
      <c r="AU242" s="176"/>
      <c r="AV242" s="176"/>
      <c r="AW242" s="176"/>
      <c r="AX242" s="176"/>
      <c r="AY242" s="176"/>
      <c r="AZ242" s="176"/>
      <c r="BA242" s="176"/>
      <c r="BB242" s="176"/>
      <c r="BC242" s="176"/>
      <c r="BD242" s="176"/>
      <c r="BE242" s="176"/>
      <c r="BF242" s="176"/>
      <c r="BG242" s="176"/>
      <c r="BH242" s="176"/>
      <c r="BI242" s="176"/>
      <c r="BJ242" s="176"/>
      <c r="BK242" s="176"/>
      <c r="BL242" s="176"/>
      <c r="BM242" s="176"/>
      <c r="BN242" s="176"/>
      <c r="BO242" s="176"/>
      <c r="BP242" s="176"/>
      <c r="BQ242" s="176"/>
      <c r="BR242" s="176"/>
      <c r="BS242" s="176"/>
      <c r="BT242" s="176"/>
      <c r="BU242" s="176"/>
      <c r="BV242" s="176"/>
      <c r="BW242" s="176"/>
      <c r="BX242" s="176"/>
      <c r="BY242" s="176"/>
      <c r="BZ242" s="176"/>
      <c r="CA242" s="176"/>
      <c r="CB242" s="176"/>
      <c r="CC242" s="176"/>
      <c r="CD242" s="176"/>
      <c r="CE242" s="176"/>
      <c r="CF242" s="176"/>
      <c r="CG242" s="176"/>
      <c r="CH242" s="176"/>
    </row>
    <row r="243" spans="1:86" ht="21.4" customHeight="1" x14ac:dyDescent="0.35">
      <c r="A243" s="176"/>
      <c r="B243" s="176"/>
      <c r="C243" s="713"/>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c r="AL243" s="176"/>
      <c r="AM243" s="176"/>
      <c r="AN243" s="176"/>
      <c r="AO243" s="176"/>
      <c r="AP243" s="176"/>
      <c r="AQ243" s="176"/>
      <c r="AR243" s="176"/>
      <c r="AS243" s="176"/>
      <c r="AT243" s="176"/>
      <c r="AU243" s="176"/>
      <c r="AV243" s="176"/>
      <c r="AW243" s="176"/>
      <c r="AX243" s="176"/>
      <c r="AY243" s="176"/>
      <c r="AZ243" s="176"/>
      <c r="BA243" s="176"/>
      <c r="BB243" s="176"/>
      <c r="BC243" s="176"/>
      <c r="BD243" s="176"/>
      <c r="BE243" s="176"/>
      <c r="BF243" s="176"/>
      <c r="BG243" s="176"/>
      <c r="BH243" s="176"/>
      <c r="BI243" s="176"/>
      <c r="BJ243" s="176"/>
      <c r="BK243" s="176"/>
      <c r="BL243" s="176"/>
      <c r="BM243" s="176"/>
      <c r="BN243" s="176"/>
      <c r="BO243" s="176"/>
      <c r="BP243" s="176"/>
      <c r="BQ243" s="176"/>
      <c r="BR243" s="176"/>
      <c r="BS243" s="176"/>
      <c r="BT243" s="176"/>
      <c r="BU243" s="176"/>
      <c r="BV243" s="176"/>
      <c r="BW243" s="176"/>
      <c r="BX243" s="176"/>
      <c r="BY243" s="176"/>
      <c r="BZ243" s="176"/>
      <c r="CA243" s="176"/>
      <c r="CB243" s="176"/>
      <c r="CC243" s="176"/>
      <c r="CD243" s="176"/>
      <c r="CE243" s="176"/>
      <c r="CF243" s="176"/>
      <c r="CG243" s="176"/>
      <c r="CH243" s="176"/>
    </row>
    <row r="244" spans="1:86" s="673" customFormat="1" ht="30" customHeight="1" x14ac:dyDescent="0.35">
      <c r="A244" s="668"/>
      <c r="B244" s="634" t="s">
        <v>1555</v>
      </c>
      <c r="C244" s="669"/>
      <c r="D244" s="670"/>
      <c r="E244" s="670"/>
      <c r="F244" s="670"/>
      <c r="G244" s="670"/>
      <c r="H244" s="670"/>
      <c r="I244" s="670"/>
      <c r="J244" s="670"/>
      <c r="K244" s="670"/>
      <c r="L244" s="670"/>
      <c r="M244" s="670"/>
      <c r="N244" s="670"/>
      <c r="O244" s="670"/>
      <c r="P244" s="670"/>
      <c r="Q244" s="670"/>
      <c r="R244" s="670"/>
      <c r="S244" s="670"/>
      <c r="T244" s="670"/>
      <c r="U244" s="670"/>
      <c r="V244" s="670"/>
      <c r="W244" s="670"/>
      <c r="X244" s="670"/>
      <c r="Y244" s="670"/>
      <c r="Z244" s="670"/>
      <c r="AA244" s="670"/>
      <c r="AB244" s="670"/>
      <c r="AC244" s="670"/>
      <c r="AD244" s="670"/>
      <c r="AE244" s="670"/>
      <c r="AF244" s="670"/>
      <c r="AG244" s="670"/>
      <c r="AH244" s="670"/>
      <c r="AI244" s="670"/>
      <c r="AJ244" s="670"/>
      <c r="AK244" s="670"/>
      <c r="AL244" s="670"/>
      <c r="AM244" s="670"/>
      <c r="AN244" s="670"/>
      <c r="AO244" s="670"/>
      <c r="AP244" s="670"/>
      <c r="AQ244" s="670"/>
      <c r="AR244" s="670"/>
      <c r="AS244" s="670"/>
      <c r="AT244" s="670"/>
      <c r="AU244" s="670"/>
      <c r="AV244" s="670"/>
      <c r="AW244" s="670"/>
      <c r="AX244" s="670"/>
      <c r="AY244" s="670"/>
      <c r="AZ244" s="670"/>
      <c r="BA244" s="670"/>
      <c r="BB244" s="670"/>
      <c r="BC244" s="670"/>
      <c r="BD244" s="670"/>
      <c r="BE244" s="670"/>
      <c r="BF244" s="670"/>
      <c r="BG244" s="670"/>
      <c r="BH244" s="670"/>
      <c r="BI244" s="670"/>
      <c r="BJ244" s="670"/>
      <c r="BK244" s="670"/>
      <c r="BL244" s="670"/>
      <c r="BM244" s="670"/>
      <c r="BN244" s="670"/>
      <c r="BO244" s="670"/>
      <c r="BP244" s="670"/>
      <c r="BQ244" s="670"/>
      <c r="BR244" s="670"/>
      <c r="BS244" s="670"/>
      <c r="BT244" s="670"/>
      <c r="BU244" s="670"/>
      <c r="BV244" s="670"/>
      <c r="BW244" s="670"/>
      <c r="BX244" s="671"/>
      <c r="BY244" s="671"/>
      <c r="BZ244" s="671"/>
      <c r="CA244" s="672"/>
    </row>
    <row r="245" spans="1:86" ht="15.75" customHeight="1" outlineLevel="1" x14ac:dyDescent="0.35">
      <c r="A245" s="696"/>
      <c r="B245" s="756"/>
      <c r="C245" s="713"/>
      <c r="D245" s="176"/>
      <c r="E245" s="757"/>
      <c r="F245" s="757"/>
      <c r="G245" s="757"/>
      <c r="H245" s="758"/>
      <c r="I245" s="758"/>
      <c r="J245" s="687"/>
      <c r="K245" s="687"/>
      <c r="L245" s="687"/>
      <c r="M245" s="687"/>
      <c r="N245" s="687"/>
      <c r="O245" s="687"/>
      <c r="P245" s="687"/>
      <c r="Q245" s="687"/>
      <c r="R245" s="687"/>
      <c r="S245" s="687"/>
      <c r="T245" s="687"/>
      <c r="U245" s="687"/>
      <c r="V245" s="687"/>
      <c r="W245" s="687"/>
      <c r="X245" s="687"/>
      <c r="Y245" s="687"/>
      <c r="Z245" s="687"/>
      <c r="AA245" s="687"/>
      <c r="AB245" s="687"/>
      <c r="AC245" s="687"/>
      <c r="AD245" s="687"/>
      <c r="AE245" s="687"/>
      <c r="AF245" s="687"/>
      <c r="AG245" s="687"/>
      <c r="AH245" s="687"/>
      <c r="AI245" s="687"/>
      <c r="AJ245" s="687"/>
      <c r="AK245" s="687"/>
      <c r="AL245" s="687"/>
      <c r="AM245" s="687"/>
      <c r="AN245" s="687"/>
      <c r="AO245" s="687"/>
      <c r="AP245" s="687"/>
      <c r="AQ245" s="687"/>
      <c r="AR245" s="687"/>
      <c r="AS245" s="687"/>
      <c r="AT245" s="687"/>
      <c r="AU245" s="687"/>
      <c r="AV245" s="687"/>
      <c r="AW245" s="687"/>
      <c r="AX245" s="687"/>
      <c r="AY245" s="687"/>
      <c r="AZ245" s="687"/>
      <c r="BA245" s="687"/>
      <c r="BB245" s="687"/>
      <c r="BC245" s="687"/>
      <c r="BD245" s="687"/>
      <c r="BE245" s="687"/>
      <c r="BF245" s="687"/>
      <c r="BG245" s="687"/>
      <c r="BH245" s="687"/>
      <c r="BI245" s="687"/>
      <c r="BJ245" s="687"/>
      <c r="BK245" s="687"/>
      <c r="BL245" s="687"/>
      <c r="BM245" s="687"/>
      <c r="BN245" s="687"/>
      <c r="BO245" s="687"/>
      <c r="BP245" s="687"/>
      <c r="BQ245" s="687"/>
      <c r="BR245" s="687"/>
      <c r="BS245" s="687"/>
      <c r="BT245" s="687"/>
      <c r="BU245" s="687"/>
      <c r="BV245" s="687"/>
      <c r="BW245" s="682"/>
      <c r="BX245" s="682"/>
      <c r="BY245" s="682"/>
      <c r="BZ245" s="682"/>
      <c r="CA245" s="682"/>
      <c r="CB245" s="687"/>
      <c r="CC245" s="687"/>
      <c r="CD245" s="687"/>
      <c r="CE245" s="687"/>
      <c r="CF245" s="687"/>
      <c r="CG245" s="687"/>
      <c r="CH245" s="687"/>
    </row>
    <row r="246" spans="1:86" ht="16" outlineLevel="1" thickBot="1" x14ac:dyDescent="0.4">
      <c r="A246" s="696"/>
      <c r="B246" s="696"/>
      <c r="C246" s="759" t="s">
        <v>246</v>
      </c>
      <c r="D246" s="760"/>
      <c r="E246" s="761"/>
      <c r="F246" s="761"/>
      <c r="G246" s="758"/>
      <c r="H246" s="758"/>
      <c r="I246" s="758"/>
      <c r="J246" s="687"/>
      <c r="K246" s="687"/>
      <c r="L246" s="687"/>
      <c r="M246" s="687"/>
      <c r="N246" s="687"/>
      <c r="O246" s="687"/>
      <c r="P246" s="687"/>
      <c r="Q246" s="687"/>
      <c r="R246" s="687"/>
      <c r="S246" s="687"/>
      <c r="T246" s="687"/>
      <c r="U246" s="687"/>
      <c r="V246" s="687"/>
      <c r="W246" s="687"/>
      <c r="X246" s="687"/>
      <c r="Y246" s="687"/>
      <c r="Z246" s="687"/>
      <c r="AA246" s="687"/>
      <c r="AB246" s="687"/>
      <c r="AC246" s="687"/>
      <c r="AD246" s="687"/>
      <c r="AE246" s="687"/>
      <c r="AF246" s="687"/>
      <c r="AG246" s="687"/>
      <c r="AH246" s="687"/>
      <c r="AI246" s="687"/>
      <c r="AJ246" s="687"/>
      <c r="AK246" s="687"/>
      <c r="AL246" s="687"/>
      <c r="AM246" s="687"/>
      <c r="AN246" s="687"/>
      <c r="AO246" s="687"/>
      <c r="AP246" s="687"/>
      <c r="AQ246" s="687"/>
      <c r="AR246" s="687"/>
      <c r="AS246" s="687"/>
      <c r="AT246" s="687"/>
      <c r="AU246" s="687"/>
      <c r="AV246" s="687"/>
      <c r="AW246" s="687"/>
      <c r="AX246" s="687"/>
      <c r="AY246" s="687"/>
      <c r="AZ246" s="687"/>
      <c r="BA246" s="687"/>
      <c r="BB246" s="687"/>
      <c r="BC246" s="687"/>
      <c r="BD246" s="687"/>
      <c r="BE246" s="687"/>
      <c r="BF246" s="687"/>
      <c r="BG246" s="687"/>
      <c r="BH246" s="687"/>
      <c r="BI246" s="687"/>
      <c r="BJ246" s="687"/>
      <c r="BK246" s="687"/>
      <c r="BL246" s="687"/>
      <c r="BM246" s="687"/>
      <c r="BN246" s="687"/>
      <c r="BO246" s="687"/>
      <c r="BP246" s="687"/>
      <c r="BQ246" s="687"/>
      <c r="BR246" s="687"/>
      <c r="BS246" s="687"/>
      <c r="BT246" s="687"/>
      <c r="BU246" s="687"/>
      <c r="BV246" s="687"/>
      <c r="BW246" s="687"/>
      <c r="BX246" s="687"/>
      <c r="BY246" s="687"/>
      <c r="BZ246" s="687"/>
      <c r="CA246" s="687"/>
      <c r="CB246" s="687"/>
      <c r="CC246" s="687"/>
      <c r="CD246" s="687"/>
      <c r="CE246" s="687"/>
      <c r="CF246" s="687"/>
      <c r="CG246" s="687"/>
      <c r="CH246" s="687"/>
    </row>
    <row r="247" spans="1:86" ht="18" outlineLevel="1" thickBot="1" x14ac:dyDescent="0.4">
      <c r="A247" s="690"/>
      <c r="B247" s="762"/>
      <c r="C247" s="688" t="s">
        <v>42</v>
      </c>
      <c r="D247" s="763" t="s">
        <v>49</v>
      </c>
      <c r="E247" s="867" t="s">
        <v>1629</v>
      </c>
      <c r="F247" s="869"/>
      <c r="G247" s="758"/>
      <c r="H247" s="764" t="s">
        <v>42</v>
      </c>
      <c r="I247" s="764" t="s">
        <v>49</v>
      </c>
      <c r="J247" s="763" t="s">
        <v>1630</v>
      </c>
      <c r="K247" s="764" t="s">
        <v>43</v>
      </c>
      <c r="L247" s="687"/>
      <c r="M247" s="687"/>
      <c r="N247" s="687"/>
      <c r="O247" s="687"/>
      <c r="P247" s="687"/>
      <c r="Q247" s="687"/>
      <c r="R247" s="687"/>
      <c r="S247" s="687"/>
      <c r="T247" s="687"/>
      <c r="U247" s="687"/>
      <c r="V247" s="687"/>
      <c r="W247" s="687"/>
      <c r="X247" s="687"/>
      <c r="Y247" s="687"/>
      <c r="Z247" s="687"/>
      <c r="AA247" s="687"/>
      <c r="AB247" s="687"/>
      <c r="AC247" s="687"/>
      <c r="AD247" s="687"/>
      <c r="AE247" s="687"/>
      <c r="AF247" s="687"/>
      <c r="AG247" s="687"/>
      <c r="AH247" s="687"/>
      <c r="AI247" s="687"/>
      <c r="AJ247" s="687"/>
      <c r="AK247" s="687"/>
      <c r="AL247" s="687"/>
      <c r="AM247" s="687"/>
      <c r="AN247" s="687"/>
      <c r="AO247" s="687"/>
      <c r="AP247" s="687"/>
      <c r="AQ247" s="687"/>
      <c r="AR247" s="687"/>
      <c r="AS247" s="687"/>
      <c r="AT247" s="687"/>
      <c r="AU247" s="687"/>
      <c r="AV247" s="687"/>
      <c r="AW247" s="687"/>
      <c r="AX247" s="687"/>
      <c r="AY247" s="687"/>
      <c r="AZ247" s="687"/>
      <c r="BA247" s="687"/>
      <c r="BB247" s="687"/>
      <c r="BC247" s="687"/>
      <c r="BD247" s="687"/>
      <c r="BE247" s="687"/>
      <c r="BF247" s="687"/>
      <c r="BG247" s="687"/>
      <c r="BH247" s="687"/>
      <c r="BI247" s="687"/>
      <c r="BJ247" s="687"/>
      <c r="BK247" s="687"/>
      <c r="BL247" s="687"/>
      <c r="BM247" s="687"/>
      <c r="BN247" s="687"/>
      <c r="BO247" s="687"/>
      <c r="BP247" s="687"/>
      <c r="BQ247" s="687"/>
      <c r="BR247" s="687"/>
      <c r="BS247" s="687"/>
      <c r="BT247" s="687"/>
      <c r="BU247" s="687"/>
      <c r="BV247" s="687"/>
      <c r="BW247" s="687"/>
      <c r="BX247" s="687"/>
      <c r="BY247" s="687"/>
      <c r="BZ247" s="687"/>
      <c r="CA247" s="687"/>
      <c r="CB247" s="687"/>
      <c r="CC247" s="687"/>
      <c r="CD247" s="687"/>
      <c r="CE247" s="687"/>
      <c r="CF247" s="687"/>
      <c r="CG247" s="687"/>
      <c r="CH247" s="687"/>
    </row>
    <row r="248" spans="1:86" ht="21.4" customHeight="1" outlineLevel="1" x14ac:dyDescent="0.35">
      <c r="A248" s="690"/>
      <c r="B248" s="765"/>
      <c r="C248" s="470" t="s">
        <v>1376</v>
      </c>
      <c r="D248" s="655" t="s">
        <v>50</v>
      </c>
      <c r="E248" s="1039">
        <v>28</v>
      </c>
      <c r="F248" s="870"/>
      <c r="G248" s="758"/>
      <c r="H248" s="470" t="s">
        <v>159</v>
      </c>
      <c r="I248" s="1297" t="s">
        <v>160</v>
      </c>
      <c r="J248" s="1040">
        <v>6226</v>
      </c>
      <c r="K248" s="1297" t="s">
        <v>1619</v>
      </c>
      <c r="L248" s="767"/>
      <c r="M248" s="767"/>
      <c r="N248" s="768"/>
      <c r="O248" s="687"/>
      <c r="P248" s="687"/>
      <c r="Q248" s="687"/>
      <c r="R248" s="687"/>
      <c r="S248" s="687"/>
      <c r="T248" s="687"/>
      <c r="U248" s="687"/>
      <c r="V248" s="687"/>
      <c r="W248" s="687"/>
      <c r="X248" s="687"/>
      <c r="Y248" s="687"/>
      <c r="Z248" s="687"/>
      <c r="AA248" s="687"/>
      <c r="AB248" s="687"/>
      <c r="AC248" s="687"/>
      <c r="AD248" s="687"/>
      <c r="AE248" s="687"/>
      <c r="AF248" s="687"/>
      <c r="AG248" s="687"/>
      <c r="AH248" s="687"/>
      <c r="AI248" s="687"/>
      <c r="AJ248" s="687"/>
      <c r="AK248" s="687"/>
      <c r="AL248" s="687"/>
      <c r="AM248" s="687"/>
      <c r="AN248" s="687"/>
      <c r="AO248" s="687"/>
      <c r="AP248" s="687"/>
      <c r="AQ248" s="687"/>
      <c r="AR248" s="687"/>
      <c r="AS248" s="687"/>
      <c r="AT248" s="687"/>
      <c r="AU248" s="687"/>
      <c r="AV248" s="687"/>
      <c r="AW248" s="687"/>
      <c r="AX248" s="687"/>
      <c r="AY248" s="687"/>
      <c r="AZ248" s="687"/>
      <c r="BA248" s="687"/>
      <c r="BB248" s="687"/>
      <c r="BC248" s="687"/>
      <c r="BD248" s="687"/>
      <c r="BE248" s="687"/>
      <c r="BF248" s="687"/>
      <c r="BG248" s="687"/>
      <c r="BH248" s="687"/>
      <c r="BI248" s="687"/>
      <c r="BJ248" s="687"/>
      <c r="BK248" s="687"/>
      <c r="BL248" s="687"/>
      <c r="BM248" s="687"/>
      <c r="BN248" s="687"/>
      <c r="BO248" s="687"/>
      <c r="BP248" s="687"/>
      <c r="BQ248" s="687"/>
      <c r="BR248" s="687"/>
      <c r="BS248" s="687"/>
      <c r="BT248" s="687"/>
      <c r="BU248" s="687"/>
      <c r="BV248" s="687"/>
      <c r="BW248" s="687"/>
      <c r="BX248" s="687"/>
      <c r="BY248" s="687"/>
      <c r="BZ248" s="687"/>
      <c r="CA248" s="687"/>
      <c r="CB248" s="687"/>
      <c r="CC248" s="687"/>
      <c r="CD248" s="687"/>
      <c r="CE248" s="687"/>
      <c r="CF248" s="687"/>
      <c r="CG248" s="687"/>
      <c r="CH248" s="687"/>
    </row>
    <row r="249" spans="1:86" ht="17.5" outlineLevel="1" x14ac:dyDescent="0.35">
      <c r="A249" s="690"/>
      <c r="B249" s="765"/>
      <c r="C249" s="470" t="s">
        <v>1377</v>
      </c>
      <c r="D249" s="655" t="s">
        <v>50</v>
      </c>
      <c r="E249" s="1039">
        <v>265</v>
      </c>
      <c r="F249" s="870"/>
      <c r="G249" s="758"/>
      <c r="H249" s="470" t="s">
        <v>161</v>
      </c>
      <c r="I249" s="1298"/>
      <c r="J249" s="1040">
        <v>10200</v>
      </c>
      <c r="K249" s="1298"/>
      <c r="L249" s="769"/>
      <c r="M249" s="769"/>
      <c r="N249" s="770"/>
      <c r="O249" s="687"/>
      <c r="P249" s="687"/>
      <c r="Q249" s="687"/>
      <c r="R249" s="687"/>
      <c r="S249" s="687"/>
      <c r="T249" s="687"/>
      <c r="U249" s="687"/>
      <c r="V249" s="687"/>
      <c r="W249" s="687"/>
      <c r="X249" s="687"/>
      <c r="Y249" s="687"/>
      <c r="Z249" s="687"/>
      <c r="AA249" s="687"/>
      <c r="AB249" s="687"/>
      <c r="AC249" s="687"/>
      <c r="AD249" s="687"/>
      <c r="AE249" s="687"/>
      <c r="AF249" s="687"/>
      <c r="AG249" s="687"/>
      <c r="AH249" s="687"/>
      <c r="AI249" s="687"/>
      <c r="AJ249" s="687"/>
      <c r="AK249" s="687"/>
      <c r="AL249" s="687"/>
      <c r="AM249" s="687"/>
      <c r="AN249" s="687"/>
      <c r="AO249" s="687"/>
      <c r="AP249" s="687"/>
      <c r="AQ249" s="687"/>
      <c r="AR249" s="687"/>
      <c r="AS249" s="687"/>
      <c r="AT249" s="687"/>
      <c r="AU249" s="687"/>
      <c r="AV249" s="687"/>
      <c r="AW249" s="687"/>
      <c r="AX249" s="687"/>
      <c r="AY249" s="687"/>
      <c r="AZ249" s="687"/>
      <c r="BA249" s="687"/>
      <c r="BB249" s="687"/>
      <c r="BC249" s="687"/>
      <c r="BD249" s="687"/>
      <c r="BE249" s="687"/>
      <c r="BF249" s="687"/>
      <c r="BG249" s="687"/>
      <c r="BH249" s="687"/>
      <c r="BI249" s="687"/>
      <c r="BJ249" s="687"/>
      <c r="BK249" s="687"/>
      <c r="BL249" s="687"/>
      <c r="BM249" s="687"/>
      <c r="BN249" s="687"/>
      <c r="BO249" s="687"/>
      <c r="BP249" s="687"/>
      <c r="BQ249" s="687"/>
      <c r="BR249" s="687"/>
      <c r="BS249" s="687"/>
      <c r="BT249" s="687"/>
      <c r="BU249" s="687"/>
      <c r="BV249" s="687"/>
      <c r="BW249" s="687"/>
      <c r="BX249" s="687"/>
      <c r="BY249" s="687"/>
      <c r="BZ249" s="687"/>
      <c r="CA249" s="687"/>
      <c r="CB249" s="687"/>
      <c r="CC249" s="687"/>
      <c r="CD249" s="687"/>
      <c r="CE249" s="687"/>
      <c r="CF249" s="687"/>
      <c r="CG249" s="687"/>
      <c r="CH249" s="687"/>
    </row>
    <row r="250" spans="1:86" ht="17.5" outlineLevel="1" x14ac:dyDescent="0.35">
      <c r="A250" s="690"/>
      <c r="B250" s="765"/>
      <c r="C250" s="470" t="s">
        <v>1378</v>
      </c>
      <c r="D250" s="655" t="s">
        <v>50</v>
      </c>
      <c r="E250" s="1039">
        <v>23500</v>
      </c>
      <c r="F250" s="870"/>
      <c r="G250" s="758"/>
      <c r="H250" s="470" t="s">
        <v>162</v>
      </c>
      <c r="I250" s="1298"/>
      <c r="J250" s="1040">
        <v>13900</v>
      </c>
      <c r="K250" s="1298"/>
      <c r="L250" s="687"/>
      <c r="M250" s="687"/>
      <c r="N250" s="687"/>
      <c r="O250" s="687"/>
      <c r="P250" s="687"/>
      <c r="Q250" s="687"/>
      <c r="R250" s="687"/>
      <c r="S250" s="687"/>
      <c r="T250" s="687"/>
      <c r="U250" s="687"/>
      <c r="V250" s="687"/>
      <c r="W250" s="687"/>
      <c r="X250" s="687"/>
      <c r="Y250" s="687"/>
      <c r="Z250" s="687"/>
      <c r="AA250" s="687"/>
      <c r="AB250" s="687"/>
      <c r="AC250" s="687"/>
      <c r="AD250" s="687"/>
      <c r="AE250" s="687"/>
      <c r="AF250" s="687"/>
      <c r="AG250" s="687"/>
      <c r="AH250" s="687"/>
      <c r="AI250" s="687"/>
      <c r="AJ250" s="687"/>
      <c r="AK250" s="687"/>
      <c r="AL250" s="687"/>
      <c r="AM250" s="687"/>
      <c r="AN250" s="687"/>
      <c r="AO250" s="687"/>
      <c r="AP250" s="687"/>
      <c r="AQ250" s="687"/>
      <c r="AR250" s="687"/>
      <c r="AS250" s="687"/>
      <c r="AT250" s="687"/>
      <c r="AU250" s="687"/>
      <c r="AV250" s="687"/>
      <c r="AW250" s="687"/>
      <c r="AX250" s="687"/>
      <c r="AY250" s="687"/>
      <c r="AZ250" s="687"/>
      <c r="BA250" s="687"/>
      <c r="BB250" s="687"/>
      <c r="BC250" s="687"/>
      <c r="BD250" s="687"/>
      <c r="BE250" s="687"/>
      <c r="BF250" s="687"/>
      <c r="BG250" s="687"/>
      <c r="BH250" s="687"/>
      <c r="BI250" s="687"/>
      <c r="BJ250" s="687"/>
      <c r="BK250" s="687"/>
      <c r="BL250" s="687"/>
      <c r="BM250" s="687"/>
      <c r="BN250" s="687"/>
      <c r="BO250" s="687"/>
      <c r="BP250" s="687"/>
      <c r="BQ250" s="687"/>
      <c r="BR250" s="687"/>
      <c r="BS250" s="687"/>
      <c r="BT250" s="687"/>
      <c r="BU250" s="687"/>
      <c r="BV250" s="687"/>
      <c r="BW250" s="687"/>
      <c r="BX250" s="687"/>
      <c r="BY250" s="687"/>
      <c r="BZ250" s="687"/>
      <c r="CA250" s="687"/>
      <c r="CB250" s="687"/>
      <c r="CC250" s="687"/>
      <c r="CD250" s="687"/>
      <c r="CE250" s="687"/>
      <c r="CF250" s="687"/>
      <c r="CG250" s="687"/>
      <c r="CH250" s="687"/>
    </row>
    <row r="251" spans="1:86" ht="15.75" customHeight="1" outlineLevel="1" x14ac:dyDescent="0.35">
      <c r="A251" s="690"/>
      <c r="B251" s="765"/>
      <c r="C251" s="470" t="s">
        <v>1379</v>
      </c>
      <c r="D251" s="655" t="s">
        <v>50</v>
      </c>
      <c r="E251" s="1039">
        <v>16100</v>
      </c>
      <c r="F251" s="870"/>
      <c r="G251" s="758"/>
      <c r="H251" s="470" t="s">
        <v>163</v>
      </c>
      <c r="I251" s="1298"/>
      <c r="J251" s="1040">
        <v>5820</v>
      </c>
      <c r="K251" s="1298"/>
      <c r="L251" s="687"/>
      <c r="M251" s="687"/>
      <c r="N251" s="687"/>
      <c r="O251" s="687"/>
      <c r="P251" s="687"/>
      <c r="Q251" s="687"/>
      <c r="R251" s="687"/>
      <c r="S251" s="687"/>
      <c r="T251" s="687"/>
      <c r="U251" s="687"/>
      <c r="V251" s="687"/>
      <c r="W251" s="687"/>
      <c r="X251" s="687"/>
      <c r="Y251" s="687"/>
      <c r="Z251" s="687"/>
      <c r="AA251" s="687"/>
      <c r="AB251" s="687"/>
      <c r="AC251" s="687"/>
      <c r="AD251" s="687"/>
      <c r="AE251" s="687"/>
      <c r="AF251" s="687"/>
      <c r="AG251" s="687"/>
      <c r="AH251" s="687"/>
      <c r="AI251" s="687"/>
      <c r="AJ251" s="687"/>
      <c r="AK251" s="687"/>
      <c r="AL251" s="687"/>
      <c r="AM251" s="687"/>
      <c r="AN251" s="687"/>
      <c r="AO251" s="687"/>
      <c r="AP251" s="687"/>
      <c r="AQ251" s="687"/>
      <c r="AR251" s="687"/>
      <c r="AS251" s="687"/>
      <c r="AT251" s="687"/>
      <c r="AU251" s="687"/>
      <c r="AV251" s="687"/>
      <c r="AW251" s="687"/>
      <c r="AX251" s="687"/>
      <c r="AY251" s="687"/>
      <c r="AZ251" s="687"/>
      <c r="BA251" s="687"/>
      <c r="BB251" s="687"/>
      <c r="BC251" s="687"/>
      <c r="BD251" s="687"/>
      <c r="BE251" s="687"/>
      <c r="BF251" s="687"/>
      <c r="BG251" s="687"/>
      <c r="BH251" s="687"/>
      <c r="BI251" s="687"/>
      <c r="BJ251" s="687"/>
      <c r="BK251" s="687"/>
      <c r="BL251" s="687"/>
      <c r="BM251" s="687"/>
      <c r="BN251" s="687"/>
      <c r="BO251" s="687"/>
      <c r="BP251" s="687"/>
      <c r="BQ251" s="687"/>
      <c r="BR251" s="687"/>
      <c r="BS251" s="687"/>
      <c r="BT251" s="687"/>
      <c r="BU251" s="687"/>
      <c r="BV251" s="687"/>
      <c r="BW251" s="687"/>
      <c r="BX251" s="687"/>
      <c r="BY251" s="687"/>
      <c r="BZ251" s="687"/>
      <c r="CA251" s="687"/>
      <c r="CB251" s="687"/>
      <c r="CC251" s="687"/>
      <c r="CD251" s="687"/>
      <c r="CE251" s="687"/>
      <c r="CF251" s="687"/>
      <c r="CG251" s="687"/>
      <c r="CH251" s="687"/>
    </row>
    <row r="252" spans="1:86" ht="15.75" customHeight="1" outlineLevel="1" x14ac:dyDescent="0.35">
      <c r="A252" s="690"/>
      <c r="B252" s="765"/>
      <c r="C252" s="470" t="s">
        <v>1380</v>
      </c>
      <c r="D252" s="655" t="s">
        <v>50</v>
      </c>
      <c r="E252" s="1039">
        <v>1</v>
      </c>
      <c r="F252" s="870"/>
      <c r="G252" s="758"/>
      <c r="H252" s="470" t="s">
        <v>164</v>
      </c>
      <c r="I252" s="1298"/>
      <c r="J252" s="1040">
        <v>8590</v>
      </c>
      <c r="K252" s="1298"/>
      <c r="L252" s="687"/>
      <c r="M252" s="687"/>
      <c r="N252" s="687"/>
      <c r="O252" s="687"/>
      <c r="P252" s="687"/>
      <c r="Q252" s="687"/>
      <c r="R252" s="687"/>
      <c r="S252" s="687"/>
      <c r="T252" s="687"/>
      <c r="U252" s="687"/>
      <c r="V252" s="687"/>
      <c r="W252" s="687"/>
      <c r="X252" s="687"/>
      <c r="Y252" s="687"/>
      <c r="Z252" s="687"/>
      <c r="AA252" s="687"/>
      <c r="AB252" s="687"/>
      <c r="AC252" s="687"/>
      <c r="AD252" s="687"/>
      <c r="AE252" s="687"/>
      <c r="AF252" s="687"/>
      <c r="AG252" s="687"/>
      <c r="AH252" s="687"/>
      <c r="AI252" s="687"/>
      <c r="AJ252" s="687"/>
      <c r="AK252" s="687"/>
      <c r="AL252" s="687"/>
      <c r="AM252" s="687"/>
      <c r="AN252" s="687"/>
      <c r="AO252" s="687"/>
      <c r="AP252" s="687"/>
      <c r="AQ252" s="687"/>
      <c r="AR252" s="687"/>
      <c r="AS252" s="687"/>
      <c r="AT252" s="687"/>
      <c r="AU252" s="687"/>
      <c r="AV252" s="687"/>
      <c r="AW252" s="687"/>
      <c r="AX252" s="687"/>
      <c r="AY252" s="687"/>
      <c r="AZ252" s="687"/>
      <c r="BA252" s="687"/>
      <c r="BB252" s="687"/>
      <c r="BC252" s="687"/>
      <c r="BD252" s="687"/>
      <c r="BE252" s="687"/>
      <c r="BF252" s="687"/>
      <c r="BG252" s="687"/>
      <c r="BH252" s="687"/>
      <c r="BI252" s="687"/>
      <c r="BJ252" s="687"/>
      <c r="BK252" s="687"/>
      <c r="BL252" s="687"/>
      <c r="BM252" s="687"/>
      <c r="BN252" s="687"/>
      <c r="BO252" s="687"/>
      <c r="BP252" s="687"/>
      <c r="BQ252" s="687"/>
      <c r="BR252" s="687"/>
      <c r="BS252" s="687"/>
      <c r="BT252" s="687"/>
      <c r="BU252" s="687"/>
      <c r="BV252" s="687"/>
      <c r="BW252" s="687"/>
      <c r="BX252" s="687"/>
      <c r="BY252" s="687"/>
      <c r="BZ252" s="687"/>
      <c r="CA252" s="687"/>
      <c r="CB252" s="687"/>
      <c r="CC252" s="687"/>
      <c r="CD252" s="687"/>
      <c r="CE252" s="687"/>
      <c r="CF252" s="687"/>
      <c r="CG252" s="687"/>
      <c r="CH252" s="687"/>
    </row>
    <row r="253" spans="1:86" ht="15.75" customHeight="1" outlineLevel="1" x14ac:dyDescent="0.35">
      <c r="A253" s="690"/>
      <c r="B253" s="765"/>
      <c r="C253" s="470" t="s">
        <v>51</v>
      </c>
      <c r="D253" s="771" t="s">
        <v>52</v>
      </c>
      <c r="E253" s="1039">
        <v>12400</v>
      </c>
      <c r="F253" s="870"/>
      <c r="G253" s="758"/>
      <c r="H253" s="470" t="s">
        <v>165</v>
      </c>
      <c r="I253" s="1299"/>
      <c r="J253" s="1040">
        <v>7670</v>
      </c>
      <c r="K253" s="1298"/>
      <c r="L253" s="687"/>
      <c r="M253" s="687"/>
      <c r="N253" s="687"/>
      <c r="O253" s="687"/>
      <c r="P253" s="687"/>
      <c r="Q253" s="687"/>
      <c r="R253" s="687"/>
      <c r="S253" s="687"/>
      <c r="T253" s="687"/>
      <c r="U253" s="687"/>
      <c r="V253" s="687"/>
      <c r="W253" s="687"/>
      <c r="X253" s="687"/>
      <c r="Y253" s="687"/>
      <c r="Z253" s="687"/>
      <c r="AA253" s="687"/>
      <c r="AB253" s="687"/>
      <c r="AC253" s="687"/>
      <c r="AD253" s="687"/>
      <c r="AE253" s="687"/>
      <c r="AF253" s="687"/>
      <c r="AG253" s="687"/>
      <c r="AH253" s="687"/>
      <c r="AI253" s="687"/>
      <c r="AJ253" s="687"/>
      <c r="AK253" s="687"/>
      <c r="AL253" s="687"/>
      <c r="AM253" s="687"/>
      <c r="AN253" s="687"/>
      <c r="AO253" s="687"/>
      <c r="AP253" s="687"/>
      <c r="AQ253" s="687"/>
      <c r="AR253" s="687"/>
      <c r="AS253" s="687"/>
      <c r="AT253" s="687"/>
      <c r="AU253" s="687"/>
      <c r="AV253" s="687"/>
      <c r="AW253" s="687"/>
      <c r="AX253" s="687"/>
      <c r="AY253" s="687"/>
      <c r="AZ253" s="687"/>
      <c r="BA253" s="687"/>
      <c r="BB253" s="687"/>
      <c r="BC253" s="687"/>
      <c r="BD253" s="687"/>
      <c r="BE253" s="687"/>
      <c r="BF253" s="687"/>
      <c r="BG253" s="687"/>
      <c r="BH253" s="687"/>
      <c r="BI253" s="687"/>
      <c r="BJ253" s="687"/>
      <c r="BK253" s="687"/>
      <c r="BL253" s="687"/>
      <c r="BM253" s="687"/>
      <c r="BN253" s="687"/>
      <c r="BO253" s="687"/>
      <c r="BP253" s="687"/>
      <c r="BQ253" s="687"/>
      <c r="BR253" s="687"/>
      <c r="BS253" s="687"/>
      <c r="BT253" s="687"/>
      <c r="BU253" s="687"/>
      <c r="BV253" s="687"/>
      <c r="BW253" s="687"/>
      <c r="BX253" s="687"/>
      <c r="BY253" s="687"/>
      <c r="BZ253" s="687"/>
      <c r="CA253" s="687"/>
      <c r="CB253" s="687"/>
      <c r="CC253" s="687"/>
      <c r="CD253" s="687"/>
      <c r="CE253" s="687"/>
      <c r="CF253" s="687"/>
      <c r="CG253" s="687"/>
      <c r="CH253" s="687"/>
    </row>
    <row r="254" spans="1:86" ht="15.75" customHeight="1" outlineLevel="1" x14ac:dyDescent="0.35">
      <c r="A254" s="690"/>
      <c r="B254" s="765"/>
      <c r="C254" s="470" t="s">
        <v>53</v>
      </c>
      <c r="D254" s="766"/>
      <c r="E254" s="1039">
        <v>677</v>
      </c>
      <c r="F254" s="870"/>
      <c r="G254" s="758"/>
      <c r="H254" s="470" t="s">
        <v>166</v>
      </c>
      <c r="I254" s="663"/>
      <c r="J254" s="1040">
        <v>6290</v>
      </c>
      <c r="K254" s="1298"/>
      <c r="L254" s="687"/>
      <c r="M254" s="687"/>
      <c r="N254" s="687"/>
      <c r="O254" s="687"/>
      <c r="P254" s="687"/>
      <c r="Q254" s="687"/>
      <c r="R254" s="687"/>
      <c r="S254" s="687"/>
      <c r="T254" s="687"/>
      <c r="U254" s="687"/>
      <c r="V254" s="687"/>
      <c r="W254" s="687"/>
      <c r="X254" s="687"/>
      <c r="Y254" s="687"/>
      <c r="Z254" s="687"/>
      <c r="AA254" s="687"/>
      <c r="AB254" s="687"/>
      <c r="AC254" s="687"/>
      <c r="AD254" s="687"/>
      <c r="AE254" s="687"/>
      <c r="AF254" s="687"/>
      <c r="AG254" s="687"/>
      <c r="AH254" s="687"/>
      <c r="AI254" s="687"/>
      <c r="AJ254" s="687"/>
      <c r="AK254" s="687"/>
      <c r="AL254" s="687"/>
      <c r="AM254" s="687"/>
      <c r="AN254" s="687"/>
      <c r="AO254" s="687"/>
      <c r="AP254" s="687"/>
      <c r="AQ254" s="687"/>
      <c r="AR254" s="687"/>
      <c r="AS254" s="687"/>
      <c r="AT254" s="687"/>
      <c r="AU254" s="687"/>
      <c r="AV254" s="687"/>
      <c r="AW254" s="687"/>
      <c r="AX254" s="687"/>
      <c r="AY254" s="687"/>
      <c r="AZ254" s="687"/>
      <c r="BA254" s="687"/>
      <c r="BB254" s="687"/>
      <c r="BC254" s="687"/>
      <c r="BD254" s="687"/>
      <c r="BE254" s="687"/>
      <c r="BF254" s="687"/>
      <c r="BG254" s="687"/>
      <c r="BH254" s="687"/>
      <c r="BI254" s="687"/>
      <c r="BJ254" s="687"/>
      <c r="BK254" s="687"/>
      <c r="BL254" s="687"/>
      <c r="BM254" s="687"/>
      <c r="BN254" s="687"/>
      <c r="BO254" s="687"/>
      <c r="BP254" s="687"/>
      <c r="BQ254" s="687"/>
      <c r="BR254" s="687"/>
      <c r="BS254" s="687"/>
      <c r="BT254" s="687"/>
      <c r="BU254" s="687"/>
      <c r="BV254" s="687"/>
      <c r="BW254" s="687"/>
      <c r="BX254" s="687"/>
      <c r="BY254" s="687"/>
      <c r="BZ254" s="687"/>
      <c r="CA254" s="687"/>
      <c r="CB254" s="687"/>
      <c r="CC254" s="687"/>
      <c r="CD254" s="687"/>
      <c r="CE254" s="687"/>
      <c r="CF254" s="687"/>
      <c r="CG254" s="687"/>
      <c r="CH254" s="687"/>
    </row>
    <row r="255" spans="1:86" ht="15.75" customHeight="1" outlineLevel="1" x14ac:dyDescent="0.35">
      <c r="A255" s="690"/>
      <c r="B255" s="765"/>
      <c r="C255" s="470" t="s">
        <v>54</v>
      </c>
      <c r="D255" s="766"/>
      <c r="E255" s="1039">
        <v>116</v>
      </c>
      <c r="F255" s="870"/>
      <c r="G255" s="758"/>
      <c r="H255" s="470" t="s">
        <v>167</v>
      </c>
      <c r="I255" s="663"/>
      <c r="J255" s="1040">
        <v>1750</v>
      </c>
      <c r="K255" s="1298"/>
      <c r="L255" s="687"/>
      <c r="M255" s="687"/>
      <c r="N255" s="687"/>
      <c r="O255" s="687"/>
      <c r="P255" s="687"/>
      <c r="Q255" s="687"/>
      <c r="R255" s="687"/>
      <c r="S255" s="687"/>
      <c r="T255" s="687"/>
      <c r="U255" s="687"/>
      <c r="V255" s="687"/>
      <c r="W255" s="687"/>
      <c r="X255" s="687"/>
      <c r="Y255" s="687"/>
      <c r="Z255" s="687"/>
      <c r="AA255" s="687"/>
      <c r="AB255" s="687"/>
      <c r="AC255" s="687"/>
      <c r="AD255" s="687"/>
      <c r="AE255" s="687"/>
      <c r="AF255" s="687"/>
      <c r="AG255" s="687"/>
      <c r="AH255" s="687"/>
      <c r="AI255" s="687"/>
      <c r="AJ255" s="687"/>
      <c r="AK255" s="687"/>
      <c r="AL255" s="687"/>
      <c r="AM255" s="687"/>
      <c r="AN255" s="687"/>
      <c r="AO255" s="687"/>
      <c r="AP255" s="687"/>
      <c r="AQ255" s="687"/>
      <c r="AR255" s="687"/>
      <c r="AS255" s="687"/>
      <c r="AT255" s="687"/>
      <c r="AU255" s="687"/>
      <c r="AV255" s="687"/>
      <c r="AW255" s="687"/>
      <c r="AX255" s="687"/>
      <c r="AY255" s="687"/>
      <c r="AZ255" s="687"/>
      <c r="BA255" s="687"/>
      <c r="BB255" s="687"/>
      <c r="BC255" s="687"/>
      <c r="BD255" s="687"/>
      <c r="BE255" s="687"/>
      <c r="BF255" s="687"/>
      <c r="BG255" s="687"/>
      <c r="BH255" s="687"/>
      <c r="BI255" s="687"/>
      <c r="BJ255" s="687"/>
      <c r="BK255" s="687"/>
      <c r="BL255" s="687"/>
      <c r="BM255" s="687"/>
      <c r="BN255" s="687"/>
      <c r="BO255" s="687"/>
      <c r="BP255" s="687"/>
      <c r="BQ255" s="687"/>
      <c r="BR255" s="687"/>
      <c r="BS255" s="687"/>
      <c r="BT255" s="687"/>
      <c r="BU255" s="687"/>
      <c r="BV255" s="687"/>
      <c r="BW255" s="687"/>
      <c r="BX255" s="687"/>
      <c r="BY255" s="687"/>
      <c r="BZ255" s="687"/>
      <c r="CA255" s="687"/>
      <c r="CB255" s="687"/>
      <c r="CC255" s="687"/>
      <c r="CD255" s="687"/>
      <c r="CE255" s="687"/>
      <c r="CF255" s="687"/>
      <c r="CG255" s="687"/>
      <c r="CH255" s="687"/>
    </row>
    <row r="256" spans="1:86" ht="15.75" customHeight="1" outlineLevel="1" x14ac:dyDescent="0.35">
      <c r="A256" s="690"/>
      <c r="B256" s="765"/>
      <c r="C256" s="470" t="s">
        <v>55</v>
      </c>
      <c r="D256" s="766"/>
      <c r="E256" s="1039">
        <v>317</v>
      </c>
      <c r="F256" s="870"/>
      <c r="G256" s="758"/>
      <c r="H256" s="470" t="s">
        <v>168</v>
      </c>
      <c r="I256" s="663"/>
      <c r="J256" s="1040">
        <v>1470</v>
      </c>
      <c r="K256" s="1298"/>
      <c r="L256" s="687"/>
      <c r="M256" s="687"/>
      <c r="N256" s="687"/>
      <c r="O256" s="687"/>
      <c r="P256" s="687"/>
      <c r="Q256" s="687"/>
      <c r="R256" s="687"/>
      <c r="S256" s="687"/>
      <c r="T256" s="687"/>
      <c r="U256" s="687"/>
      <c r="V256" s="687"/>
      <c r="W256" s="687"/>
      <c r="X256" s="687"/>
      <c r="Y256" s="687"/>
      <c r="Z256" s="687"/>
      <c r="AA256" s="687"/>
      <c r="AB256" s="687"/>
      <c r="AC256" s="687"/>
      <c r="AD256" s="687"/>
      <c r="AE256" s="687"/>
      <c r="AF256" s="687"/>
      <c r="AG256" s="687"/>
      <c r="AH256" s="687"/>
      <c r="AI256" s="687"/>
      <c r="AJ256" s="687"/>
      <c r="AK256" s="687"/>
      <c r="AL256" s="687"/>
      <c r="AM256" s="687"/>
      <c r="AN256" s="687"/>
      <c r="AO256" s="687"/>
      <c r="AP256" s="687"/>
      <c r="AQ256" s="687"/>
      <c r="AR256" s="687"/>
      <c r="AS256" s="687"/>
      <c r="AT256" s="687"/>
      <c r="AU256" s="687"/>
      <c r="AV256" s="687"/>
      <c r="AW256" s="687"/>
      <c r="AX256" s="687"/>
      <c r="AY256" s="687"/>
      <c r="AZ256" s="687"/>
      <c r="BA256" s="687"/>
      <c r="BB256" s="687"/>
      <c r="BC256" s="687"/>
      <c r="BD256" s="687"/>
      <c r="BE256" s="687"/>
      <c r="BF256" s="687"/>
      <c r="BG256" s="687"/>
      <c r="BH256" s="687"/>
      <c r="BI256" s="687"/>
      <c r="BJ256" s="687"/>
      <c r="BK256" s="687"/>
      <c r="BL256" s="687"/>
      <c r="BM256" s="687"/>
      <c r="BN256" s="687"/>
      <c r="BO256" s="687"/>
      <c r="BP256" s="687"/>
      <c r="BQ256" s="687"/>
      <c r="BR256" s="687"/>
      <c r="BS256" s="687"/>
      <c r="BT256" s="687"/>
      <c r="BU256" s="687"/>
      <c r="BV256" s="687"/>
      <c r="BW256" s="687"/>
      <c r="BX256" s="687"/>
      <c r="BY256" s="687"/>
      <c r="BZ256" s="687"/>
      <c r="CA256" s="687"/>
      <c r="CB256" s="687"/>
      <c r="CC256" s="687"/>
      <c r="CD256" s="687"/>
      <c r="CE256" s="687"/>
      <c r="CF256" s="687"/>
      <c r="CG256" s="687"/>
      <c r="CH256" s="687"/>
    </row>
    <row r="257" spans="1:86" ht="15.75" customHeight="1" outlineLevel="1" x14ac:dyDescent="0.35">
      <c r="A257" s="690"/>
      <c r="B257" s="765"/>
      <c r="C257" s="470" t="s">
        <v>56</v>
      </c>
      <c r="D257" s="766"/>
      <c r="E257" s="1039">
        <v>1120</v>
      </c>
      <c r="F257" s="870"/>
      <c r="G257" s="758"/>
      <c r="H257" s="470" t="s">
        <v>1381</v>
      </c>
      <c r="I257" s="663"/>
      <c r="J257" s="1040">
        <v>1730</v>
      </c>
      <c r="K257" s="1298"/>
      <c r="L257" s="687"/>
      <c r="M257" s="687"/>
      <c r="N257" s="687"/>
      <c r="O257" s="687"/>
      <c r="P257" s="687"/>
      <c r="Q257" s="687"/>
      <c r="R257" s="687"/>
      <c r="S257" s="687"/>
      <c r="T257" s="687"/>
      <c r="U257" s="687"/>
      <c r="V257" s="687"/>
      <c r="W257" s="687"/>
      <c r="X257" s="687"/>
      <c r="Y257" s="687"/>
      <c r="Z257" s="687"/>
      <c r="AA257" s="687"/>
      <c r="AB257" s="687"/>
      <c r="AC257" s="687"/>
      <c r="AD257" s="687"/>
      <c r="AE257" s="687"/>
      <c r="AF257" s="687"/>
      <c r="AG257" s="687"/>
      <c r="AH257" s="687"/>
      <c r="AI257" s="687"/>
      <c r="AJ257" s="687"/>
      <c r="AK257" s="687"/>
      <c r="AL257" s="687"/>
      <c r="AM257" s="687"/>
      <c r="AN257" s="687"/>
      <c r="AO257" s="687"/>
      <c r="AP257" s="687"/>
      <c r="AQ257" s="687"/>
      <c r="AR257" s="687"/>
      <c r="AS257" s="687"/>
      <c r="AT257" s="687"/>
      <c r="AU257" s="687"/>
      <c r="AV257" s="687"/>
      <c r="AW257" s="687"/>
      <c r="AX257" s="687"/>
      <c r="AY257" s="687"/>
      <c r="AZ257" s="687"/>
      <c r="BA257" s="687"/>
      <c r="BB257" s="687"/>
      <c r="BC257" s="687"/>
      <c r="BD257" s="687"/>
      <c r="BE257" s="687"/>
      <c r="BF257" s="687"/>
      <c r="BG257" s="687"/>
      <c r="BH257" s="687"/>
      <c r="BI257" s="687"/>
      <c r="BJ257" s="687"/>
      <c r="BK257" s="687"/>
      <c r="BL257" s="687"/>
      <c r="BM257" s="687"/>
      <c r="BN257" s="687"/>
      <c r="BO257" s="687"/>
      <c r="BP257" s="687"/>
      <c r="BQ257" s="687"/>
      <c r="BR257" s="687"/>
      <c r="BS257" s="687"/>
      <c r="BT257" s="687"/>
      <c r="BU257" s="687"/>
      <c r="BV257" s="687"/>
      <c r="BW257" s="687"/>
      <c r="BX257" s="687"/>
      <c r="BY257" s="687"/>
      <c r="BZ257" s="687"/>
      <c r="CA257" s="687"/>
      <c r="CB257" s="687"/>
      <c r="CC257" s="687"/>
      <c r="CD257" s="687"/>
      <c r="CE257" s="687"/>
      <c r="CF257" s="687"/>
      <c r="CG257" s="687"/>
      <c r="CH257" s="687"/>
    </row>
    <row r="258" spans="1:86" ht="15.75" customHeight="1" outlineLevel="1" x14ac:dyDescent="0.35">
      <c r="A258" s="690"/>
      <c r="B258" s="765"/>
      <c r="C258" s="470" t="s">
        <v>57</v>
      </c>
      <c r="D258" s="766"/>
      <c r="E258" s="1039">
        <v>1300</v>
      </c>
      <c r="F258" s="870"/>
      <c r="G258" s="758"/>
      <c r="H258" s="470" t="s">
        <v>1382</v>
      </c>
      <c r="I258" s="663"/>
      <c r="J258" s="1040">
        <v>2</v>
      </c>
      <c r="K258" s="1298"/>
      <c r="L258" s="687"/>
      <c r="M258" s="687"/>
      <c r="N258" s="687"/>
      <c r="O258" s="687"/>
      <c r="P258" s="687"/>
      <c r="Q258" s="687"/>
      <c r="R258" s="687"/>
      <c r="S258" s="687"/>
      <c r="T258" s="687"/>
      <c r="U258" s="687"/>
      <c r="V258" s="687"/>
      <c r="W258" s="687"/>
      <c r="X258" s="687"/>
      <c r="Y258" s="687"/>
      <c r="Z258" s="687"/>
      <c r="AA258" s="687"/>
      <c r="AB258" s="687"/>
      <c r="AC258" s="687"/>
      <c r="AD258" s="687"/>
      <c r="AE258" s="687"/>
      <c r="AF258" s="687"/>
      <c r="AG258" s="687"/>
      <c r="AH258" s="687"/>
      <c r="AI258" s="687"/>
      <c r="AJ258" s="687"/>
      <c r="AK258" s="687"/>
      <c r="AL258" s="687"/>
      <c r="AM258" s="687"/>
      <c r="AN258" s="687"/>
      <c r="AO258" s="687"/>
      <c r="AP258" s="687"/>
      <c r="AQ258" s="687"/>
      <c r="AR258" s="687"/>
      <c r="AS258" s="687"/>
      <c r="AT258" s="687"/>
      <c r="AU258" s="687"/>
      <c r="AV258" s="687"/>
      <c r="AW258" s="687"/>
      <c r="AX258" s="687"/>
      <c r="AY258" s="687"/>
      <c r="AZ258" s="687"/>
      <c r="BA258" s="687"/>
      <c r="BB258" s="687"/>
      <c r="BC258" s="687"/>
      <c r="BD258" s="687"/>
      <c r="BE258" s="687"/>
      <c r="BF258" s="687"/>
      <c r="BG258" s="687"/>
      <c r="BH258" s="687"/>
      <c r="BI258" s="687"/>
      <c r="BJ258" s="687"/>
      <c r="BK258" s="687"/>
      <c r="BL258" s="687"/>
      <c r="BM258" s="687"/>
      <c r="BN258" s="687"/>
      <c r="BO258" s="687"/>
      <c r="BP258" s="687"/>
      <c r="BQ258" s="687"/>
      <c r="BR258" s="687"/>
      <c r="BS258" s="687"/>
      <c r="BT258" s="687"/>
      <c r="BU258" s="687"/>
      <c r="BV258" s="687"/>
      <c r="BW258" s="687"/>
      <c r="BX258" s="687"/>
      <c r="BY258" s="687"/>
      <c r="BZ258" s="687"/>
      <c r="CA258" s="687"/>
      <c r="CB258" s="687"/>
      <c r="CC258" s="687"/>
      <c r="CD258" s="687"/>
      <c r="CE258" s="687"/>
      <c r="CF258" s="687"/>
      <c r="CG258" s="687"/>
      <c r="CH258" s="687"/>
    </row>
    <row r="259" spans="1:86" ht="15.75" customHeight="1" outlineLevel="1" x14ac:dyDescent="0.35">
      <c r="A259" s="690"/>
      <c r="B259" s="765"/>
      <c r="C259" s="470" t="s">
        <v>58</v>
      </c>
      <c r="D259" s="766"/>
      <c r="E259" s="1039">
        <v>328</v>
      </c>
      <c r="F259" s="870"/>
      <c r="G259" s="758"/>
      <c r="H259" s="470" t="s">
        <v>1383</v>
      </c>
      <c r="I259" s="663"/>
      <c r="J259" s="1040">
        <v>160</v>
      </c>
      <c r="K259" s="1298"/>
      <c r="L259" s="687"/>
      <c r="M259" s="687"/>
      <c r="N259" s="687"/>
      <c r="O259" s="687"/>
      <c r="P259" s="687"/>
      <c r="Q259" s="687"/>
      <c r="R259" s="687"/>
      <c r="S259" s="687"/>
      <c r="T259" s="687"/>
      <c r="U259" s="687"/>
      <c r="V259" s="687"/>
      <c r="W259" s="687"/>
      <c r="X259" s="687"/>
      <c r="Y259" s="687"/>
      <c r="Z259" s="687"/>
      <c r="AA259" s="687"/>
      <c r="AB259" s="687"/>
      <c r="AC259" s="687"/>
      <c r="AD259" s="687"/>
      <c r="AE259" s="687"/>
      <c r="AF259" s="687"/>
      <c r="AG259" s="687"/>
      <c r="AH259" s="687"/>
      <c r="AI259" s="687"/>
      <c r="AJ259" s="687"/>
      <c r="AK259" s="687"/>
      <c r="AL259" s="687"/>
      <c r="AM259" s="687"/>
      <c r="AN259" s="687"/>
      <c r="AO259" s="687"/>
      <c r="AP259" s="687"/>
      <c r="AQ259" s="687"/>
      <c r="AR259" s="687"/>
      <c r="AS259" s="687"/>
      <c r="AT259" s="687"/>
      <c r="AU259" s="687"/>
      <c r="AV259" s="687"/>
      <c r="AW259" s="687"/>
      <c r="AX259" s="687"/>
      <c r="AY259" s="687"/>
      <c r="AZ259" s="687"/>
      <c r="BA259" s="687"/>
      <c r="BB259" s="687"/>
      <c r="BC259" s="687"/>
      <c r="BD259" s="687"/>
      <c r="BE259" s="687"/>
      <c r="BF259" s="687"/>
      <c r="BG259" s="687"/>
      <c r="BH259" s="687"/>
      <c r="BI259" s="687"/>
      <c r="BJ259" s="687"/>
      <c r="BK259" s="687"/>
      <c r="BL259" s="687"/>
      <c r="BM259" s="687"/>
      <c r="BN259" s="687"/>
      <c r="BO259" s="687"/>
      <c r="BP259" s="687"/>
      <c r="BQ259" s="687"/>
      <c r="BR259" s="687"/>
      <c r="BS259" s="687"/>
      <c r="BT259" s="687"/>
      <c r="BU259" s="687"/>
      <c r="BV259" s="687"/>
      <c r="BW259" s="687"/>
      <c r="BX259" s="687"/>
      <c r="BY259" s="687"/>
      <c r="BZ259" s="687"/>
      <c r="CA259" s="687"/>
      <c r="CB259" s="687"/>
      <c r="CC259" s="687"/>
      <c r="CD259" s="687"/>
      <c r="CE259" s="687"/>
      <c r="CF259" s="687"/>
      <c r="CG259" s="687"/>
      <c r="CH259" s="687"/>
    </row>
    <row r="260" spans="1:86" ht="15.75" customHeight="1" outlineLevel="1" x14ac:dyDescent="0.35">
      <c r="A260" s="690"/>
      <c r="B260" s="765"/>
      <c r="C260" s="470" t="s">
        <v>59</v>
      </c>
      <c r="D260" s="766"/>
      <c r="E260" s="1039">
        <v>4800</v>
      </c>
      <c r="F260" s="870"/>
      <c r="G260" s="758"/>
      <c r="H260" s="470" t="s">
        <v>169</v>
      </c>
      <c r="I260" s="1300" t="s">
        <v>170</v>
      </c>
      <c r="J260" s="1040">
        <v>148</v>
      </c>
      <c r="K260" s="1298"/>
      <c r="L260" s="687"/>
      <c r="M260" s="687"/>
      <c r="N260" s="687"/>
      <c r="O260" s="687"/>
      <c r="P260" s="687"/>
      <c r="Q260" s="687"/>
      <c r="R260" s="687"/>
      <c r="S260" s="687"/>
      <c r="T260" s="687"/>
      <c r="U260" s="687"/>
      <c r="V260" s="687"/>
      <c r="W260" s="687"/>
      <c r="X260" s="687"/>
      <c r="Y260" s="687"/>
      <c r="Z260" s="687"/>
      <c r="AA260" s="687"/>
      <c r="AB260" s="687"/>
      <c r="AC260" s="687"/>
      <c r="AD260" s="687"/>
      <c r="AE260" s="687"/>
      <c r="AF260" s="687"/>
      <c r="AG260" s="687"/>
      <c r="AH260" s="687"/>
      <c r="AI260" s="687"/>
      <c r="AJ260" s="687"/>
      <c r="AK260" s="687"/>
      <c r="AL260" s="687"/>
      <c r="AM260" s="687"/>
      <c r="AN260" s="687"/>
      <c r="AO260" s="687"/>
      <c r="AP260" s="687"/>
      <c r="AQ260" s="687"/>
      <c r="AR260" s="687"/>
      <c r="AS260" s="687"/>
      <c r="AT260" s="687"/>
      <c r="AU260" s="687"/>
      <c r="AV260" s="687"/>
      <c r="AW260" s="687"/>
      <c r="AX260" s="687"/>
      <c r="AY260" s="687"/>
      <c r="AZ260" s="687"/>
      <c r="BA260" s="687"/>
      <c r="BB260" s="687"/>
      <c r="BC260" s="687"/>
      <c r="BD260" s="687"/>
      <c r="BE260" s="687"/>
      <c r="BF260" s="687"/>
      <c r="BG260" s="687"/>
      <c r="BH260" s="687"/>
      <c r="BI260" s="687"/>
      <c r="BJ260" s="687"/>
      <c r="BK260" s="687"/>
      <c r="BL260" s="687"/>
      <c r="BM260" s="687"/>
      <c r="BN260" s="687"/>
      <c r="BO260" s="687"/>
      <c r="BP260" s="687"/>
      <c r="BQ260" s="687"/>
      <c r="BR260" s="687"/>
      <c r="BS260" s="687"/>
      <c r="BT260" s="687"/>
      <c r="BU260" s="687"/>
      <c r="BV260" s="687"/>
      <c r="BW260" s="687"/>
      <c r="BX260" s="687"/>
      <c r="BY260" s="687"/>
      <c r="BZ260" s="687"/>
      <c r="CA260" s="687"/>
      <c r="CB260" s="687"/>
      <c r="CC260" s="687"/>
      <c r="CD260" s="687"/>
      <c r="CE260" s="687"/>
      <c r="CF260" s="687"/>
      <c r="CG260" s="687"/>
      <c r="CH260" s="687"/>
    </row>
    <row r="261" spans="1:86" ht="15.75" customHeight="1" outlineLevel="1" x14ac:dyDescent="0.35">
      <c r="A261" s="690"/>
      <c r="B261" s="765"/>
      <c r="C261" s="470" t="s">
        <v>60</v>
      </c>
      <c r="D261" s="766"/>
      <c r="E261" s="1039">
        <v>16</v>
      </c>
      <c r="F261" s="870"/>
      <c r="G261" s="758"/>
      <c r="H261" s="470" t="s">
        <v>171</v>
      </c>
      <c r="I261" s="1298"/>
      <c r="J261" s="1040">
        <v>1760</v>
      </c>
      <c r="K261" s="1298"/>
      <c r="L261" s="687"/>
      <c r="M261" s="687"/>
      <c r="N261" s="687"/>
      <c r="O261" s="687"/>
      <c r="P261" s="687"/>
      <c r="Q261" s="687"/>
      <c r="R261" s="687"/>
      <c r="S261" s="687"/>
      <c r="T261" s="687"/>
      <c r="U261" s="687"/>
      <c r="V261" s="687"/>
      <c r="W261" s="687"/>
      <c r="X261" s="687"/>
      <c r="Y261" s="687"/>
      <c r="Z261" s="687"/>
      <c r="AA261" s="687"/>
      <c r="AB261" s="687"/>
      <c r="AC261" s="687"/>
      <c r="AD261" s="687"/>
      <c r="AE261" s="687"/>
      <c r="AF261" s="687"/>
      <c r="AG261" s="687"/>
      <c r="AH261" s="687"/>
      <c r="AI261" s="687"/>
      <c r="AJ261" s="687"/>
      <c r="AK261" s="687"/>
      <c r="AL261" s="687"/>
      <c r="AM261" s="687"/>
      <c r="AN261" s="687"/>
      <c r="AO261" s="687"/>
      <c r="AP261" s="687"/>
      <c r="AQ261" s="687"/>
      <c r="AR261" s="687"/>
      <c r="AS261" s="687"/>
      <c r="AT261" s="687"/>
      <c r="AU261" s="687"/>
      <c r="AV261" s="687"/>
      <c r="AW261" s="687"/>
      <c r="AX261" s="687"/>
      <c r="AY261" s="687"/>
      <c r="AZ261" s="687"/>
      <c r="BA261" s="687"/>
      <c r="BB261" s="687"/>
      <c r="BC261" s="687"/>
      <c r="BD261" s="687"/>
      <c r="BE261" s="687"/>
      <c r="BF261" s="687"/>
      <c r="BG261" s="687"/>
      <c r="BH261" s="687"/>
      <c r="BI261" s="687"/>
      <c r="BJ261" s="687"/>
      <c r="BK261" s="687"/>
      <c r="BL261" s="687"/>
      <c r="BM261" s="687"/>
      <c r="BN261" s="687"/>
      <c r="BO261" s="687"/>
      <c r="BP261" s="687"/>
      <c r="BQ261" s="687"/>
      <c r="BR261" s="687"/>
      <c r="BS261" s="687"/>
      <c r="BT261" s="687"/>
      <c r="BU261" s="687"/>
      <c r="BV261" s="687"/>
      <c r="BW261" s="687"/>
      <c r="BX261" s="687"/>
      <c r="BY261" s="687"/>
      <c r="BZ261" s="687"/>
      <c r="CA261" s="687"/>
      <c r="CB261" s="687"/>
      <c r="CC261" s="687"/>
      <c r="CD261" s="687"/>
      <c r="CE261" s="687"/>
      <c r="CF261" s="687"/>
      <c r="CG261" s="687"/>
      <c r="CH261" s="687"/>
    </row>
    <row r="262" spans="1:86" ht="15.75" customHeight="1" outlineLevel="1" x14ac:dyDescent="0.35">
      <c r="A262" s="690"/>
      <c r="B262" s="765"/>
      <c r="C262" s="470" t="s">
        <v>61</v>
      </c>
      <c r="D262" s="766"/>
      <c r="E262" s="1039">
        <v>138</v>
      </c>
      <c r="F262" s="870"/>
      <c r="G262" s="758"/>
      <c r="H262" s="470" t="s">
        <v>172</v>
      </c>
      <c r="I262" s="1298"/>
      <c r="J262" s="1040">
        <v>79</v>
      </c>
      <c r="K262" s="1298"/>
      <c r="L262" s="687"/>
      <c r="M262" s="687"/>
      <c r="N262" s="687"/>
      <c r="O262" s="687"/>
      <c r="P262" s="687"/>
      <c r="Q262" s="687"/>
      <c r="R262" s="687"/>
      <c r="S262" s="687"/>
      <c r="T262" s="687"/>
      <c r="U262" s="687"/>
      <c r="V262" s="687"/>
      <c r="W262" s="687"/>
      <c r="X262" s="687"/>
      <c r="Y262" s="687"/>
      <c r="Z262" s="687"/>
      <c r="AA262" s="687"/>
      <c r="AB262" s="687"/>
      <c r="AC262" s="687"/>
      <c r="AD262" s="687"/>
      <c r="AE262" s="687"/>
      <c r="AF262" s="687"/>
      <c r="AG262" s="687"/>
      <c r="AH262" s="687"/>
      <c r="AI262" s="687"/>
      <c r="AJ262" s="687"/>
      <c r="AK262" s="687"/>
      <c r="AL262" s="687"/>
      <c r="AM262" s="687"/>
      <c r="AN262" s="687"/>
      <c r="AO262" s="687"/>
      <c r="AP262" s="687"/>
      <c r="AQ262" s="687"/>
      <c r="AR262" s="687"/>
      <c r="AS262" s="687"/>
      <c r="AT262" s="687"/>
      <c r="AU262" s="687"/>
      <c r="AV262" s="687"/>
      <c r="AW262" s="687"/>
      <c r="AX262" s="687"/>
      <c r="AY262" s="687"/>
      <c r="AZ262" s="687"/>
      <c r="BA262" s="687"/>
      <c r="BB262" s="687"/>
      <c r="BC262" s="687"/>
      <c r="BD262" s="687"/>
      <c r="BE262" s="687"/>
      <c r="BF262" s="687"/>
      <c r="BG262" s="687"/>
      <c r="BH262" s="687"/>
      <c r="BI262" s="687"/>
      <c r="BJ262" s="687"/>
      <c r="BK262" s="687"/>
      <c r="BL262" s="687"/>
      <c r="BM262" s="687"/>
      <c r="BN262" s="687"/>
      <c r="BO262" s="687"/>
      <c r="BP262" s="687"/>
      <c r="BQ262" s="687"/>
      <c r="BR262" s="687"/>
      <c r="BS262" s="687"/>
      <c r="BT262" s="687"/>
      <c r="BU262" s="687"/>
      <c r="BV262" s="687"/>
      <c r="BW262" s="687"/>
      <c r="BX262" s="687"/>
      <c r="BY262" s="687"/>
      <c r="BZ262" s="687"/>
      <c r="CA262" s="687"/>
      <c r="CB262" s="687"/>
      <c r="CC262" s="687"/>
      <c r="CD262" s="687"/>
      <c r="CE262" s="687"/>
      <c r="CF262" s="687"/>
      <c r="CG262" s="687"/>
      <c r="CH262" s="687"/>
    </row>
    <row r="263" spans="1:86" ht="15.75" customHeight="1" outlineLevel="1" x14ac:dyDescent="0.35">
      <c r="A263" s="690"/>
      <c r="B263" s="765"/>
      <c r="C263" s="470" t="s">
        <v>62</v>
      </c>
      <c r="D263" s="766"/>
      <c r="E263" s="1039">
        <v>4</v>
      </c>
      <c r="F263" s="870"/>
      <c r="G263" s="758"/>
      <c r="H263" s="470" t="s">
        <v>173</v>
      </c>
      <c r="I263" s="1298"/>
      <c r="J263" s="1040">
        <v>527</v>
      </c>
      <c r="K263" s="1298"/>
      <c r="L263" s="687"/>
      <c r="M263" s="687"/>
      <c r="N263" s="687"/>
      <c r="O263" s="687"/>
      <c r="P263" s="687"/>
      <c r="Q263" s="687"/>
      <c r="R263" s="687"/>
      <c r="S263" s="687"/>
      <c r="T263" s="687"/>
      <c r="U263" s="687"/>
      <c r="V263" s="687"/>
      <c r="W263" s="687"/>
      <c r="X263" s="687"/>
      <c r="Y263" s="687"/>
      <c r="Z263" s="687"/>
      <c r="AA263" s="687"/>
      <c r="AB263" s="687"/>
      <c r="AC263" s="687"/>
      <c r="AD263" s="687"/>
      <c r="AE263" s="687"/>
      <c r="AF263" s="687"/>
      <c r="AG263" s="687"/>
      <c r="AH263" s="687"/>
      <c r="AI263" s="687"/>
      <c r="AJ263" s="687"/>
      <c r="AK263" s="687"/>
      <c r="AL263" s="687"/>
      <c r="AM263" s="687"/>
      <c r="AN263" s="687"/>
      <c r="AO263" s="687"/>
      <c r="AP263" s="687"/>
      <c r="AQ263" s="687"/>
      <c r="AR263" s="687"/>
      <c r="AS263" s="687"/>
      <c r="AT263" s="687"/>
      <c r="AU263" s="687"/>
      <c r="AV263" s="687"/>
      <c r="AW263" s="687"/>
      <c r="AX263" s="687"/>
      <c r="AY263" s="687"/>
      <c r="AZ263" s="687"/>
      <c r="BA263" s="687"/>
      <c r="BB263" s="687"/>
      <c r="BC263" s="687"/>
      <c r="BD263" s="687"/>
      <c r="BE263" s="687"/>
      <c r="BF263" s="687"/>
      <c r="BG263" s="687"/>
      <c r="BH263" s="687"/>
      <c r="BI263" s="687"/>
      <c r="BJ263" s="687"/>
      <c r="BK263" s="687"/>
      <c r="BL263" s="687"/>
      <c r="BM263" s="687"/>
      <c r="BN263" s="687"/>
      <c r="BO263" s="687"/>
      <c r="BP263" s="687"/>
      <c r="BQ263" s="687"/>
      <c r="BR263" s="687"/>
      <c r="BS263" s="687"/>
      <c r="BT263" s="687"/>
      <c r="BU263" s="687"/>
      <c r="BV263" s="687"/>
      <c r="BW263" s="687"/>
      <c r="BX263" s="687"/>
      <c r="BY263" s="687"/>
      <c r="BZ263" s="687"/>
      <c r="CA263" s="687"/>
      <c r="CB263" s="687"/>
      <c r="CC263" s="687"/>
      <c r="CD263" s="687"/>
      <c r="CE263" s="687"/>
      <c r="CF263" s="687"/>
      <c r="CG263" s="687"/>
      <c r="CH263" s="687"/>
    </row>
    <row r="264" spans="1:86" ht="15.75" customHeight="1" outlineLevel="1" x14ac:dyDescent="0.35">
      <c r="A264" s="690"/>
      <c r="B264" s="765"/>
      <c r="C264" s="470" t="s">
        <v>63</v>
      </c>
      <c r="D264" s="766"/>
      <c r="E264" s="1039">
        <v>3350</v>
      </c>
      <c r="F264" s="870"/>
      <c r="G264" s="758"/>
      <c r="H264" s="470" t="s">
        <v>174</v>
      </c>
      <c r="I264" s="1298"/>
      <c r="J264" s="1040">
        <v>782</v>
      </c>
      <c r="K264" s="1298"/>
      <c r="L264" s="687"/>
      <c r="M264" s="687"/>
      <c r="N264" s="687"/>
      <c r="O264" s="687"/>
      <c r="P264" s="687"/>
      <c r="Q264" s="687"/>
      <c r="R264" s="687"/>
      <c r="S264" s="687"/>
      <c r="T264" s="687"/>
      <c r="U264" s="687"/>
      <c r="V264" s="687"/>
      <c r="W264" s="687"/>
      <c r="X264" s="687"/>
      <c r="Y264" s="687"/>
      <c r="Z264" s="687"/>
      <c r="AA264" s="687"/>
      <c r="AB264" s="687"/>
      <c r="AC264" s="687"/>
      <c r="AD264" s="687"/>
      <c r="AE264" s="687"/>
      <c r="AF264" s="687"/>
      <c r="AG264" s="687"/>
      <c r="AH264" s="687"/>
      <c r="AI264" s="687"/>
      <c r="AJ264" s="687"/>
      <c r="AK264" s="687"/>
      <c r="AL264" s="687"/>
      <c r="AM264" s="687"/>
      <c r="AN264" s="687"/>
      <c r="AO264" s="687"/>
      <c r="AP264" s="687"/>
      <c r="AQ264" s="687"/>
      <c r="AR264" s="687"/>
      <c r="AS264" s="687"/>
      <c r="AT264" s="687"/>
      <c r="AU264" s="687"/>
      <c r="AV264" s="687"/>
      <c r="AW264" s="687"/>
      <c r="AX264" s="687"/>
      <c r="AY264" s="687"/>
      <c r="AZ264" s="687"/>
      <c r="BA264" s="687"/>
      <c r="BB264" s="687"/>
      <c r="BC264" s="687"/>
      <c r="BD264" s="687"/>
      <c r="BE264" s="687"/>
      <c r="BF264" s="687"/>
      <c r="BG264" s="687"/>
      <c r="BH264" s="687"/>
      <c r="BI264" s="687"/>
      <c r="BJ264" s="687"/>
      <c r="BK264" s="687"/>
      <c r="BL264" s="687"/>
      <c r="BM264" s="687"/>
      <c r="BN264" s="687"/>
      <c r="BO264" s="687"/>
      <c r="BP264" s="687"/>
      <c r="BQ264" s="687"/>
      <c r="BR264" s="687"/>
      <c r="BS264" s="687"/>
      <c r="BT264" s="687"/>
      <c r="BU264" s="687"/>
      <c r="BV264" s="687"/>
      <c r="BW264" s="687"/>
      <c r="BX264" s="687"/>
      <c r="BY264" s="687"/>
      <c r="BZ264" s="687"/>
      <c r="CA264" s="687"/>
      <c r="CB264" s="687"/>
      <c r="CC264" s="687"/>
      <c r="CD264" s="687"/>
      <c r="CE264" s="687"/>
      <c r="CF264" s="687"/>
      <c r="CG264" s="687"/>
      <c r="CH264" s="687"/>
    </row>
    <row r="265" spans="1:86" ht="15.75" customHeight="1" outlineLevel="1" x14ac:dyDescent="0.35">
      <c r="A265" s="690"/>
      <c r="B265" s="765"/>
      <c r="C265" s="470" t="s">
        <v>64</v>
      </c>
      <c r="D265" s="766"/>
      <c r="E265" s="1039">
        <v>1210</v>
      </c>
      <c r="F265" s="870"/>
      <c r="G265" s="758"/>
      <c r="H265" s="470" t="s">
        <v>175</v>
      </c>
      <c r="I265" s="1298"/>
      <c r="J265" s="1040">
        <v>1980</v>
      </c>
      <c r="K265" s="1298"/>
      <c r="L265" s="687"/>
      <c r="M265" s="687"/>
      <c r="N265" s="687"/>
      <c r="O265" s="687"/>
      <c r="P265" s="687"/>
      <c r="Q265" s="687"/>
      <c r="R265" s="687"/>
      <c r="S265" s="687"/>
      <c r="T265" s="687"/>
      <c r="U265" s="687"/>
      <c r="V265" s="687"/>
      <c r="W265" s="687"/>
      <c r="X265" s="687"/>
      <c r="Y265" s="687"/>
      <c r="Z265" s="687"/>
      <c r="AA265" s="687"/>
      <c r="AB265" s="687"/>
      <c r="AC265" s="687"/>
      <c r="AD265" s="687"/>
      <c r="AE265" s="687"/>
      <c r="AF265" s="687"/>
      <c r="AG265" s="687"/>
      <c r="AH265" s="687"/>
      <c r="AI265" s="687"/>
      <c r="AJ265" s="687"/>
      <c r="AK265" s="687"/>
      <c r="AL265" s="687"/>
      <c r="AM265" s="687"/>
      <c r="AN265" s="687"/>
      <c r="AO265" s="687"/>
      <c r="AP265" s="687"/>
      <c r="AQ265" s="687"/>
      <c r="AR265" s="687"/>
      <c r="AS265" s="687"/>
      <c r="AT265" s="687"/>
      <c r="AU265" s="687"/>
      <c r="AV265" s="687"/>
      <c r="AW265" s="687"/>
      <c r="AX265" s="687"/>
      <c r="AY265" s="687"/>
      <c r="AZ265" s="687"/>
      <c r="BA265" s="687"/>
      <c r="BB265" s="687"/>
      <c r="BC265" s="687"/>
      <c r="BD265" s="687"/>
      <c r="BE265" s="687"/>
      <c r="BF265" s="687"/>
      <c r="BG265" s="687"/>
      <c r="BH265" s="687"/>
      <c r="BI265" s="687"/>
      <c r="BJ265" s="687"/>
      <c r="BK265" s="687"/>
      <c r="BL265" s="687"/>
      <c r="BM265" s="687"/>
      <c r="BN265" s="687"/>
      <c r="BO265" s="687"/>
      <c r="BP265" s="687"/>
      <c r="BQ265" s="687"/>
      <c r="BR265" s="687"/>
      <c r="BS265" s="687"/>
      <c r="BT265" s="687"/>
      <c r="BU265" s="687"/>
      <c r="BV265" s="687"/>
      <c r="BW265" s="687"/>
      <c r="BX265" s="687"/>
      <c r="BY265" s="687"/>
      <c r="BZ265" s="687"/>
      <c r="CA265" s="687"/>
      <c r="CB265" s="687"/>
      <c r="CC265" s="687"/>
      <c r="CD265" s="687"/>
      <c r="CE265" s="687"/>
      <c r="CF265" s="687"/>
      <c r="CG265" s="687"/>
      <c r="CH265" s="687"/>
    </row>
    <row r="266" spans="1:86" ht="15.75" customHeight="1" outlineLevel="1" x14ac:dyDescent="0.35">
      <c r="A266" s="690"/>
      <c r="B266" s="765"/>
      <c r="C266" s="470" t="s">
        <v>65</v>
      </c>
      <c r="D266" s="766"/>
      <c r="E266" s="1039">
        <v>1330</v>
      </c>
      <c r="F266" s="870"/>
      <c r="G266" s="758"/>
      <c r="H266" s="470" t="s">
        <v>176</v>
      </c>
      <c r="I266" s="1298"/>
      <c r="J266" s="1040">
        <v>127</v>
      </c>
      <c r="K266" s="1298"/>
      <c r="L266" s="687"/>
      <c r="M266" s="687"/>
      <c r="N266" s="687"/>
      <c r="O266" s="687"/>
      <c r="P266" s="687"/>
      <c r="Q266" s="687"/>
      <c r="R266" s="687"/>
      <c r="S266" s="687"/>
      <c r="T266" s="687"/>
      <c r="U266" s="687"/>
      <c r="V266" s="687"/>
      <c r="W266" s="687"/>
      <c r="X266" s="687"/>
      <c r="Y266" s="687"/>
      <c r="Z266" s="687"/>
      <c r="AA266" s="687"/>
      <c r="AB266" s="687"/>
      <c r="AC266" s="687"/>
      <c r="AD266" s="687"/>
      <c r="AE266" s="687"/>
      <c r="AF266" s="687"/>
      <c r="AG266" s="687"/>
      <c r="AH266" s="687"/>
      <c r="AI266" s="687"/>
      <c r="AJ266" s="687"/>
      <c r="AK266" s="687"/>
      <c r="AL266" s="687"/>
      <c r="AM266" s="687"/>
      <c r="AN266" s="687"/>
      <c r="AO266" s="687"/>
      <c r="AP266" s="687"/>
      <c r="AQ266" s="687"/>
      <c r="AR266" s="687"/>
      <c r="AS266" s="687"/>
      <c r="AT266" s="687"/>
      <c r="AU266" s="687"/>
      <c r="AV266" s="687"/>
      <c r="AW266" s="687"/>
      <c r="AX266" s="687"/>
      <c r="AY266" s="687"/>
      <c r="AZ266" s="687"/>
      <c r="BA266" s="687"/>
      <c r="BB266" s="687"/>
      <c r="BC266" s="687"/>
      <c r="BD266" s="687"/>
      <c r="BE266" s="687"/>
      <c r="BF266" s="687"/>
      <c r="BG266" s="687"/>
      <c r="BH266" s="687"/>
      <c r="BI266" s="687"/>
      <c r="BJ266" s="687"/>
      <c r="BK266" s="687"/>
      <c r="BL266" s="687"/>
      <c r="BM266" s="687"/>
      <c r="BN266" s="687"/>
      <c r="BO266" s="687"/>
      <c r="BP266" s="687"/>
      <c r="BQ266" s="687"/>
      <c r="BR266" s="687"/>
      <c r="BS266" s="687"/>
      <c r="BT266" s="687"/>
      <c r="BU266" s="687"/>
      <c r="BV266" s="687"/>
      <c r="BW266" s="687"/>
      <c r="BX266" s="687"/>
      <c r="BY266" s="687"/>
      <c r="BZ266" s="687"/>
      <c r="CA266" s="687"/>
      <c r="CB266" s="687"/>
      <c r="CC266" s="687"/>
      <c r="CD266" s="687"/>
      <c r="CE266" s="687"/>
      <c r="CF266" s="687"/>
      <c r="CG266" s="687"/>
      <c r="CH266" s="687"/>
    </row>
    <row r="267" spans="1:86" ht="15.75" customHeight="1" outlineLevel="1" x14ac:dyDescent="0.35">
      <c r="A267" s="690"/>
      <c r="B267" s="765"/>
      <c r="C267" s="470" t="s">
        <v>66</v>
      </c>
      <c r="D267" s="766"/>
      <c r="E267" s="1039">
        <v>8060</v>
      </c>
      <c r="F267" s="870"/>
      <c r="G267" s="758"/>
      <c r="H267" s="470" t="s">
        <v>177</v>
      </c>
      <c r="I267" s="1299"/>
      <c r="J267" s="1040">
        <v>525</v>
      </c>
      <c r="K267" s="1299"/>
      <c r="L267" s="687"/>
      <c r="M267" s="687"/>
      <c r="N267" s="687"/>
      <c r="O267" s="687"/>
      <c r="P267" s="687"/>
      <c r="Q267" s="687"/>
      <c r="R267" s="687"/>
      <c r="S267" s="687"/>
      <c r="T267" s="687"/>
      <c r="U267" s="687"/>
      <c r="V267" s="687"/>
      <c r="W267" s="687"/>
      <c r="X267" s="687"/>
      <c r="Y267" s="687"/>
      <c r="Z267" s="687"/>
      <c r="AA267" s="687"/>
      <c r="AB267" s="687"/>
      <c r="AC267" s="687"/>
      <c r="AD267" s="687"/>
      <c r="AE267" s="687"/>
      <c r="AF267" s="687"/>
      <c r="AG267" s="687"/>
      <c r="AH267" s="687"/>
      <c r="AI267" s="687"/>
      <c r="AJ267" s="687"/>
      <c r="AK267" s="687"/>
      <c r="AL267" s="687"/>
      <c r="AM267" s="687"/>
      <c r="AN267" s="687"/>
      <c r="AO267" s="687"/>
      <c r="AP267" s="687"/>
      <c r="AQ267" s="687"/>
      <c r="AR267" s="687"/>
      <c r="AS267" s="687"/>
      <c r="AT267" s="687"/>
      <c r="AU267" s="687"/>
      <c r="AV267" s="687"/>
      <c r="AW267" s="687"/>
      <c r="AX267" s="687"/>
      <c r="AY267" s="687"/>
      <c r="AZ267" s="687"/>
      <c r="BA267" s="687"/>
      <c r="BB267" s="687"/>
      <c r="BC267" s="687"/>
      <c r="BD267" s="687"/>
      <c r="BE267" s="687"/>
      <c r="BF267" s="687"/>
      <c r="BG267" s="687"/>
      <c r="BH267" s="687"/>
      <c r="BI267" s="687"/>
      <c r="BJ267" s="687"/>
      <c r="BK267" s="687"/>
      <c r="BL267" s="687"/>
      <c r="BM267" s="687"/>
      <c r="BN267" s="687"/>
      <c r="BO267" s="687"/>
      <c r="BP267" s="687"/>
      <c r="BQ267" s="687"/>
      <c r="BR267" s="687"/>
      <c r="BS267" s="687"/>
      <c r="BT267" s="687"/>
      <c r="BU267" s="687"/>
      <c r="BV267" s="687"/>
      <c r="BW267" s="687"/>
      <c r="BX267" s="687"/>
      <c r="BY267" s="687"/>
      <c r="BZ267" s="687"/>
      <c r="CA267" s="687"/>
      <c r="CB267" s="687"/>
      <c r="CC267" s="687"/>
      <c r="CD267" s="687"/>
      <c r="CE267" s="687"/>
      <c r="CF267" s="687"/>
      <c r="CG267" s="687"/>
      <c r="CH267" s="687"/>
    </row>
    <row r="268" spans="1:86" ht="15.75" customHeight="1" outlineLevel="1" x14ac:dyDescent="0.35">
      <c r="A268" s="690"/>
      <c r="B268" s="765"/>
      <c r="C268" s="470" t="s">
        <v>67</v>
      </c>
      <c r="D268" s="766"/>
      <c r="E268" s="1039">
        <v>716</v>
      </c>
      <c r="F268" s="870"/>
      <c r="G268" s="758"/>
      <c r="H268" s="655" t="s">
        <v>768</v>
      </c>
      <c r="I268" s="655" t="s">
        <v>769</v>
      </c>
      <c r="J268" s="1040">
        <v>491</v>
      </c>
      <c r="K268" s="687"/>
      <c r="L268" s="687"/>
      <c r="M268" s="687"/>
      <c r="N268" s="687"/>
      <c r="O268" s="687"/>
      <c r="P268" s="687"/>
      <c r="Q268" s="687"/>
      <c r="R268" s="687"/>
      <c r="S268" s="687"/>
      <c r="T268" s="687"/>
      <c r="U268" s="687"/>
      <c r="V268" s="687"/>
      <c r="W268" s="687"/>
      <c r="X268" s="687"/>
      <c r="Y268" s="687"/>
      <c r="Z268" s="687"/>
      <c r="AA268" s="687"/>
      <c r="AB268" s="687"/>
      <c r="AC268" s="687"/>
      <c r="AD268" s="687"/>
      <c r="AE268" s="687"/>
      <c r="AF268" s="687"/>
      <c r="AG268" s="687"/>
      <c r="AH268" s="687"/>
      <c r="AI268" s="687"/>
      <c r="AJ268" s="687"/>
      <c r="AK268" s="687"/>
      <c r="AL268" s="687"/>
      <c r="AM268" s="687"/>
      <c r="AN268" s="687"/>
      <c r="AO268" s="687"/>
      <c r="AP268" s="687"/>
      <c r="AQ268" s="687"/>
      <c r="AR268" s="687"/>
      <c r="AS268" s="687"/>
      <c r="AT268" s="687"/>
      <c r="AU268" s="687"/>
      <c r="AV268" s="687"/>
      <c r="AW268" s="687"/>
      <c r="AX268" s="687"/>
      <c r="AY268" s="687"/>
      <c r="AZ268" s="687"/>
      <c r="BA268" s="687"/>
      <c r="BB268" s="687"/>
      <c r="BC268" s="687"/>
      <c r="BD268" s="687"/>
      <c r="BE268" s="687"/>
      <c r="BF268" s="687"/>
      <c r="BG268" s="687"/>
      <c r="BH268" s="687"/>
      <c r="BI268" s="687"/>
      <c r="BJ268" s="687"/>
      <c r="BK268" s="687"/>
      <c r="BL268" s="687"/>
      <c r="BM268" s="687"/>
      <c r="BN268" s="687"/>
      <c r="BO268" s="687"/>
      <c r="BP268" s="687"/>
      <c r="BQ268" s="687"/>
      <c r="BR268" s="687"/>
      <c r="BS268" s="687"/>
      <c r="BT268" s="687"/>
      <c r="BU268" s="687"/>
      <c r="BV268" s="687"/>
      <c r="BW268" s="687"/>
      <c r="BX268" s="687"/>
      <c r="BY268" s="687"/>
      <c r="BZ268" s="687"/>
      <c r="CA268" s="687"/>
      <c r="CB268" s="687"/>
      <c r="CC268" s="687"/>
      <c r="CD268" s="687"/>
      <c r="CE268" s="687"/>
      <c r="CF268" s="687"/>
      <c r="CG268" s="687"/>
      <c r="CH268" s="687"/>
    </row>
    <row r="269" spans="1:86" ht="15.75" customHeight="1" outlineLevel="1" x14ac:dyDescent="0.35">
      <c r="A269" s="690"/>
      <c r="B269" s="765"/>
      <c r="C269" s="470" t="s">
        <v>68</v>
      </c>
      <c r="D269" s="766"/>
      <c r="E269" s="1039">
        <v>858</v>
      </c>
      <c r="F269" s="870"/>
      <c r="G269" s="758"/>
      <c r="H269" s="655" t="s">
        <v>770</v>
      </c>
      <c r="I269" s="655" t="s">
        <v>771</v>
      </c>
      <c r="J269" s="1040">
        <v>1790</v>
      </c>
      <c r="K269" s="687"/>
      <c r="L269" s="687"/>
      <c r="M269" s="687"/>
      <c r="N269" s="687"/>
      <c r="O269" s="687"/>
      <c r="P269" s="687"/>
      <c r="Q269" s="687"/>
      <c r="R269" s="687"/>
      <c r="S269" s="687"/>
      <c r="T269" s="687"/>
      <c r="U269" s="687"/>
      <c r="V269" s="687"/>
      <c r="W269" s="687"/>
      <c r="X269" s="687"/>
      <c r="Y269" s="687"/>
      <c r="Z269" s="687"/>
      <c r="AA269" s="687"/>
      <c r="AB269" s="687"/>
      <c r="AC269" s="687"/>
      <c r="AD269" s="687"/>
      <c r="AE269" s="687"/>
      <c r="AF269" s="687"/>
      <c r="AG269" s="687"/>
      <c r="AH269" s="687"/>
      <c r="AI269" s="687"/>
      <c r="AJ269" s="687"/>
      <c r="AK269" s="687"/>
      <c r="AL269" s="687"/>
      <c r="AM269" s="687"/>
      <c r="AN269" s="687"/>
      <c r="AO269" s="687"/>
      <c r="AP269" s="687"/>
      <c r="AQ269" s="687"/>
      <c r="AR269" s="687"/>
      <c r="AS269" s="687"/>
      <c r="AT269" s="687"/>
      <c r="AU269" s="687"/>
      <c r="AV269" s="687"/>
      <c r="AW269" s="687"/>
      <c r="AX269" s="687"/>
      <c r="AY269" s="687"/>
      <c r="AZ269" s="687"/>
      <c r="BA269" s="687"/>
      <c r="BB269" s="687"/>
      <c r="BC269" s="687"/>
      <c r="BD269" s="687"/>
      <c r="BE269" s="687"/>
      <c r="BF269" s="687"/>
      <c r="BG269" s="687"/>
      <c r="BH269" s="687"/>
      <c r="BI269" s="687"/>
      <c r="BJ269" s="687"/>
      <c r="BK269" s="687"/>
      <c r="BL269" s="687"/>
      <c r="BM269" s="687"/>
      <c r="BN269" s="687"/>
      <c r="BO269" s="687"/>
      <c r="BP269" s="687"/>
      <c r="BQ269" s="687"/>
      <c r="BR269" s="687"/>
      <c r="BS269" s="687"/>
      <c r="BT269" s="687"/>
      <c r="BU269" s="687"/>
      <c r="BV269" s="687"/>
      <c r="BW269" s="687"/>
      <c r="BX269" s="687"/>
      <c r="BY269" s="687"/>
      <c r="BZ269" s="687"/>
      <c r="CA269" s="687"/>
      <c r="CB269" s="687"/>
      <c r="CC269" s="687"/>
      <c r="CD269" s="687"/>
      <c r="CE269" s="687"/>
      <c r="CF269" s="687"/>
      <c r="CG269" s="687"/>
      <c r="CH269" s="687"/>
    </row>
    <row r="270" spans="1:86" outlineLevel="1" x14ac:dyDescent="0.35">
      <c r="A270" s="690"/>
      <c r="B270" s="765"/>
      <c r="C270" s="470" t="s">
        <v>69</v>
      </c>
      <c r="D270" s="766"/>
      <c r="E270" s="1039">
        <v>804</v>
      </c>
      <c r="F270" s="870"/>
      <c r="G270" s="758"/>
      <c r="H270" s="655" t="s">
        <v>772</v>
      </c>
      <c r="I270" s="655" t="s">
        <v>773</v>
      </c>
      <c r="J270" s="1040">
        <v>216</v>
      </c>
      <c r="K270" s="687"/>
      <c r="L270" s="687"/>
      <c r="M270" s="687"/>
      <c r="N270" s="687"/>
      <c r="O270" s="687"/>
      <c r="P270" s="687"/>
      <c r="Q270" s="687"/>
      <c r="R270" s="687"/>
      <c r="S270" s="687"/>
      <c r="T270" s="687"/>
      <c r="U270" s="687"/>
      <c r="V270" s="687"/>
      <c r="W270" s="687"/>
      <c r="X270" s="687"/>
      <c r="Y270" s="687"/>
      <c r="Z270" s="687"/>
      <c r="AA270" s="687"/>
      <c r="AB270" s="687"/>
      <c r="AC270" s="687"/>
      <c r="AD270" s="687"/>
      <c r="AE270" s="687"/>
      <c r="AF270" s="687"/>
      <c r="AG270" s="687"/>
      <c r="AH270" s="687"/>
      <c r="AI270" s="687"/>
      <c r="AJ270" s="687"/>
      <c r="AK270" s="687"/>
      <c r="AL270" s="687"/>
      <c r="AM270" s="687"/>
      <c r="AN270" s="687"/>
      <c r="AO270" s="687"/>
      <c r="AP270" s="687"/>
      <c r="AQ270" s="687"/>
      <c r="AR270" s="687"/>
      <c r="AS270" s="687"/>
      <c r="AT270" s="687"/>
      <c r="AU270" s="687"/>
      <c r="AV270" s="687"/>
      <c r="AW270" s="687"/>
      <c r="AX270" s="687"/>
      <c r="AY270" s="687"/>
      <c r="AZ270" s="687"/>
      <c r="BA270" s="687"/>
      <c r="BB270" s="687"/>
      <c r="BC270" s="687"/>
      <c r="BD270" s="687"/>
      <c r="BE270" s="687"/>
      <c r="BF270" s="687"/>
      <c r="BG270" s="687"/>
      <c r="BH270" s="687"/>
      <c r="BI270" s="687"/>
      <c r="BJ270" s="687"/>
      <c r="BK270" s="687"/>
      <c r="BL270" s="687"/>
      <c r="BM270" s="687"/>
      <c r="BN270" s="687"/>
      <c r="BO270" s="687"/>
      <c r="BP270" s="687"/>
      <c r="BQ270" s="687"/>
      <c r="BR270" s="687"/>
      <c r="BS270" s="687"/>
      <c r="BT270" s="687"/>
      <c r="BU270" s="687"/>
      <c r="BV270" s="687"/>
      <c r="BW270" s="687"/>
      <c r="BX270" s="687"/>
      <c r="BY270" s="687"/>
      <c r="BZ270" s="687"/>
      <c r="CA270" s="687"/>
      <c r="CB270" s="687"/>
      <c r="CC270" s="687"/>
      <c r="CD270" s="687"/>
      <c r="CE270" s="687"/>
      <c r="CF270" s="687"/>
      <c r="CG270" s="687"/>
      <c r="CH270" s="687"/>
    </row>
    <row r="271" spans="1:86" outlineLevel="1" x14ac:dyDescent="0.35">
      <c r="A271" s="690"/>
      <c r="B271" s="765"/>
      <c r="C271" s="470" t="s">
        <v>70</v>
      </c>
      <c r="D271" s="773"/>
      <c r="E271" s="1039">
        <v>1650</v>
      </c>
      <c r="F271" s="870"/>
      <c r="G271" s="868"/>
      <c r="H271" s="655" t="s">
        <v>774</v>
      </c>
      <c r="I271" s="655" t="s">
        <v>775</v>
      </c>
      <c r="J271" s="1040">
        <v>11100</v>
      </c>
      <c r="K271" s="758"/>
      <c r="L271" s="687"/>
      <c r="M271" s="687"/>
      <c r="N271" s="687"/>
      <c r="O271" s="687"/>
      <c r="P271" s="687"/>
      <c r="Q271" s="687"/>
      <c r="R271" s="687"/>
      <c r="S271" s="687"/>
      <c r="T271" s="687"/>
      <c r="U271" s="687"/>
      <c r="V271" s="687"/>
      <c r="W271" s="687"/>
      <c r="X271" s="687"/>
      <c r="Y271" s="687"/>
      <c r="Z271" s="687"/>
      <c r="AA271" s="687"/>
      <c r="AB271" s="687"/>
      <c r="AC271" s="687"/>
      <c r="AD271" s="687"/>
      <c r="AE271" s="687"/>
      <c r="AF271" s="687"/>
      <c r="AG271" s="687"/>
      <c r="AH271" s="687"/>
      <c r="AI271" s="687"/>
      <c r="AJ271" s="687"/>
      <c r="AK271" s="687"/>
      <c r="AL271" s="687"/>
      <c r="AM271" s="687"/>
      <c r="AN271" s="687"/>
      <c r="AO271" s="687"/>
      <c r="AP271" s="687"/>
      <c r="AQ271" s="687"/>
      <c r="AR271" s="687"/>
      <c r="AS271" s="687"/>
      <c r="AT271" s="687"/>
      <c r="AU271" s="687"/>
      <c r="AV271" s="687"/>
      <c r="AW271" s="687"/>
      <c r="AX271" s="687"/>
      <c r="AY271" s="687"/>
      <c r="AZ271" s="687"/>
      <c r="BA271" s="687"/>
      <c r="BB271" s="687"/>
      <c r="BC271" s="687"/>
      <c r="BD271" s="687"/>
      <c r="BE271" s="687"/>
      <c r="BF271" s="687"/>
      <c r="BG271" s="687"/>
      <c r="BH271" s="687"/>
      <c r="BI271" s="687"/>
      <c r="BJ271" s="687"/>
      <c r="BK271" s="687"/>
      <c r="BL271" s="687"/>
      <c r="BM271" s="687"/>
      <c r="BN271" s="687"/>
      <c r="BO271" s="687"/>
      <c r="BP271" s="687"/>
      <c r="BQ271" s="687"/>
      <c r="BR271" s="687"/>
      <c r="BS271" s="687"/>
      <c r="BT271" s="687"/>
      <c r="BU271" s="687"/>
      <c r="BV271" s="687"/>
      <c r="BW271" s="687"/>
      <c r="BX271" s="687"/>
      <c r="BY271" s="687"/>
      <c r="BZ271" s="687"/>
      <c r="CA271" s="687"/>
      <c r="CB271" s="687"/>
      <c r="CC271" s="687"/>
      <c r="CD271" s="687"/>
      <c r="CE271" s="687"/>
      <c r="CF271" s="687"/>
      <c r="CG271" s="687"/>
      <c r="CH271" s="687"/>
    </row>
    <row r="272" spans="1:86" ht="15.75" customHeight="1" outlineLevel="1" x14ac:dyDescent="0.35">
      <c r="A272" s="687"/>
      <c r="B272" s="696"/>
      <c r="C272" s="470" t="s">
        <v>71</v>
      </c>
      <c r="D272" s="771" t="s">
        <v>72</v>
      </c>
      <c r="E272" s="1039">
        <v>6630</v>
      </c>
      <c r="F272" s="870"/>
      <c r="G272" s="868"/>
      <c r="H272" s="655" t="s">
        <v>776</v>
      </c>
      <c r="I272" s="655" t="s">
        <v>777</v>
      </c>
      <c r="J272" s="1040">
        <v>8900</v>
      </c>
      <c r="K272" s="758"/>
      <c r="L272" s="687"/>
      <c r="M272" s="687"/>
      <c r="N272" s="687"/>
      <c r="O272" s="687"/>
      <c r="P272" s="687"/>
      <c r="Q272" s="687"/>
      <c r="R272" s="687"/>
      <c r="S272" s="687"/>
      <c r="T272" s="687"/>
      <c r="U272" s="687"/>
      <c r="V272" s="687"/>
      <c r="W272" s="687"/>
      <c r="X272" s="687"/>
      <c r="Y272" s="687"/>
      <c r="Z272" s="687"/>
      <c r="AA272" s="687"/>
      <c r="AB272" s="687"/>
      <c r="AC272" s="687"/>
      <c r="AD272" s="687"/>
      <c r="AE272" s="687"/>
      <c r="AF272" s="687"/>
      <c r="AG272" s="687"/>
      <c r="AH272" s="687"/>
      <c r="AI272" s="687"/>
      <c r="AJ272" s="687"/>
      <c r="AK272" s="687"/>
      <c r="AL272" s="687"/>
      <c r="AM272" s="687"/>
      <c r="AN272" s="687"/>
      <c r="AO272" s="687"/>
      <c r="AP272" s="687"/>
      <c r="AQ272" s="687"/>
      <c r="AR272" s="687"/>
      <c r="AS272" s="687"/>
      <c r="AT272" s="687"/>
      <c r="AU272" s="687"/>
      <c r="AV272" s="687"/>
      <c r="AW272" s="687"/>
      <c r="AX272" s="687"/>
      <c r="AY272" s="687"/>
      <c r="AZ272" s="687"/>
      <c r="BA272" s="687"/>
      <c r="BB272" s="687"/>
      <c r="BC272" s="687"/>
      <c r="BD272" s="687"/>
      <c r="BE272" s="687"/>
      <c r="BF272" s="687"/>
      <c r="BG272" s="687"/>
      <c r="BH272" s="687"/>
      <c r="BI272" s="687"/>
      <c r="BJ272" s="687"/>
      <c r="BK272" s="687"/>
      <c r="BL272" s="687"/>
      <c r="BM272" s="687"/>
      <c r="BN272" s="687"/>
      <c r="BO272" s="687"/>
      <c r="BP272" s="687"/>
      <c r="BQ272" s="687"/>
      <c r="BR272" s="687"/>
      <c r="BS272" s="687"/>
      <c r="BT272" s="687"/>
      <c r="BU272" s="687"/>
      <c r="BV272" s="687"/>
      <c r="BW272" s="687"/>
      <c r="BX272" s="687"/>
      <c r="BY272" s="687"/>
      <c r="BZ272" s="687"/>
      <c r="CA272" s="687"/>
      <c r="CB272" s="687"/>
      <c r="CC272" s="687"/>
      <c r="CD272" s="687"/>
      <c r="CE272" s="687"/>
      <c r="CF272" s="687"/>
      <c r="CG272" s="687"/>
      <c r="CH272" s="687"/>
    </row>
    <row r="273" spans="1:86" ht="15.75" customHeight="1" outlineLevel="1" x14ac:dyDescent="0.35">
      <c r="A273" s="687"/>
      <c r="B273" s="696"/>
      <c r="C273" s="470" t="s">
        <v>73</v>
      </c>
      <c r="D273" s="766"/>
      <c r="E273" s="1039">
        <v>11100</v>
      </c>
      <c r="F273" s="870"/>
      <c r="G273" s="868"/>
      <c r="H273" s="774" t="s">
        <v>778</v>
      </c>
      <c r="I273" s="775"/>
      <c r="J273" s="776"/>
      <c r="K273" s="758"/>
      <c r="L273" s="687"/>
      <c r="M273" s="687"/>
      <c r="N273" s="687"/>
      <c r="O273" s="687"/>
      <c r="P273" s="687"/>
      <c r="Q273" s="687"/>
      <c r="R273" s="687"/>
      <c r="S273" s="687"/>
      <c r="T273" s="687"/>
      <c r="U273" s="687"/>
      <c r="V273" s="687"/>
      <c r="W273" s="687"/>
      <c r="X273" s="687"/>
      <c r="Y273" s="687"/>
      <c r="Z273" s="687"/>
      <c r="AA273" s="687"/>
      <c r="AB273" s="687"/>
      <c r="AC273" s="687"/>
      <c r="AD273" s="687"/>
      <c r="AE273" s="687"/>
      <c r="AF273" s="687"/>
      <c r="AG273" s="687"/>
      <c r="AH273" s="687"/>
      <c r="AI273" s="687"/>
      <c r="AJ273" s="687"/>
      <c r="AK273" s="687"/>
      <c r="AL273" s="687"/>
      <c r="AM273" s="687"/>
      <c r="AN273" s="687"/>
      <c r="AO273" s="687"/>
      <c r="AP273" s="687"/>
      <c r="AQ273" s="687"/>
      <c r="AR273" s="687"/>
      <c r="AS273" s="687"/>
      <c r="AT273" s="687"/>
      <c r="AU273" s="687"/>
      <c r="AV273" s="687"/>
      <c r="AW273" s="687"/>
      <c r="AX273" s="687"/>
      <c r="AY273" s="687"/>
      <c r="AZ273" s="687"/>
      <c r="BA273" s="687"/>
      <c r="BB273" s="687"/>
      <c r="BC273" s="687"/>
      <c r="BD273" s="687"/>
      <c r="BE273" s="687"/>
      <c r="BF273" s="687"/>
      <c r="BG273" s="687"/>
      <c r="BH273" s="687"/>
      <c r="BI273" s="687"/>
      <c r="BJ273" s="687"/>
      <c r="BK273" s="687"/>
      <c r="BL273" s="687"/>
      <c r="BM273" s="687"/>
      <c r="BN273" s="687"/>
      <c r="BO273" s="687"/>
      <c r="BP273" s="687"/>
      <c r="BQ273" s="687"/>
      <c r="BR273" s="687"/>
      <c r="BS273" s="687"/>
      <c r="BT273" s="687"/>
      <c r="BU273" s="687"/>
      <c r="BV273" s="687"/>
      <c r="BW273" s="687"/>
      <c r="BX273" s="687"/>
      <c r="BY273" s="687"/>
      <c r="BZ273" s="687"/>
      <c r="CA273" s="687"/>
      <c r="CB273" s="687"/>
      <c r="CC273" s="687"/>
      <c r="CD273" s="687"/>
      <c r="CE273" s="687"/>
      <c r="CF273" s="687"/>
      <c r="CG273" s="687"/>
      <c r="CH273" s="687"/>
    </row>
    <row r="274" spans="1:86" ht="15.75" customHeight="1" outlineLevel="1" x14ac:dyDescent="0.35">
      <c r="A274" s="687"/>
      <c r="B274" s="696"/>
      <c r="C274" s="470" t="s">
        <v>74</v>
      </c>
      <c r="D274" s="766"/>
      <c r="E274" s="1039">
        <v>8900</v>
      </c>
      <c r="F274" s="870"/>
      <c r="G274" s="868"/>
      <c r="H274" s="777" t="s">
        <v>239</v>
      </c>
      <c r="I274" s="682"/>
      <c r="J274" s="682"/>
      <c r="K274" s="758"/>
      <c r="L274" s="687"/>
      <c r="M274" s="687"/>
      <c r="N274" s="687"/>
      <c r="O274" s="687"/>
      <c r="P274" s="687"/>
      <c r="Q274" s="687"/>
      <c r="R274" s="687"/>
      <c r="S274" s="687"/>
      <c r="T274" s="687"/>
      <c r="U274" s="687"/>
      <c r="V274" s="687"/>
      <c r="W274" s="687"/>
      <c r="X274" s="687"/>
      <c r="Y274" s="687"/>
      <c r="Z274" s="687"/>
      <c r="AA274" s="687"/>
      <c r="AB274" s="687"/>
      <c r="AC274" s="687"/>
      <c r="AD274" s="687"/>
      <c r="AE274" s="687"/>
      <c r="AF274" s="687"/>
      <c r="AG274" s="687"/>
      <c r="AH274" s="687"/>
      <c r="AI274" s="687"/>
      <c r="AJ274" s="687"/>
      <c r="AK274" s="687"/>
      <c r="AL274" s="687"/>
      <c r="AM274" s="687"/>
      <c r="AN274" s="687"/>
      <c r="AO274" s="687"/>
      <c r="AP274" s="687"/>
      <c r="AQ274" s="687"/>
      <c r="AR274" s="687"/>
      <c r="AS274" s="687"/>
      <c r="AT274" s="687"/>
      <c r="AU274" s="687"/>
      <c r="AV274" s="687"/>
      <c r="AW274" s="687"/>
      <c r="AX274" s="687"/>
      <c r="AY274" s="687"/>
      <c r="AZ274" s="687"/>
      <c r="BA274" s="687"/>
      <c r="BB274" s="687"/>
      <c r="BC274" s="687"/>
      <c r="BD274" s="687"/>
      <c r="BE274" s="687"/>
      <c r="BF274" s="687"/>
      <c r="BG274" s="687"/>
      <c r="BH274" s="687"/>
      <c r="BI274" s="687"/>
      <c r="BJ274" s="687"/>
      <c r="BK274" s="687"/>
      <c r="BL274" s="687"/>
      <c r="BM274" s="687"/>
      <c r="BN274" s="687"/>
      <c r="BO274" s="687"/>
      <c r="BP274" s="687"/>
      <c r="BQ274" s="687"/>
      <c r="BR274" s="687"/>
      <c r="BS274" s="687"/>
      <c r="BT274" s="687"/>
      <c r="BU274" s="687"/>
      <c r="BV274" s="687"/>
      <c r="BW274" s="687"/>
      <c r="BX274" s="687"/>
      <c r="BY274" s="687"/>
      <c r="BZ274" s="687"/>
      <c r="CA274" s="687"/>
      <c r="CB274" s="687"/>
      <c r="CC274" s="687"/>
      <c r="CD274" s="687"/>
      <c r="CE274" s="687"/>
      <c r="CF274" s="687"/>
      <c r="CG274" s="687"/>
      <c r="CH274" s="687"/>
    </row>
    <row r="275" spans="1:86" ht="15.75" customHeight="1" outlineLevel="1" x14ac:dyDescent="0.35">
      <c r="A275" s="687"/>
      <c r="B275" s="696"/>
      <c r="C275" s="470" t="s">
        <v>75</v>
      </c>
      <c r="D275" s="766"/>
      <c r="E275" s="1039">
        <v>9540</v>
      </c>
      <c r="F275" s="870"/>
      <c r="G275" s="868"/>
      <c r="K275" s="758"/>
      <c r="L275" s="687"/>
      <c r="M275" s="687"/>
      <c r="N275" s="687"/>
      <c r="O275" s="687"/>
      <c r="P275" s="687"/>
      <c r="Q275" s="687"/>
      <c r="R275" s="687"/>
      <c r="S275" s="687"/>
      <c r="T275" s="687"/>
      <c r="U275" s="687"/>
      <c r="V275" s="687"/>
      <c r="W275" s="687"/>
      <c r="X275" s="687"/>
      <c r="Y275" s="687"/>
      <c r="Z275" s="687"/>
      <c r="AA275" s="687"/>
      <c r="AB275" s="687"/>
      <c r="AC275" s="687"/>
      <c r="AD275" s="687"/>
      <c r="AE275" s="687"/>
      <c r="AF275" s="687"/>
      <c r="AG275" s="687"/>
      <c r="AH275" s="687"/>
      <c r="AI275" s="687"/>
      <c r="AJ275" s="687"/>
      <c r="AK275" s="687"/>
      <c r="AL275" s="687"/>
      <c r="AM275" s="687"/>
      <c r="AN275" s="687"/>
      <c r="AO275" s="687"/>
      <c r="AP275" s="687"/>
      <c r="AQ275" s="687"/>
      <c r="AR275" s="687"/>
      <c r="AS275" s="687"/>
      <c r="AT275" s="687"/>
      <c r="AU275" s="687"/>
      <c r="AV275" s="687"/>
      <c r="AW275" s="687"/>
      <c r="AX275" s="687"/>
      <c r="AY275" s="687"/>
      <c r="AZ275" s="687"/>
      <c r="BA275" s="687"/>
      <c r="BB275" s="687"/>
      <c r="BC275" s="687"/>
      <c r="BD275" s="687"/>
      <c r="BE275" s="687"/>
      <c r="BF275" s="687"/>
      <c r="BG275" s="687"/>
      <c r="BH275" s="687"/>
      <c r="BI275" s="687"/>
      <c r="BJ275" s="687"/>
      <c r="BK275" s="687"/>
      <c r="BL275" s="687"/>
      <c r="BM275" s="687"/>
      <c r="BN275" s="687"/>
      <c r="BO275" s="687"/>
      <c r="BP275" s="687"/>
      <c r="BQ275" s="687"/>
      <c r="BR275" s="687"/>
      <c r="BS275" s="687"/>
      <c r="BT275" s="687"/>
      <c r="BU275" s="687"/>
      <c r="BV275" s="687"/>
      <c r="BW275" s="687"/>
      <c r="BX275" s="687"/>
      <c r="BY275" s="687"/>
      <c r="BZ275" s="687"/>
      <c r="CA275" s="687"/>
      <c r="CB275" s="687"/>
      <c r="CC275" s="687"/>
      <c r="CD275" s="687"/>
      <c r="CE275" s="687"/>
      <c r="CF275" s="687"/>
      <c r="CG275" s="687"/>
      <c r="CH275" s="687"/>
    </row>
    <row r="276" spans="1:86" ht="15.75" customHeight="1" outlineLevel="1" x14ac:dyDescent="0.35">
      <c r="A276" s="687"/>
      <c r="B276" s="696"/>
      <c r="C276" s="393" t="s">
        <v>1615</v>
      </c>
      <c r="D276" s="766"/>
      <c r="E276" s="1039">
        <v>9200</v>
      </c>
      <c r="F276" s="870"/>
      <c r="G276" s="868"/>
      <c r="K276" s="758"/>
      <c r="L276" s="687"/>
      <c r="M276" s="687"/>
      <c r="N276" s="687"/>
      <c r="O276" s="687"/>
      <c r="P276" s="687"/>
      <c r="Q276" s="687"/>
      <c r="R276" s="687"/>
      <c r="S276" s="687"/>
      <c r="T276" s="687"/>
      <c r="U276" s="687"/>
      <c r="V276" s="687"/>
      <c r="W276" s="687"/>
      <c r="X276" s="687"/>
      <c r="Y276" s="687"/>
      <c r="Z276" s="687"/>
      <c r="AA276" s="687"/>
      <c r="AB276" s="687"/>
      <c r="AC276" s="687"/>
      <c r="AD276" s="687"/>
      <c r="AE276" s="687"/>
      <c r="AF276" s="687"/>
      <c r="AG276" s="687"/>
      <c r="AH276" s="687"/>
      <c r="AI276" s="687"/>
      <c r="AJ276" s="687"/>
      <c r="AK276" s="687"/>
      <c r="AL276" s="687"/>
      <c r="AM276" s="687"/>
      <c r="AN276" s="687"/>
      <c r="AO276" s="687"/>
      <c r="AP276" s="687"/>
      <c r="AQ276" s="687"/>
      <c r="AR276" s="687"/>
      <c r="AS276" s="687"/>
      <c r="AT276" s="687"/>
      <c r="AU276" s="687"/>
      <c r="AV276" s="687"/>
      <c r="AW276" s="687"/>
      <c r="AX276" s="687"/>
      <c r="AY276" s="687"/>
      <c r="AZ276" s="687"/>
      <c r="BA276" s="687"/>
      <c r="BB276" s="687"/>
      <c r="BC276" s="687"/>
      <c r="BD276" s="687"/>
      <c r="BE276" s="687"/>
      <c r="BF276" s="687"/>
      <c r="BG276" s="687"/>
      <c r="BH276" s="687"/>
      <c r="BI276" s="687"/>
      <c r="BJ276" s="687"/>
      <c r="BK276" s="687"/>
      <c r="BL276" s="687"/>
      <c r="BM276" s="687"/>
      <c r="BN276" s="687"/>
      <c r="BO276" s="687"/>
      <c r="BP276" s="687"/>
      <c r="BQ276" s="687"/>
      <c r="BR276" s="687"/>
      <c r="BS276" s="687"/>
      <c r="BT276" s="687"/>
      <c r="BU276" s="687"/>
      <c r="BV276" s="687"/>
      <c r="BW276" s="687"/>
      <c r="BX276" s="687"/>
      <c r="BY276" s="687"/>
      <c r="BZ276" s="687"/>
      <c r="CA276" s="687"/>
      <c r="CB276" s="687"/>
      <c r="CC276" s="687"/>
      <c r="CD276" s="687"/>
      <c r="CE276" s="687"/>
      <c r="CF276" s="687"/>
      <c r="CG276" s="687"/>
      <c r="CH276" s="687"/>
    </row>
    <row r="277" spans="1:86" ht="15.75" customHeight="1" outlineLevel="1" x14ac:dyDescent="0.35">
      <c r="A277" s="687"/>
      <c r="B277" s="696"/>
      <c r="C277" s="393" t="s">
        <v>1616</v>
      </c>
      <c r="D277" s="766"/>
      <c r="E277" s="1039">
        <v>8550</v>
      </c>
      <c r="F277" s="870"/>
      <c r="G277" s="758"/>
      <c r="K277" s="687"/>
      <c r="L277" s="687"/>
      <c r="M277" s="687"/>
      <c r="N277" s="687"/>
      <c r="O277" s="687"/>
      <c r="P277" s="687"/>
      <c r="Q277" s="687"/>
      <c r="R277" s="687"/>
      <c r="S277" s="687"/>
      <c r="T277" s="687"/>
      <c r="U277" s="687"/>
      <c r="V277" s="687"/>
      <c r="W277" s="687"/>
      <c r="X277" s="687"/>
      <c r="Y277" s="687"/>
      <c r="Z277" s="687"/>
      <c r="AA277" s="687"/>
      <c r="AB277" s="687"/>
      <c r="AC277" s="687"/>
      <c r="AD277" s="687"/>
      <c r="AE277" s="687"/>
      <c r="AF277" s="687"/>
      <c r="AG277" s="687"/>
      <c r="AH277" s="687"/>
      <c r="AI277" s="687"/>
      <c r="AJ277" s="687"/>
      <c r="AK277" s="687"/>
      <c r="AL277" s="687"/>
      <c r="AM277" s="687"/>
      <c r="AN277" s="687"/>
      <c r="AO277" s="687"/>
      <c r="AP277" s="687"/>
      <c r="AQ277" s="687"/>
      <c r="AR277" s="687"/>
      <c r="AS277" s="687"/>
      <c r="AT277" s="687"/>
      <c r="AU277" s="687"/>
      <c r="AV277" s="687"/>
      <c r="AW277" s="687"/>
      <c r="AX277" s="687"/>
      <c r="AY277" s="687"/>
      <c r="AZ277" s="687"/>
      <c r="BA277" s="687"/>
      <c r="BB277" s="687"/>
      <c r="BC277" s="687"/>
      <c r="BD277" s="687"/>
      <c r="BE277" s="687"/>
      <c r="BF277" s="687"/>
      <c r="BG277" s="687"/>
      <c r="BH277" s="687"/>
      <c r="BI277" s="687"/>
      <c r="BJ277" s="687"/>
      <c r="BK277" s="687"/>
      <c r="BL277" s="687"/>
      <c r="BM277" s="687"/>
      <c r="BN277" s="687"/>
      <c r="BO277" s="687"/>
      <c r="BP277" s="687"/>
      <c r="BQ277" s="687"/>
      <c r="BR277" s="687"/>
      <c r="BS277" s="687"/>
      <c r="BT277" s="687"/>
      <c r="BU277" s="687"/>
      <c r="BV277" s="687"/>
      <c r="BW277" s="687"/>
      <c r="BX277" s="687"/>
      <c r="BY277" s="687"/>
      <c r="BZ277" s="687"/>
      <c r="CA277" s="687"/>
      <c r="CB277" s="687"/>
      <c r="CC277" s="687"/>
      <c r="CD277" s="687"/>
      <c r="CE277" s="687"/>
      <c r="CF277" s="687"/>
      <c r="CG277" s="687"/>
      <c r="CH277" s="687"/>
    </row>
    <row r="278" spans="1:86" ht="15.75" customHeight="1" outlineLevel="1" x14ac:dyDescent="0.35">
      <c r="A278" s="687"/>
      <c r="B278" s="696"/>
      <c r="C278" s="393" t="s">
        <v>1617</v>
      </c>
      <c r="D278" s="766"/>
      <c r="E278" s="1039">
        <v>7910</v>
      </c>
      <c r="F278" s="870"/>
      <c r="G278" s="758"/>
      <c r="H278" s="687"/>
      <c r="I278" s="687"/>
      <c r="J278" s="687"/>
      <c r="K278" s="687"/>
      <c r="L278" s="687"/>
      <c r="M278" s="687"/>
      <c r="N278" s="687"/>
      <c r="O278" s="687"/>
      <c r="P278" s="687"/>
      <c r="Q278" s="687"/>
      <c r="R278" s="687"/>
      <c r="S278" s="687"/>
      <c r="T278" s="687"/>
      <c r="U278" s="687"/>
      <c r="V278" s="687"/>
      <c r="W278" s="687"/>
      <c r="X278" s="687"/>
      <c r="Y278" s="687"/>
      <c r="Z278" s="687"/>
      <c r="AA278" s="687"/>
      <c r="AB278" s="687"/>
      <c r="AC278" s="687"/>
      <c r="AD278" s="687"/>
      <c r="AE278" s="687"/>
      <c r="AF278" s="687"/>
      <c r="AG278" s="687"/>
      <c r="AH278" s="687"/>
      <c r="AI278" s="687"/>
      <c r="AJ278" s="687"/>
      <c r="AK278" s="687"/>
      <c r="AL278" s="687"/>
      <c r="AM278" s="687"/>
      <c r="AN278" s="687"/>
      <c r="AO278" s="687"/>
      <c r="AP278" s="687"/>
      <c r="AQ278" s="687"/>
      <c r="AR278" s="687"/>
      <c r="AS278" s="687"/>
      <c r="AT278" s="687"/>
      <c r="AU278" s="687"/>
      <c r="AV278" s="687"/>
      <c r="AW278" s="687"/>
      <c r="AX278" s="687"/>
      <c r="AY278" s="687"/>
      <c r="AZ278" s="687"/>
      <c r="BA278" s="687"/>
      <c r="BB278" s="687"/>
      <c r="BC278" s="687"/>
      <c r="BD278" s="687"/>
      <c r="BE278" s="687"/>
      <c r="BF278" s="687"/>
      <c r="BG278" s="687"/>
      <c r="BH278" s="687"/>
      <c r="BI278" s="687"/>
      <c r="BJ278" s="687"/>
      <c r="BK278" s="687"/>
      <c r="BL278" s="687"/>
      <c r="BM278" s="687"/>
      <c r="BN278" s="687"/>
      <c r="BO278" s="687"/>
      <c r="BP278" s="687"/>
      <c r="BQ278" s="687"/>
      <c r="BR278" s="687"/>
      <c r="BS278" s="687"/>
      <c r="BT278" s="687"/>
      <c r="BU278" s="687"/>
      <c r="BV278" s="687"/>
      <c r="BW278" s="687"/>
      <c r="BX278" s="687"/>
      <c r="BY278" s="687"/>
      <c r="BZ278" s="687"/>
      <c r="CA278" s="687"/>
      <c r="CB278" s="687"/>
      <c r="CC278" s="687"/>
      <c r="CD278" s="687"/>
      <c r="CE278" s="687"/>
      <c r="CF278" s="687"/>
      <c r="CG278" s="687"/>
      <c r="CH278" s="687"/>
    </row>
    <row r="279" spans="1:86" ht="15.75" customHeight="1" outlineLevel="1" x14ac:dyDescent="0.35">
      <c r="A279" s="687"/>
      <c r="B279" s="696"/>
      <c r="C279" s="393" t="s">
        <v>1618</v>
      </c>
      <c r="D279" s="766"/>
      <c r="E279" s="1039">
        <v>7190</v>
      </c>
      <c r="F279" s="870"/>
      <c r="G279" s="758"/>
      <c r="H279" s="687"/>
      <c r="I279" s="687"/>
      <c r="J279" s="687"/>
      <c r="K279" s="687"/>
      <c r="L279" s="687"/>
      <c r="M279" s="687"/>
      <c r="N279" s="687"/>
      <c r="O279" s="687"/>
      <c r="P279" s="687"/>
      <c r="Q279" s="687"/>
      <c r="R279" s="687"/>
      <c r="S279" s="687"/>
      <c r="T279" s="687"/>
      <c r="U279" s="687"/>
      <c r="V279" s="687"/>
      <c r="W279" s="687"/>
      <c r="X279" s="687"/>
      <c r="Y279" s="687"/>
      <c r="Z279" s="687"/>
      <c r="AA279" s="687"/>
      <c r="AB279" s="687"/>
      <c r="AC279" s="687"/>
      <c r="AD279" s="687"/>
      <c r="AE279" s="687"/>
      <c r="AF279" s="687"/>
      <c r="AG279" s="687"/>
      <c r="AH279" s="687"/>
      <c r="AI279" s="687"/>
      <c r="AJ279" s="687"/>
      <c r="AK279" s="687"/>
      <c r="AL279" s="687"/>
      <c r="AM279" s="687"/>
      <c r="AN279" s="687"/>
      <c r="AO279" s="687"/>
      <c r="AP279" s="687"/>
      <c r="AQ279" s="687"/>
      <c r="AR279" s="687"/>
      <c r="AS279" s="687"/>
      <c r="AT279" s="687"/>
      <c r="AU279" s="687"/>
      <c r="AV279" s="687"/>
      <c r="AW279" s="687"/>
      <c r="AX279" s="687"/>
      <c r="AY279" s="687"/>
      <c r="AZ279" s="687"/>
      <c r="BA279" s="687"/>
      <c r="BB279" s="687"/>
      <c r="BC279" s="687"/>
      <c r="BD279" s="687"/>
      <c r="BE279" s="687"/>
      <c r="BF279" s="687"/>
      <c r="BG279" s="687"/>
      <c r="BH279" s="687"/>
      <c r="BI279" s="687"/>
      <c r="BJ279" s="687"/>
      <c r="BK279" s="687"/>
      <c r="BL279" s="687"/>
      <c r="BM279" s="687"/>
      <c r="BN279" s="687"/>
      <c r="BO279" s="687"/>
      <c r="BP279" s="687"/>
      <c r="BQ279" s="687"/>
      <c r="BR279" s="687"/>
      <c r="BS279" s="687"/>
      <c r="BT279" s="687"/>
      <c r="BU279" s="687"/>
      <c r="BV279" s="687"/>
      <c r="BW279" s="687"/>
      <c r="BX279" s="687"/>
      <c r="BY279" s="687"/>
      <c r="BZ279" s="687"/>
      <c r="CA279" s="687"/>
      <c r="CB279" s="687"/>
      <c r="CC279" s="687"/>
      <c r="CD279" s="687"/>
      <c r="CE279" s="687"/>
      <c r="CF279" s="687"/>
      <c r="CG279" s="687"/>
      <c r="CH279" s="687"/>
    </row>
    <row r="280" spans="1:86" ht="15.75" customHeight="1" outlineLevel="1" x14ac:dyDescent="0.35">
      <c r="A280" s="687"/>
      <c r="B280" s="696"/>
      <c r="C280" s="470" t="s">
        <v>1384</v>
      </c>
      <c r="D280" s="766"/>
      <c r="E280" s="1039">
        <v>17400</v>
      </c>
      <c r="F280" s="870"/>
      <c r="G280" s="758"/>
      <c r="H280" s="687"/>
      <c r="I280" s="687"/>
      <c r="J280" s="687"/>
      <c r="K280" s="687"/>
      <c r="L280" s="687"/>
      <c r="M280" s="687"/>
      <c r="N280" s="687"/>
      <c r="O280" s="687"/>
      <c r="P280" s="687"/>
      <c r="Q280" s="687"/>
      <c r="R280" s="687"/>
      <c r="S280" s="687"/>
      <c r="T280" s="687"/>
      <c r="U280" s="687"/>
      <c r="V280" s="687"/>
      <c r="W280" s="687"/>
      <c r="X280" s="687"/>
      <c r="Y280" s="687"/>
      <c r="Z280" s="687"/>
      <c r="AA280" s="687"/>
      <c r="AB280" s="687"/>
      <c r="AC280" s="687"/>
      <c r="AD280" s="687"/>
      <c r="AE280" s="687"/>
      <c r="AF280" s="687"/>
      <c r="AG280" s="687"/>
      <c r="AH280" s="687"/>
      <c r="AI280" s="687"/>
      <c r="AJ280" s="687"/>
      <c r="AK280" s="687"/>
      <c r="AL280" s="687"/>
      <c r="AM280" s="687"/>
      <c r="AN280" s="687"/>
      <c r="AO280" s="687"/>
      <c r="AP280" s="687"/>
      <c r="AQ280" s="687"/>
      <c r="AR280" s="687"/>
      <c r="AS280" s="687"/>
      <c r="AT280" s="687"/>
      <c r="AU280" s="687"/>
      <c r="AV280" s="687"/>
      <c r="AW280" s="687"/>
      <c r="AX280" s="687"/>
      <c r="AY280" s="687"/>
      <c r="AZ280" s="687"/>
      <c r="BA280" s="687"/>
      <c r="BB280" s="687"/>
      <c r="BC280" s="687"/>
      <c r="BD280" s="687"/>
      <c r="BE280" s="687"/>
      <c r="BF280" s="687"/>
      <c r="BG280" s="687"/>
      <c r="BH280" s="687"/>
      <c r="BI280" s="687"/>
      <c r="BJ280" s="687"/>
      <c r="BK280" s="687"/>
      <c r="BL280" s="687"/>
      <c r="BM280" s="687"/>
      <c r="BN280" s="687"/>
      <c r="BO280" s="687"/>
      <c r="BP280" s="687"/>
      <c r="BQ280" s="687"/>
      <c r="BR280" s="687"/>
      <c r="BS280" s="687"/>
      <c r="BT280" s="687"/>
      <c r="BU280" s="687"/>
      <c r="BV280" s="687"/>
      <c r="BW280" s="687"/>
      <c r="BX280" s="687"/>
      <c r="BY280" s="687"/>
      <c r="BZ280" s="687"/>
      <c r="CA280" s="687"/>
      <c r="CB280" s="687"/>
      <c r="CC280" s="687"/>
      <c r="CD280" s="687"/>
      <c r="CE280" s="687"/>
      <c r="CF280" s="687"/>
      <c r="CG280" s="687"/>
      <c r="CH280" s="687"/>
    </row>
    <row r="281" spans="1:86" ht="15.75" customHeight="1" outlineLevel="1" x14ac:dyDescent="0.35">
      <c r="A281" s="687"/>
      <c r="B281" s="696"/>
      <c r="C281" s="393" t="s">
        <v>1385</v>
      </c>
      <c r="D281" s="773"/>
      <c r="E281" s="1039">
        <v>9200</v>
      </c>
      <c r="F281" s="870"/>
      <c r="G281" s="758"/>
      <c r="H281" s="687"/>
      <c r="I281" s="687"/>
      <c r="J281" s="687"/>
      <c r="K281" s="687"/>
      <c r="L281" s="687"/>
      <c r="M281" s="687"/>
      <c r="N281" s="687"/>
      <c r="O281" s="687"/>
      <c r="P281" s="687"/>
      <c r="Q281" s="687"/>
      <c r="R281" s="687"/>
      <c r="S281" s="687"/>
      <c r="T281" s="687"/>
      <c r="U281" s="687"/>
      <c r="V281" s="687"/>
      <c r="W281" s="687"/>
      <c r="X281" s="687"/>
      <c r="Y281" s="687"/>
      <c r="Z281" s="687"/>
      <c r="AA281" s="687"/>
      <c r="AB281" s="687"/>
      <c r="AC281" s="687"/>
      <c r="AD281" s="687"/>
      <c r="AE281" s="687"/>
      <c r="AF281" s="687"/>
      <c r="AG281" s="687"/>
      <c r="AH281" s="687"/>
      <c r="AI281" s="687"/>
      <c r="AJ281" s="687"/>
      <c r="AK281" s="687"/>
      <c r="AL281" s="687"/>
      <c r="AM281" s="687"/>
      <c r="AN281" s="687"/>
      <c r="AO281" s="687"/>
      <c r="AP281" s="687"/>
      <c r="AQ281" s="687"/>
      <c r="AR281" s="687"/>
      <c r="AS281" s="687"/>
      <c r="AT281" s="687"/>
      <c r="AU281" s="687"/>
      <c r="AV281" s="687"/>
      <c r="AW281" s="687"/>
      <c r="AX281" s="687"/>
      <c r="AY281" s="687"/>
      <c r="AZ281" s="687"/>
      <c r="BA281" s="687"/>
      <c r="BB281" s="687"/>
      <c r="BC281" s="687"/>
      <c r="BD281" s="687"/>
      <c r="BE281" s="687"/>
      <c r="BF281" s="687"/>
      <c r="BG281" s="687"/>
      <c r="BH281" s="687"/>
      <c r="BI281" s="687"/>
      <c r="BJ281" s="687"/>
      <c r="BK281" s="687"/>
      <c r="BL281" s="687"/>
      <c r="BM281" s="687"/>
      <c r="BN281" s="687"/>
      <c r="BO281" s="687"/>
      <c r="BP281" s="687"/>
      <c r="BQ281" s="687"/>
      <c r="BR281" s="687"/>
      <c r="BS281" s="687"/>
      <c r="BT281" s="687"/>
      <c r="BU281" s="687"/>
      <c r="BV281" s="687"/>
      <c r="BW281" s="687"/>
      <c r="BX281" s="687"/>
      <c r="BY281" s="687"/>
      <c r="BZ281" s="687"/>
      <c r="CA281" s="687"/>
      <c r="CB281" s="687"/>
      <c r="CC281" s="687"/>
      <c r="CD281" s="687"/>
      <c r="CE281" s="687"/>
      <c r="CF281" s="687"/>
      <c r="CG281" s="687"/>
      <c r="CH281" s="687"/>
    </row>
    <row r="282" spans="1:86" ht="15.75" customHeight="1" outlineLevel="1" x14ac:dyDescent="0.35">
      <c r="A282" s="687"/>
      <c r="B282" s="696"/>
      <c r="C282" s="1032" t="s">
        <v>76</v>
      </c>
      <c r="D282" s="771" t="s">
        <v>77</v>
      </c>
      <c r="E282" s="1039">
        <v>0</v>
      </c>
      <c r="F282" s="871"/>
      <c r="G282" s="758"/>
      <c r="H282" s="687"/>
      <c r="I282" s="687"/>
      <c r="J282" s="687"/>
      <c r="K282" s="687"/>
      <c r="L282" s="687"/>
      <c r="M282" s="687"/>
      <c r="N282" s="687"/>
      <c r="O282" s="687"/>
      <c r="P282" s="687"/>
      <c r="Q282" s="687"/>
      <c r="R282" s="687"/>
      <c r="S282" s="687"/>
      <c r="T282" s="687"/>
      <c r="U282" s="687"/>
      <c r="V282" s="687"/>
      <c r="W282" s="687"/>
      <c r="X282" s="687"/>
      <c r="Y282" s="687"/>
      <c r="Z282" s="687"/>
      <c r="AA282" s="687"/>
      <c r="AB282" s="687"/>
      <c r="AC282" s="687"/>
      <c r="AD282" s="687"/>
      <c r="AE282" s="687"/>
      <c r="AF282" s="687"/>
      <c r="AG282" s="687"/>
      <c r="AH282" s="687"/>
      <c r="AI282" s="687"/>
      <c r="AJ282" s="687"/>
      <c r="AK282" s="687"/>
      <c r="AL282" s="687"/>
      <c r="AM282" s="687"/>
      <c r="AN282" s="687"/>
      <c r="AO282" s="687"/>
      <c r="AP282" s="687"/>
      <c r="AQ282" s="687"/>
      <c r="AR282" s="687"/>
      <c r="AS282" s="687"/>
      <c r="AT282" s="687"/>
      <c r="AU282" s="687"/>
      <c r="AV282" s="687"/>
      <c r="AW282" s="687"/>
      <c r="AX282" s="687"/>
      <c r="AY282" s="687"/>
      <c r="AZ282" s="687"/>
      <c r="BA282" s="687"/>
      <c r="BB282" s="687"/>
      <c r="BC282" s="687"/>
      <c r="BD282" s="687"/>
      <c r="BE282" s="687"/>
      <c r="BF282" s="687"/>
      <c r="BG282" s="687"/>
      <c r="BH282" s="687"/>
      <c r="BI282" s="687"/>
      <c r="BJ282" s="687"/>
      <c r="BK282" s="687"/>
      <c r="BL282" s="687"/>
      <c r="BM282" s="687"/>
      <c r="BN282" s="687"/>
      <c r="BO282" s="687"/>
      <c r="BP282" s="687"/>
      <c r="BQ282" s="687"/>
      <c r="BR282" s="687"/>
      <c r="BS282" s="687"/>
      <c r="BT282" s="687"/>
      <c r="BU282" s="687"/>
      <c r="BV282" s="687"/>
      <c r="BW282" s="687"/>
      <c r="BX282" s="687"/>
      <c r="BY282" s="687"/>
      <c r="BZ282" s="687"/>
      <c r="CA282" s="687"/>
      <c r="CB282" s="687"/>
      <c r="CC282" s="687"/>
      <c r="CD282" s="687"/>
      <c r="CE282" s="687"/>
      <c r="CF282" s="687"/>
      <c r="CG282" s="687"/>
      <c r="CH282" s="687"/>
    </row>
    <row r="283" spans="1:86" ht="15.75" customHeight="1" outlineLevel="1" x14ac:dyDescent="0.35">
      <c r="A283" s="687"/>
      <c r="B283" s="696"/>
      <c r="C283" s="655" t="s">
        <v>78</v>
      </c>
      <c r="D283" s="766"/>
      <c r="E283" s="1039">
        <v>16.12</v>
      </c>
      <c r="F283" s="871"/>
      <c r="G283" s="758"/>
      <c r="H283" s="687"/>
      <c r="I283" s="687"/>
      <c r="J283" s="687"/>
      <c r="K283" s="687"/>
      <c r="L283" s="687"/>
      <c r="M283" s="687"/>
      <c r="N283" s="687"/>
      <c r="O283" s="687"/>
      <c r="P283" s="687"/>
      <c r="Q283" s="687"/>
      <c r="R283" s="687"/>
      <c r="S283" s="687"/>
      <c r="T283" s="687"/>
      <c r="U283" s="687"/>
      <c r="V283" s="687"/>
      <c r="W283" s="687"/>
      <c r="X283" s="687"/>
      <c r="Y283" s="687"/>
      <c r="Z283" s="687"/>
      <c r="AA283" s="687"/>
      <c r="AB283" s="687"/>
      <c r="AC283" s="687"/>
      <c r="AD283" s="687"/>
      <c r="AE283" s="687"/>
      <c r="AF283" s="687"/>
      <c r="AG283" s="687"/>
      <c r="AH283" s="687"/>
      <c r="AI283" s="687"/>
      <c r="AJ283" s="687"/>
      <c r="AK283" s="687"/>
      <c r="AL283" s="687"/>
      <c r="AM283" s="687"/>
      <c r="AN283" s="687"/>
      <c r="AO283" s="687"/>
      <c r="AP283" s="687"/>
      <c r="AQ283" s="687"/>
      <c r="AR283" s="687"/>
      <c r="AS283" s="687"/>
      <c r="AT283" s="687"/>
      <c r="AU283" s="687"/>
      <c r="AV283" s="687"/>
      <c r="AW283" s="687"/>
      <c r="AX283" s="687"/>
      <c r="AY283" s="687"/>
      <c r="AZ283" s="687"/>
      <c r="BA283" s="687"/>
      <c r="BB283" s="687"/>
      <c r="BC283" s="687"/>
      <c r="BD283" s="687"/>
      <c r="BE283" s="687"/>
      <c r="BF283" s="687"/>
      <c r="BG283" s="687"/>
      <c r="BH283" s="687"/>
      <c r="BI283" s="687"/>
      <c r="BJ283" s="687"/>
      <c r="BK283" s="687"/>
      <c r="BL283" s="687"/>
      <c r="BM283" s="687"/>
      <c r="BN283" s="687"/>
      <c r="BO283" s="687"/>
      <c r="BP283" s="687"/>
      <c r="BQ283" s="687"/>
      <c r="BR283" s="687"/>
      <c r="BS283" s="687"/>
      <c r="BT283" s="687"/>
      <c r="BU283" s="687"/>
      <c r="BV283" s="687"/>
      <c r="BW283" s="687"/>
      <c r="BX283" s="687"/>
      <c r="BY283" s="687"/>
      <c r="BZ283" s="687"/>
      <c r="CA283" s="687"/>
      <c r="CB283" s="687"/>
      <c r="CC283" s="687"/>
      <c r="CD283" s="687"/>
      <c r="CE283" s="687"/>
      <c r="CF283" s="687"/>
      <c r="CG283" s="687"/>
      <c r="CH283" s="687"/>
    </row>
    <row r="284" spans="1:86" ht="15.75" customHeight="1" outlineLevel="1" x14ac:dyDescent="0.35">
      <c r="A284" s="687"/>
      <c r="B284" s="696"/>
      <c r="C284" s="655" t="s">
        <v>79</v>
      </c>
      <c r="D284" s="766"/>
      <c r="E284" s="1039">
        <v>13.64</v>
      </c>
      <c r="F284" s="871"/>
      <c r="G284" s="758"/>
      <c r="H284" s="687"/>
      <c r="I284" s="687"/>
      <c r="J284" s="687"/>
      <c r="K284" s="687"/>
      <c r="L284" s="687"/>
      <c r="M284" s="687"/>
      <c r="N284" s="687"/>
      <c r="O284" s="687"/>
      <c r="P284" s="687"/>
      <c r="Q284" s="687"/>
      <c r="R284" s="687"/>
      <c r="S284" s="687"/>
      <c r="T284" s="687"/>
      <c r="U284" s="687"/>
      <c r="V284" s="687"/>
      <c r="W284" s="687"/>
      <c r="X284" s="687"/>
      <c r="Y284" s="687"/>
      <c r="Z284" s="687"/>
      <c r="AA284" s="687"/>
      <c r="AB284" s="687"/>
      <c r="AC284" s="687"/>
      <c r="AD284" s="687"/>
      <c r="AE284" s="687"/>
      <c r="AF284" s="687"/>
      <c r="AG284" s="687"/>
      <c r="AH284" s="687"/>
      <c r="AI284" s="687"/>
      <c r="AJ284" s="687"/>
      <c r="AK284" s="687"/>
      <c r="AL284" s="687"/>
      <c r="AM284" s="687"/>
      <c r="AN284" s="687"/>
      <c r="AO284" s="687"/>
      <c r="AP284" s="687"/>
      <c r="AQ284" s="687"/>
      <c r="AR284" s="687"/>
      <c r="AS284" s="687"/>
      <c r="AT284" s="687"/>
      <c r="AU284" s="687"/>
      <c r="AV284" s="687"/>
      <c r="AW284" s="687"/>
      <c r="AX284" s="687"/>
      <c r="AY284" s="687"/>
      <c r="AZ284" s="687"/>
      <c r="BA284" s="687"/>
      <c r="BB284" s="687"/>
      <c r="BC284" s="687"/>
      <c r="BD284" s="687"/>
      <c r="BE284" s="687"/>
      <c r="BF284" s="687"/>
      <c r="BG284" s="687"/>
      <c r="BH284" s="687"/>
      <c r="BI284" s="687"/>
      <c r="BJ284" s="687"/>
      <c r="BK284" s="687"/>
      <c r="BL284" s="687"/>
      <c r="BM284" s="687"/>
      <c r="BN284" s="687"/>
      <c r="BO284" s="687"/>
      <c r="BP284" s="687"/>
      <c r="BQ284" s="687"/>
      <c r="BR284" s="687"/>
      <c r="BS284" s="687"/>
      <c r="BT284" s="687"/>
      <c r="BU284" s="687"/>
      <c r="BV284" s="687"/>
      <c r="BW284" s="687"/>
      <c r="BX284" s="687"/>
      <c r="BY284" s="687"/>
      <c r="BZ284" s="687"/>
      <c r="CA284" s="687"/>
      <c r="CB284" s="687"/>
      <c r="CC284" s="687"/>
      <c r="CD284" s="687"/>
      <c r="CE284" s="687"/>
      <c r="CF284" s="687"/>
      <c r="CG284" s="687"/>
      <c r="CH284" s="687"/>
    </row>
    <row r="285" spans="1:86" ht="15.75" customHeight="1" outlineLevel="1" x14ac:dyDescent="0.35">
      <c r="A285" s="687"/>
      <c r="B285" s="696"/>
      <c r="C285" s="655" t="s">
        <v>80</v>
      </c>
      <c r="D285" s="766"/>
      <c r="E285" s="1039">
        <v>18.599999999999998</v>
      </c>
      <c r="F285" s="871"/>
      <c r="G285" s="758"/>
      <c r="H285" s="687"/>
      <c r="I285" s="687"/>
      <c r="J285" s="687"/>
      <c r="K285" s="687"/>
      <c r="L285" s="687"/>
      <c r="M285" s="687"/>
      <c r="N285" s="687"/>
      <c r="O285" s="687"/>
      <c r="P285" s="687"/>
      <c r="Q285" s="687"/>
      <c r="R285" s="687"/>
      <c r="S285" s="687"/>
      <c r="T285" s="687"/>
      <c r="U285" s="687"/>
      <c r="V285" s="687"/>
      <c r="W285" s="687"/>
      <c r="X285" s="687"/>
      <c r="Y285" s="687"/>
      <c r="Z285" s="687"/>
      <c r="AA285" s="687"/>
      <c r="AB285" s="687"/>
      <c r="AC285" s="687"/>
      <c r="AD285" s="687"/>
      <c r="AE285" s="687"/>
      <c r="AF285" s="687"/>
      <c r="AG285" s="687"/>
      <c r="AH285" s="687"/>
      <c r="AI285" s="687"/>
      <c r="AJ285" s="687"/>
      <c r="AK285" s="687"/>
      <c r="AL285" s="687"/>
      <c r="AM285" s="687"/>
      <c r="AN285" s="687"/>
      <c r="AO285" s="687"/>
      <c r="AP285" s="687"/>
      <c r="AQ285" s="687"/>
      <c r="AR285" s="687"/>
      <c r="AS285" s="687"/>
      <c r="AT285" s="687"/>
      <c r="AU285" s="687"/>
      <c r="AV285" s="687"/>
      <c r="AW285" s="687"/>
      <c r="AX285" s="687"/>
      <c r="AY285" s="687"/>
      <c r="AZ285" s="687"/>
      <c r="BA285" s="687"/>
      <c r="BB285" s="687"/>
      <c r="BC285" s="687"/>
      <c r="BD285" s="687"/>
      <c r="BE285" s="687"/>
      <c r="BF285" s="687"/>
      <c r="BG285" s="687"/>
      <c r="BH285" s="687"/>
      <c r="BI285" s="687"/>
      <c r="BJ285" s="687"/>
      <c r="BK285" s="687"/>
      <c r="BL285" s="687"/>
      <c r="BM285" s="687"/>
      <c r="BN285" s="687"/>
      <c r="BO285" s="687"/>
      <c r="BP285" s="687"/>
      <c r="BQ285" s="687"/>
      <c r="BR285" s="687"/>
      <c r="BS285" s="687"/>
      <c r="BT285" s="687"/>
      <c r="BU285" s="687"/>
      <c r="BV285" s="687"/>
      <c r="BW285" s="687"/>
      <c r="BX285" s="687"/>
      <c r="BY285" s="687"/>
      <c r="BZ285" s="687"/>
      <c r="CA285" s="687"/>
      <c r="CB285" s="687"/>
      <c r="CC285" s="687"/>
      <c r="CD285" s="687"/>
      <c r="CE285" s="687"/>
      <c r="CF285" s="687"/>
      <c r="CG285" s="687"/>
      <c r="CH285" s="687"/>
    </row>
    <row r="286" spans="1:86" ht="15.75" customHeight="1" outlineLevel="1" x14ac:dyDescent="0.35">
      <c r="A286" s="687"/>
      <c r="B286" s="696"/>
      <c r="C286" s="655" t="s">
        <v>81</v>
      </c>
      <c r="D286" s="766"/>
      <c r="E286" s="1039">
        <v>2100</v>
      </c>
      <c r="F286" s="871"/>
      <c r="G286" s="758"/>
      <c r="H286" s="687"/>
      <c r="I286" s="687"/>
      <c r="J286" s="687"/>
      <c r="K286" s="687"/>
      <c r="L286" s="687"/>
      <c r="M286" s="687"/>
      <c r="N286" s="687"/>
      <c r="O286" s="687"/>
      <c r="P286" s="687"/>
      <c r="Q286" s="687"/>
      <c r="R286" s="687"/>
      <c r="S286" s="687"/>
      <c r="T286" s="687"/>
      <c r="U286" s="687"/>
      <c r="V286" s="687"/>
      <c r="W286" s="687"/>
      <c r="X286" s="687"/>
      <c r="Y286" s="687"/>
      <c r="Z286" s="687"/>
      <c r="AA286" s="687"/>
      <c r="AB286" s="687"/>
      <c r="AC286" s="687"/>
      <c r="AD286" s="687"/>
      <c r="AE286" s="687"/>
      <c r="AF286" s="687"/>
      <c r="AG286" s="687"/>
      <c r="AH286" s="687"/>
      <c r="AI286" s="687"/>
      <c r="AJ286" s="687"/>
      <c r="AK286" s="687"/>
      <c r="AL286" s="687"/>
      <c r="AM286" s="687"/>
      <c r="AN286" s="687"/>
      <c r="AO286" s="687"/>
      <c r="AP286" s="687"/>
      <c r="AQ286" s="687"/>
      <c r="AR286" s="687"/>
      <c r="AS286" s="687"/>
      <c r="AT286" s="687"/>
      <c r="AU286" s="687"/>
      <c r="AV286" s="687"/>
      <c r="AW286" s="687"/>
      <c r="AX286" s="687"/>
      <c r="AY286" s="687"/>
      <c r="AZ286" s="687"/>
      <c r="BA286" s="687"/>
      <c r="BB286" s="687"/>
      <c r="BC286" s="687"/>
      <c r="BD286" s="687"/>
      <c r="BE286" s="687"/>
      <c r="BF286" s="687"/>
      <c r="BG286" s="687"/>
      <c r="BH286" s="687"/>
      <c r="BI286" s="687"/>
      <c r="BJ286" s="687"/>
      <c r="BK286" s="687"/>
      <c r="BL286" s="687"/>
      <c r="BM286" s="687"/>
      <c r="BN286" s="687"/>
      <c r="BO286" s="687"/>
      <c r="BP286" s="687"/>
      <c r="BQ286" s="687"/>
      <c r="BR286" s="687"/>
      <c r="BS286" s="687"/>
      <c r="BT286" s="687"/>
      <c r="BU286" s="687"/>
      <c r="BV286" s="687"/>
      <c r="BW286" s="687"/>
      <c r="BX286" s="687"/>
      <c r="BY286" s="687"/>
      <c r="BZ286" s="687"/>
      <c r="CA286" s="687"/>
      <c r="CB286" s="687"/>
      <c r="CC286" s="687"/>
      <c r="CD286" s="687"/>
      <c r="CE286" s="687"/>
      <c r="CF286" s="687"/>
      <c r="CG286" s="687"/>
      <c r="CH286" s="687"/>
    </row>
    <row r="287" spans="1:86" ht="15.75" customHeight="1" outlineLevel="1" x14ac:dyDescent="0.35">
      <c r="A287" s="687"/>
      <c r="B287" s="696"/>
      <c r="C287" s="655" t="s">
        <v>82</v>
      </c>
      <c r="D287" s="766"/>
      <c r="E287" s="1039">
        <v>1330</v>
      </c>
      <c r="F287" s="871"/>
      <c r="G287" s="758"/>
      <c r="H287" s="687"/>
      <c r="I287" s="687"/>
      <c r="J287" s="687"/>
      <c r="K287" s="687"/>
      <c r="L287" s="687"/>
      <c r="M287" s="687"/>
      <c r="N287" s="687"/>
      <c r="O287" s="687"/>
      <c r="P287" s="687"/>
      <c r="Q287" s="687"/>
      <c r="R287" s="687"/>
      <c r="S287" s="687"/>
      <c r="T287" s="687"/>
      <c r="U287" s="687"/>
      <c r="V287" s="687"/>
      <c r="W287" s="687"/>
      <c r="X287" s="687"/>
      <c r="Y287" s="687"/>
      <c r="Z287" s="687"/>
      <c r="AA287" s="687"/>
      <c r="AB287" s="687"/>
      <c r="AC287" s="687"/>
      <c r="AD287" s="687"/>
      <c r="AE287" s="687"/>
      <c r="AF287" s="687"/>
      <c r="AG287" s="687"/>
      <c r="AH287" s="687"/>
      <c r="AI287" s="687"/>
      <c r="AJ287" s="687"/>
      <c r="AK287" s="687"/>
      <c r="AL287" s="687"/>
      <c r="AM287" s="687"/>
      <c r="AN287" s="687"/>
      <c r="AO287" s="687"/>
      <c r="AP287" s="687"/>
      <c r="AQ287" s="687"/>
      <c r="AR287" s="687"/>
      <c r="AS287" s="687"/>
      <c r="AT287" s="687"/>
      <c r="AU287" s="687"/>
      <c r="AV287" s="687"/>
      <c r="AW287" s="687"/>
      <c r="AX287" s="687"/>
      <c r="AY287" s="687"/>
      <c r="AZ287" s="687"/>
      <c r="BA287" s="687"/>
      <c r="BB287" s="687"/>
      <c r="BC287" s="687"/>
      <c r="BD287" s="687"/>
      <c r="BE287" s="687"/>
      <c r="BF287" s="687"/>
      <c r="BG287" s="687"/>
      <c r="BH287" s="687"/>
      <c r="BI287" s="687"/>
      <c r="BJ287" s="687"/>
      <c r="BK287" s="687"/>
      <c r="BL287" s="687"/>
      <c r="BM287" s="687"/>
      <c r="BN287" s="687"/>
      <c r="BO287" s="687"/>
      <c r="BP287" s="687"/>
      <c r="BQ287" s="687"/>
      <c r="BR287" s="687"/>
      <c r="BS287" s="687"/>
      <c r="BT287" s="687"/>
      <c r="BU287" s="687"/>
      <c r="BV287" s="687"/>
      <c r="BW287" s="687"/>
      <c r="BX287" s="687"/>
      <c r="BY287" s="687"/>
      <c r="BZ287" s="687"/>
      <c r="CA287" s="687"/>
      <c r="CB287" s="687"/>
      <c r="CC287" s="687"/>
      <c r="CD287" s="687"/>
      <c r="CE287" s="687"/>
      <c r="CF287" s="687"/>
      <c r="CG287" s="687"/>
      <c r="CH287" s="687"/>
    </row>
    <row r="288" spans="1:86" ht="15.75" customHeight="1" outlineLevel="1" x14ac:dyDescent="0.35">
      <c r="A288" s="687"/>
      <c r="B288" s="696"/>
      <c r="C288" s="655" t="s">
        <v>83</v>
      </c>
      <c r="D288" s="766"/>
      <c r="E288" s="1039">
        <v>1766</v>
      </c>
      <c r="F288" s="871"/>
      <c r="G288" s="758"/>
      <c r="H288" s="687"/>
      <c r="I288" s="687"/>
      <c r="J288" s="687"/>
      <c r="K288" s="687"/>
      <c r="L288" s="687"/>
      <c r="M288" s="687"/>
      <c r="N288" s="687"/>
      <c r="O288" s="687"/>
      <c r="P288" s="687"/>
      <c r="Q288" s="687"/>
      <c r="R288" s="687"/>
      <c r="S288" s="687"/>
      <c r="T288" s="687"/>
      <c r="U288" s="687"/>
      <c r="V288" s="687"/>
      <c r="W288" s="687"/>
      <c r="X288" s="687"/>
      <c r="Y288" s="687"/>
      <c r="Z288" s="687"/>
      <c r="AA288" s="687"/>
      <c r="AB288" s="687"/>
      <c r="AC288" s="687"/>
      <c r="AD288" s="687"/>
      <c r="AE288" s="687"/>
      <c r="AF288" s="687"/>
      <c r="AG288" s="687"/>
      <c r="AH288" s="687"/>
      <c r="AI288" s="687"/>
      <c r="AJ288" s="687"/>
      <c r="AK288" s="687"/>
      <c r="AL288" s="687"/>
      <c r="AM288" s="687"/>
      <c r="AN288" s="687"/>
      <c r="AO288" s="687"/>
      <c r="AP288" s="687"/>
      <c r="AQ288" s="687"/>
      <c r="AR288" s="687"/>
      <c r="AS288" s="687"/>
      <c r="AT288" s="687"/>
      <c r="AU288" s="687"/>
      <c r="AV288" s="687"/>
      <c r="AW288" s="687"/>
      <c r="AX288" s="687"/>
      <c r="AY288" s="687"/>
      <c r="AZ288" s="687"/>
      <c r="BA288" s="687"/>
      <c r="BB288" s="687"/>
      <c r="BC288" s="687"/>
      <c r="BD288" s="687"/>
      <c r="BE288" s="687"/>
      <c r="BF288" s="687"/>
      <c r="BG288" s="687"/>
      <c r="BH288" s="687"/>
      <c r="BI288" s="687"/>
      <c r="BJ288" s="687"/>
      <c r="BK288" s="687"/>
      <c r="BL288" s="687"/>
      <c r="BM288" s="687"/>
      <c r="BN288" s="687"/>
      <c r="BO288" s="687"/>
      <c r="BP288" s="687"/>
      <c r="BQ288" s="687"/>
      <c r="BR288" s="687"/>
      <c r="BS288" s="687"/>
      <c r="BT288" s="687"/>
      <c r="BU288" s="687"/>
      <c r="BV288" s="687"/>
      <c r="BW288" s="687"/>
      <c r="BX288" s="687"/>
      <c r="BY288" s="687"/>
      <c r="BZ288" s="687"/>
      <c r="CA288" s="687"/>
      <c r="CB288" s="687"/>
      <c r="CC288" s="687"/>
      <c r="CD288" s="687"/>
      <c r="CE288" s="687"/>
      <c r="CF288" s="687"/>
      <c r="CG288" s="687"/>
      <c r="CH288" s="687"/>
    </row>
    <row r="289" spans="1:86" ht="15.75" customHeight="1" outlineLevel="1" x14ac:dyDescent="0.35">
      <c r="A289" s="687"/>
      <c r="B289" s="696"/>
      <c r="C289" s="655" t="s">
        <v>84</v>
      </c>
      <c r="D289" s="766"/>
      <c r="E289" s="1039">
        <v>3443.7000000000003</v>
      </c>
      <c r="F289" s="871"/>
      <c r="G289" s="758"/>
      <c r="H289" s="687"/>
      <c r="I289" s="687"/>
      <c r="J289" s="687"/>
      <c r="K289" s="687"/>
      <c r="L289" s="687"/>
      <c r="M289" s="687"/>
      <c r="N289" s="687"/>
      <c r="O289" s="687"/>
      <c r="P289" s="687"/>
      <c r="Q289" s="687"/>
      <c r="R289" s="687"/>
      <c r="S289" s="687"/>
      <c r="T289" s="687"/>
      <c r="U289" s="687"/>
      <c r="V289" s="687"/>
      <c r="W289" s="687"/>
      <c r="X289" s="687"/>
      <c r="Y289" s="687"/>
      <c r="Z289" s="687"/>
      <c r="AA289" s="687"/>
      <c r="AB289" s="687"/>
      <c r="AC289" s="687"/>
      <c r="AD289" s="687"/>
      <c r="AE289" s="687"/>
      <c r="AF289" s="687"/>
      <c r="AG289" s="687"/>
      <c r="AH289" s="687"/>
      <c r="AI289" s="687"/>
      <c r="AJ289" s="687"/>
      <c r="AK289" s="687"/>
      <c r="AL289" s="687"/>
      <c r="AM289" s="687"/>
      <c r="AN289" s="687"/>
      <c r="AO289" s="687"/>
      <c r="AP289" s="687"/>
      <c r="AQ289" s="687"/>
      <c r="AR289" s="687"/>
      <c r="AS289" s="687"/>
      <c r="AT289" s="687"/>
      <c r="AU289" s="687"/>
      <c r="AV289" s="687"/>
      <c r="AW289" s="687"/>
      <c r="AX289" s="687"/>
      <c r="AY289" s="687"/>
      <c r="AZ289" s="687"/>
      <c r="BA289" s="687"/>
      <c r="BB289" s="687"/>
      <c r="BC289" s="687"/>
      <c r="BD289" s="687"/>
      <c r="BE289" s="687"/>
      <c r="BF289" s="687"/>
      <c r="BG289" s="687"/>
      <c r="BH289" s="687"/>
      <c r="BI289" s="687"/>
      <c r="BJ289" s="687"/>
      <c r="BK289" s="687"/>
      <c r="BL289" s="687"/>
      <c r="BM289" s="687"/>
      <c r="BN289" s="687"/>
      <c r="BO289" s="687"/>
      <c r="BP289" s="687"/>
      <c r="BQ289" s="687"/>
      <c r="BR289" s="687"/>
      <c r="BS289" s="687"/>
      <c r="BT289" s="687"/>
      <c r="BU289" s="687"/>
      <c r="BV289" s="687"/>
      <c r="BW289" s="687"/>
      <c r="BX289" s="687"/>
      <c r="BY289" s="687"/>
      <c r="BZ289" s="687"/>
      <c r="CA289" s="687"/>
      <c r="CB289" s="687"/>
      <c r="CC289" s="687"/>
      <c r="CD289" s="687"/>
      <c r="CE289" s="687"/>
      <c r="CF289" s="687"/>
      <c r="CG289" s="687"/>
      <c r="CH289" s="687"/>
    </row>
    <row r="290" spans="1:86" ht="15.75" customHeight="1" outlineLevel="1" x14ac:dyDescent="0.35">
      <c r="A290" s="687"/>
      <c r="B290" s="696"/>
      <c r="C290" s="655" t="s">
        <v>85</v>
      </c>
      <c r="D290" s="766"/>
      <c r="E290" s="1039">
        <v>3921.6</v>
      </c>
      <c r="F290" s="871"/>
      <c r="G290" s="758"/>
      <c r="H290" s="687"/>
      <c r="I290" s="687"/>
      <c r="J290" s="687"/>
      <c r="K290" s="687"/>
      <c r="L290" s="687"/>
      <c r="M290" s="687"/>
      <c r="N290" s="687"/>
      <c r="O290" s="687"/>
      <c r="P290" s="687"/>
      <c r="Q290" s="687"/>
      <c r="R290" s="687"/>
      <c r="S290" s="687"/>
      <c r="T290" s="687"/>
      <c r="U290" s="687"/>
      <c r="V290" s="687"/>
      <c r="W290" s="687"/>
      <c r="X290" s="687"/>
      <c r="Y290" s="687"/>
      <c r="Z290" s="687"/>
      <c r="AA290" s="687"/>
      <c r="AB290" s="687"/>
      <c r="AC290" s="687"/>
      <c r="AD290" s="687"/>
      <c r="AE290" s="687"/>
      <c r="AF290" s="687"/>
      <c r="AG290" s="687"/>
      <c r="AH290" s="687"/>
      <c r="AI290" s="687"/>
      <c r="AJ290" s="687"/>
      <c r="AK290" s="687"/>
      <c r="AL290" s="687"/>
      <c r="AM290" s="687"/>
      <c r="AN290" s="687"/>
      <c r="AO290" s="687"/>
      <c r="AP290" s="687"/>
      <c r="AQ290" s="687"/>
      <c r="AR290" s="687"/>
      <c r="AS290" s="687"/>
      <c r="AT290" s="687"/>
      <c r="AU290" s="687"/>
      <c r="AV290" s="687"/>
      <c r="AW290" s="687"/>
      <c r="AX290" s="687"/>
      <c r="AY290" s="687"/>
      <c r="AZ290" s="687"/>
      <c r="BA290" s="687"/>
      <c r="BB290" s="687"/>
      <c r="BC290" s="687"/>
      <c r="BD290" s="687"/>
      <c r="BE290" s="687"/>
      <c r="BF290" s="687"/>
      <c r="BG290" s="687"/>
      <c r="BH290" s="687"/>
      <c r="BI290" s="687"/>
      <c r="BJ290" s="687"/>
      <c r="BK290" s="687"/>
      <c r="BL290" s="687"/>
      <c r="BM290" s="687"/>
      <c r="BN290" s="687"/>
      <c r="BO290" s="687"/>
      <c r="BP290" s="687"/>
      <c r="BQ290" s="687"/>
      <c r="BR290" s="687"/>
      <c r="BS290" s="687"/>
      <c r="BT290" s="687"/>
      <c r="BU290" s="687"/>
      <c r="BV290" s="687"/>
      <c r="BW290" s="687"/>
      <c r="BX290" s="687"/>
      <c r="BY290" s="687"/>
      <c r="BZ290" s="687"/>
      <c r="CA290" s="687"/>
      <c r="CB290" s="687"/>
      <c r="CC290" s="687"/>
      <c r="CD290" s="687"/>
      <c r="CE290" s="687"/>
      <c r="CF290" s="687"/>
      <c r="CG290" s="687"/>
      <c r="CH290" s="687"/>
    </row>
    <row r="291" spans="1:86" ht="15.75" customHeight="1" outlineLevel="1" x14ac:dyDescent="0.35">
      <c r="A291" s="687"/>
      <c r="B291" s="696"/>
      <c r="C291" s="655" t="s">
        <v>86</v>
      </c>
      <c r="D291" s="766"/>
      <c r="E291" s="1039">
        <v>0</v>
      </c>
      <c r="F291" s="871"/>
      <c r="G291" s="758"/>
      <c r="H291" s="687"/>
      <c r="I291" s="687"/>
      <c r="J291" s="687"/>
      <c r="K291" s="687"/>
      <c r="L291" s="687"/>
      <c r="M291" s="687"/>
      <c r="N291" s="687"/>
      <c r="O291" s="687"/>
      <c r="P291" s="687"/>
      <c r="Q291" s="687"/>
      <c r="R291" s="687"/>
      <c r="S291" s="687"/>
      <c r="T291" s="687"/>
      <c r="U291" s="687"/>
      <c r="V291" s="687"/>
      <c r="W291" s="687"/>
      <c r="X291" s="687"/>
      <c r="Y291" s="687"/>
      <c r="Z291" s="687"/>
      <c r="AA291" s="687"/>
      <c r="AB291" s="687"/>
      <c r="AC291" s="687"/>
      <c r="AD291" s="687"/>
      <c r="AE291" s="687"/>
      <c r="AF291" s="687"/>
      <c r="AG291" s="687"/>
      <c r="AH291" s="687"/>
      <c r="AI291" s="687"/>
      <c r="AJ291" s="687"/>
      <c r="AK291" s="687"/>
      <c r="AL291" s="687"/>
      <c r="AM291" s="687"/>
      <c r="AN291" s="687"/>
      <c r="AO291" s="687"/>
      <c r="AP291" s="687"/>
      <c r="AQ291" s="687"/>
      <c r="AR291" s="687"/>
      <c r="AS291" s="687"/>
      <c r="AT291" s="687"/>
      <c r="AU291" s="687"/>
      <c r="AV291" s="687"/>
      <c r="AW291" s="687"/>
      <c r="AX291" s="687"/>
      <c r="AY291" s="687"/>
      <c r="AZ291" s="687"/>
      <c r="BA291" s="687"/>
      <c r="BB291" s="687"/>
      <c r="BC291" s="687"/>
      <c r="BD291" s="687"/>
      <c r="BE291" s="687"/>
      <c r="BF291" s="687"/>
      <c r="BG291" s="687"/>
      <c r="BH291" s="687"/>
      <c r="BI291" s="687"/>
      <c r="BJ291" s="687"/>
      <c r="BK291" s="687"/>
      <c r="BL291" s="687"/>
      <c r="BM291" s="687"/>
      <c r="BN291" s="687"/>
      <c r="BO291" s="687"/>
      <c r="BP291" s="687"/>
      <c r="BQ291" s="687"/>
      <c r="BR291" s="687"/>
      <c r="BS291" s="687"/>
      <c r="BT291" s="687"/>
      <c r="BU291" s="687"/>
      <c r="BV291" s="687"/>
      <c r="BW291" s="687"/>
      <c r="BX291" s="687"/>
      <c r="BY291" s="687"/>
      <c r="BZ291" s="687"/>
      <c r="CA291" s="687"/>
      <c r="CB291" s="687"/>
      <c r="CC291" s="687"/>
      <c r="CD291" s="687"/>
      <c r="CE291" s="687"/>
      <c r="CF291" s="687"/>
      <c r="CG291" s="687"/>
      <c r="CH291" s="687"/>
    </row>
    <row r="292" spans="1:86" ht="15.75" customHeight="1" outlineLevel="1" x14ac:dyDescent="0.35">
      <c r="A292" s="687"/>
      <c r="B292" s="696"/>
      <c r="C292" s="655" t="s">
        <v>87</v>
      </c>
      <c r="D292" s="766"/>
      <c r="E292" s="1039">
        <v>2107</v>
      </c>
      <c r="F292" s="871"/>
      <c r="G292" s="758"/>
      <c r="H292" s="687"/>
      <c r="I292" s="687"/>
      <c r="J292" s="687"/>
      <c r="K292" s="687"/>
      <c r="L292" s="687"/>
      <c r="M292" s="687"/>
      <c r="N292" s="687"/>
      <c r="O292" s="687"/>
      <c r="P292" s="687"/>
      <c r="Q292" s="687"/>
      <c r="R292" s="687"/>
      <c r="S292" s="687"/>
      <c r="T292" s="687"/>
      <c r="U292" s="687"/>
      <c r="V292" s="687"/>
      <c r="W292" s="687"/>
      <c r="X292" s="687"/>
      <c r="Y292" s="687"/>
      <c r="Z292" s="687"/>
      <c r="AA292" s="687"/>
      <c r="AB292" s="687"/>
      <c r="AC292" s="687"/>
      <c r="AD292" s="687"/>
      <c r="AE292" s="687"/>
      <c r="AF292" s="687"/>
      <c r="AG292" s="687"/>
      <c r="AH292" s="687"/>
      <c r="AI292" s="687"/>
      <c r="AJ292" s="687"/>
      <c r="AK292" s="687"/>
      <c r="AL292" s="687"/>
      <c r="AM292" s="687"/>
      <c r="AN292" s="687"/>
      <c r="AO292" s="687"/>
      <c r="AP292" s="687"/>
      <c r="AQ292" s="687"/>
      <c r="AR292" s="687"/>
      <c r="AS292" s="687"/>
      <c r="AT292" s="687"/>
      <c r="AU292" s="687"/>
      <c r="AV292" s="687"/>
      <c r="AW292" s="687"/>
      <c r="AX292" s="687"/>
      <c r="AY292" s="687"/>
      <c r="AZ292" s="687"/>
      <c r="BA292" s="687"/>
      <c r="BB292" s="687"/>
      <c r="BC292" s="687"/>
      <c r="BD292" s="687"/>
      <c r="BE292" s="687"/>
      <c r="BF292" s="687"/>
      <c r="BG292" s="687"/>
      <c r="BH292" s="687"/>
      <c r="BI292" s="687"/>
      <c r="BJ292" s="687"/>
      <c r="BK292" s="687"/>
      <c r="BL292" s="687"/>
      <c r="BM292" s="687"/>
      <c r="BN292" s="687"/>
      <c r="BO292" s="687"/>
      <c r="BP292" s="687"/>
      <c r="BQ292" s="687"/>
      <c r="BR292" s="687"/>
      <c r="BS292" s="687"/>
      <c r="BT292" s="687"/>
      <c r="BU292" s="687"/>
      <c r="BV292" s="687"/>
      <c r="BW292" s="687"/>
      <c r="BX292" s="687"/>
      <c r="BY292" s="687"/>
      <c r="BZ292" s="687"/>
      <c r="CA292" s="687"/>
      <c r="CB292" s="687"/>
      <c r="CC292" s="687"/>
      <c r="CD292" s="687"/>
      <c r="CE292" s="687"/>
      <c r="CF292" s="687"/>
      <c r="CG292" s="687"/>
      <c r="CH292" s="687"/>
    </row>
    <row r="293" spans="1:86" ht="15.75" customHeight="1" outlineLevel="1" x14ac:dyDescent="0.35">
      <c r="A293" s="687"/>
      <c r="B293" s="696"/>
      <c r="C293" s="655" t="s">
        <v>88</v>
      </c>
      <c r="D293" s="766"/>
      <c r="E293" s="1039">
        <v>2803.5</v>
      </c>
      <c r="F293" s="871"/>
      <c r="G293" s="758"/>
      <c r="H293" s="687"/>
      <c r="I293" s="687"/>
      <c r="J293" s="687"/>
      <c r="K293" s="687"/>
      <c r="L293" s="687"/>
      <c r="M293" s="687"/>
      <c r="N293" s="687"/>
      <c r="O293" s="687"/>
      <c r="P293" s="687"/>
      <c r="Q293" s="687"/>
      <c r="R293" s="687"/>
      <c r="S293" s="687"/>
      <c r="T293" s="687"/>
      <c r="U293" s="687"/>
      <c r="V293" s="687"/>
      <c r="W293" s="687"/>
      <c r="X293" s="687"/>
      <c r="Y293" s="687"/>
      <c r="Z293" s="687"/>
      <c r="AA293" s="687"/>
      <c r="AB293" s="687"/>
      <c r="AC293" s="687"/>
      <c r="AD293" s="687"/>
      <c r="AE293" s="687"/>
      <c r="AF293" s="687"/>
      <c r="AG293" s="687"/>
      <c r="AH293" s="687"/>
      <c r="AI293" s="687"/>
      <c r="AJ293" s="687"/>
      <c r="AK293" s="687"/>
      <c r="AL293" s="687"/>
      <c r="AM293" s="687"/>
      <c r="AN293" s="687"/>
      <c r="AO293" s="687"/>
      <c r="AP293" s="687"/>
      <c r="AQ293" s="687"/>
      <c r="AR293" s="687"/>
      <c r="AS293" s="687"/>
      <c r="AT293" s="687"/>
      <c r="AU293" s="687"/>
      <c r="AV293" s="687"/>
      <c r="AW293" s="687"/>
      <c r="AX293" s="687"/>
      <c r="AY293" s="687"/>
      <c r="AZ293" s="687"/>
      <c r="BA293" s="687"/>
      <c r="BB293" s="687"/>
      <c r="BC293" s="687"/>
      <c r="BD293" s="687"/>
      <c r="BE293" s="687"/>
      <c r="BF293" s="687"/>
      <c r="BG293" s="687"/>
      <c r="BH293" s="687"/>
      <c r="BI293" s="687"/>
      <c r="BJ293" s="687"/>
      <c r="BK293" s="687"/>
      <c r="BL293" s="687"/>
      <c r="BM293" s="687"/>
      <c r="BN293" s="687"/>
      <c r="BO293" s="687"/>
      <c r="BP293" s="687"/>
      <c r="BQ293" s="687"/>
      <c r="BR293" s="687"/>
      <c r="BS293" s="687"/>
      <c r="BT293" s="687"/>
      <c r="BU293" s="687"/>
      <c r="BV293" s="687"/>
      <c r="BW293" s="687"/>
      <c r="BX293" s="687"/>
      <c r="BY293" s="687"/>
      <c r="BZ293" s="687"/>
      <c r="CA293" s="687"/>
      <c r="CB293" s="687"/>
      <c r="CC293" s="687"/>
      <c r="CD293" s="687"/>
      <c r="CE293" s="687"/>
      <c r="CF293" s="687"/>
      <c r="CG293" s="687"/>
      <c r="CH293" s="687"/>
    </row>
    <row r="294" spans="1:86" ht="15.75" customHeight="1" outlineLevel="1" x14ac:dyDescent="0.35">
      <c r="A294" s="687"/>
      <c r="B294" s="696"/>
      <c r="C294" s="655" t="s">
        <v>89</v>
      </c>
      <c r="D294" s="766"/>
      <c r="E294" s="1039">
        <v>1773.85</v>
      </c>
      <c r="F294" s="871"/>
      <c r="G294" s="758"/>
      <c r="H294" s="687"/>
      <c r="I294" s="687"/>
      <c r="J294" s="687"/>
      <c r="K294" s="687"/>
      <c r="L294" s="687"/>
      <c r="M294" s="687"/>
      <c r="N294" s="687"/>
      <c r="O294" s="687"/>
      <c r="P294" s="687"/>
      <c r="Q294" s="687"/>
      <c r="R294" s="687"/>
      <c r="S294" s="687"/>
      <c r="T294" s="687"/>
      <c r="U294" s="687"/>
      <c r="V294" s="687"/>
      <c r="W294" s="687"/>
      <c r="X294" s="687"/>
      <c r="Y294" s="687"/>
      <c r="Z294" s="687"/>
      <c r="AA294" s="687"/>
      <c r="AB294" s="687"/>
      <c r="AC294" s="687"/>
      <c r="AD294" s="687"/>
      <c r="AE294" s="687"/>
      <c r="AF294" s="687"/>
      <c r="AG294" s="687"/>
      <c r="AH294" s="687"/>
      <c r="AI294" s="687"/>
      <c r="AJ294" s="687"/>
      <c r="AK294" s="687"/>
      <c r="AL294" s="687"/>
      <c r="AM294" s="687"/>
      <c r="AN294" s="687"/>
      <c r="AO294" s="687"/>
      <c r="AP294" s="687"/>
      <c r="AQ294" s="687"/>
      <c r="AR294" s="687"/>
      <c r="AS294" s="687"/>
      <c r="AT294" s="687"/>
      <c r="AU294" s="687"/>
      <c r="AV294" s="687"/>
      <c r="AW294" s="687"/>
      <c r="AX294" s="687"/>
      <c r="AY294" s="687"/>
      <c r="AZ294" s="687"/>
      <c r="BA294" s="687"/>
      <c r="BB294" s="687"/>
      <c r="BC294" s="687"/>
      <c r="BD294" s="687"/>
      <c r="BE294" s="687"/>
      <c r="BF294" s="687"/>
      <c r="BG294" s="687"/>
      <c r="BH294" s="687"/>
      <c r="BI294" s="687"/>
      <c r="BJ294" s="687"/>
      <c r="BK294" s="687"/>
      <c r="BL294" s="687"/>
      <c r="BM294" s="687"/>
      <c r="BN294" s="687"/>
      <c r="BO294" s="687"/>
      <c r="BP294" s="687"/>
      <c r="BQ294" s="687"/>
      <c r="BR294" s="687"/>
      <c r="BS294" s="687"/>
      <c r="BT294" s="687"/>
      <c r="BU294" s="687"/>
      <c r="BV294" s="687"/>
      <c r="BW294" s="687"/>
      <c r="BX294" s="687"/>
      <c r="BY294" s="687"/>
      <c r="BZ294" s="687"/>
      <c r="CA294" s="687"/>
      <c r="CB294" s="687"/>
      <c r="CC294" s="687"/>
      <c r="CD294" s="687"/>
      <c r="CE294" s="687"/>
      <c r="CF294" s="687"/>
      <c r="CG294" s="687"/>
      <c r="CH294" s="687"/>
    </row>
    <row r="295" spans="1:86" ht="15.75" customHeight="1" outlineLevel="1" x14ac:dyDescent="0.35">
      <c r="A295" s="687"/>
      <c r="B295" s="696"/>
      <c r="C295" s="655" t="s">
        <v>90</v>
      </c>
      <c r="D295" s="766"/>
      <c r="E295" s="1039">
        <v>1627.25</v>
      </c>
      <c r="F295" s="871"/>
      <c r="G295" s="758"/>
      <c r="H295" s="687"/>
      <c r="I295" s="687"/>
      <c r="J295" s="687"/>
      <c r="K295" s="687"/>
      <c r="L295" s="687"/>
      <c r="M295" s="687"/>
      <c r="N295" s="687"/>
      <c r="O295" s="687"/>
      <c r="P295" s="687"/>
      <c r="Q295" s="687"/>
      <c r="R295" s="687"/>
      <c r="S295" s="687"/>
      <c r="T295" s="687"/>
      <c r="U295" s="687"/>
      <c r="V295" s="687"/>
      <c r="W295" s="687"/>
      <c r="X295" s="687"/>
      <c r="Y295" s="687"/>
      <c r="Z295" s="687"/>
      <c r="AA295" s="687"/>
      <c r="AB295" s="687"/>
      <c r="AC295" s="687"/>
      <c r="AD295" s="687"/>
      <c r="AE295" s="687"/>
      <c r="AF295" s="687"/>
      <c r="AG295" s="687"/>
      <c r="AH295" s="687"/>
      <c r="AI295" s="687"/>
      <c r="AJ295" s="687"/>
      <c r="AK295" s="687"/>
      <c r="AL295" s="687"/>
      <c r="AM295" s="687"/>
      <c r="AN295" s="687"/>
      <c r="AO295" s="687"/>
      <c r="AP295" s="687"/>
      <c r="AQ295" s="687"/>
      <c r="AR295" s="687"/>
      <c r="AS295" s="687"/>
      <c r="AT295" s="687"/>
      <c r="AU295" s="687"/>
      <c r="AV295" s="687"/>
      <c r="AW295" s="687"/>
      <c r="AX295" s="687"/>
      <c r="AY295" s="687"/>
      <c r="AZ295" s="687"/>
      <c r="BA295" s="687"/>
      <c r="BB295" s="687"/>
      <c r="BC295" s="687"/>
      <c r="BD295" s="687"/>
      <c r="BE295" s="687"/>
      <c r="BF295" s="687"/>
      <c r="BG295" s="687"/>
      <c r="BH295" s="687"/>
      <c r="BI295" s="687"/>
      <c r="BJ295" s="687"/>
      <c r="BK295" s="687"/>
      <c r="BL295" s="687"/>
      <c r="BM295" s="687"/>
      <c r="BN295" s="687"/>
      <c r="BO295" s="687"/>
      <c r="BP295" s="687"/>
      <c r="BQ295" s="687"/>
      <c r="BR295" s="687"/>
      <c r="BS295" s="687"/>
      <c r="BT295" s="687"/>
      <c r="BU295" s="687"/>
      <c r="BV295" s="687"/>
      <c r="BW295" s="687"/>
      <c r="BX295" s="687"/>
      <c r="BY295" s="687"/>
      <c r="BZ295" s="687"/>
      <c r="CA295" s="687"/>
      <c r="CB295" s="687"/>
      <c r="CC295" s="687"/>
      <c r="CD295" s="687"/>
      <c r="CE295" s="687"/>
      <c r="CF295" s="687"/>
      <c r="CG295" s="687"/>
      <c r="CH295" s="687"/>
    </row>
    <row r="296" spans="1:86" ht="15.75" customHeight="1" outlineLevel="1" x14ac:dyDescent="0.35">
      <c r="A296" s="687"/>
      <c r="B296" s="696"/>
      <c r="C296" s="655" t="s">
        <v>91</v>
      </c>
      <c r="D296" s="766"/>
      <c r="E296" s="1039">
        <v>1551.75</v>
      </c>
      <c r="F296" s="871"/>
      <c r="G296" s="758"/>
      <c r="H296" s="687"/>
      <c r="I296" s="687"/>
      <c r="J296" s="687"/>
      <c r="K296" s="687"/>
      <c r="L296" s="687"/>
      <c r="M296" s="687"/>
      <c r="N296" s="687"/>
      <c r="O296" s="687"/>
      <c r="P296" s="687"/>
      <c r="Q296" s="687"/>
      <c r="R296" s="687"/>
      <c r="S296" s="687"/>
      <c r="T296" s="687"/>
      <c r="U296" s="687"/>
      <c r="V296" s="687"/>
      <c r="W296" s="687"/>
      <c r="X296" s="687"/>
      <c r="Y296" s="687"/>
      <c r="Z296" s="687"/>
      <c r="AA296" s="687"/>
      <c r="AB296" s="687"/>
      <c r="AC296" s="687"/>
      <c r="AD296" s="687"/>
      <c r="AE296" s="687"/>
      <c r="AF296" s="687"/>
      <c r="AG296" s="687"/>
      <c r="AH296" s="687"/>
      <c r="AI296" s="687"/>
      <c r="AJ296" s="687"/>
      <c r="AK296" s="687"/>
      <c r="AL296" s="687"/>
      <c r="AM296" s="687"/>
      <c r="AN296" s="687"/>
      <c r="AO296" s="687"/>
      <c r="AP296" s="687"/>
      <c r="AQ296" s="687"/>
      <c r="AR296" s="687"/>
      <c r="AS296" s="687"/>
      <c r="AT296" s="687"/>
      <c r="AU296" s="687"/>
      <c r="AV296" s="687"/>
      <c r="AW296" s="687"/>
      <c r="AX296" s="687"/>
      <c r="AY296" s="687"/>
      <c r="AZ296" s="687"/>
      <c r="BA296" s="687"/>
      <c r="BB296" s="687"/>
      <c r="BC296" s="687"/>
      <c r="BD296" s="687"/>
      <c r="BE296" s="687"/>
      <c r="BF296" s="687"/>
      <c r="BG296" s="687"/>
      <c r="BH296" s="687"/>
      <c r="BI296" s="687"/>
      <c r="BJ296" s="687"/>
      <c r="BK296" s="687"/>
      <c r="BL296" s="687"/>
      <c r="BM296" s="687"/>
      <c r="BN296" s="687"/>
      <c r="BO296" s="687"/>
      <c r="BP296" s="687"/>
      <c r="BQ296" s="687"/>
      <c r="BR296" s="687"/>
      <c r="BS296" s="687"/>
      <c r="BT296" s="687"/>
      <c r="BU296" s="687"/>
      <c r="BV296" s="687"/>
      <c r="BW296" s="687"/>
      <c r="BX296" s="687"/>
      <c r="BY296" s="687"/>
      <c r="BZ296" s="687"/>
      <c r="CA296" s="687"/>
      <c r="CB296" s="687"/>
      <c r="CC296" s="687"/>
      <c r="CD296" s="687"/>
      <c r="CE296" s="687"/>
      <c r="CF296" s="687"/>
      <c r="CG296" s="687"/>
      <c r="CH296" s="687"/>
    </row>
    <row r="297" spans="1:86" ht="15.75" customHeight="1" outlineLevel="1" x14ac:dyDescent="0.35">
      <c r="A297" s="687"/>
      <c r="B297" s="696"/>
      <c r="C297" s="655" t="s">
        <v>92</v>
      </c>
      <c r="D297" s="766"/>
      <c r="E297" s="1039">
        <v>1824.5</v>
      </c>
      <c r="F297" s="871"/>
      <c r="G297" s="758"/>
      <c r="H297" s="687"/>
      <c r="I297" s="687"/>
      <c r="J297" s="687"/>
      <c r="K297" s="687"/>
      <c r="L297" s="687"/>
      <c r="M297" s="687"/>
      <c r="N297" s="687"/>
      <c r="O297" s="687"/>
      <c r="P297" s="687"/>
      <c r="Q297" s="687"/>
      <c r="R297" s="687"/>
      <c r="S297" s="687"/>
      <c r="T297" s="687"/>
      <c r="U297" s="687"/>
      <c r="V297" s="687"/>
      <c r="W297" s="687"/>
      <c r="X297" s="687"/>
      <c r="Y297" s="687"/>
      <c r="Z297" s="687"/>
      <c r="AA297" s="687"/>
      <c r="AB297" s="687"/>
      <c r="AC297" s="687"/>
      <c r="AD297" s="687"/>
      <c r="AE297" s="687"/>
      <c r="AF297" s="687"/>
      <c r="AG297" s="687"/>
      <c r="AH297" s="687"/>
      <c r="AI297" s="687"/>
      <c r="AJ297" s="687"/>
      <c r="AK297" s="687"/>
      <c r="AL297" s="687"/>
      <c r="AM297" s="687"/>
      <c r="AN297" s="687"/>
      <c r="AO297" s="687"/>
      <c r="AP297" s="687"/>
      <c r="AQ297" s="687"/>
      <c r="AR297" s="687"/>
      <c r="AS297" s="687"/>
      <c r="AT297" s="687"/>
      <c r="AU297" s="687"/>
      <c r="AV297" s="687"/>
      <c r="AW297" s="687"/>
      <c r="AX297" s="687"/>
      <c r="AY297" s="687"/>
      <c r="AZ297" s="687"/>
      <c r="BA297" s="687"/>
      <c r="BB297" s="687"/>
      <c r="BC297" s="687"/>
      <c r="BD297" s="687"/>
      <c r="BE297" s="687"/>
      <c r="BF297" s="687"/>
      <c r="BG297" s="687"/>
      <c r="BH297" s="687"/>
      <c r="BI297" s="687"/>
      <c r="BJ297" s="687"/>
      <c r="BK297" s="687"/>
      <c r="BL297" s="687"/>
      <c r="BM297" s="687"/>
      <c r="BN297" s="687"/>
      <c r="BO297" s="687"/>
      <c r="BP297" s="687"/>
      <c r="BQ297" s="687"/>
      <c r="BR297" s="687"/>
      <c r="BS297" s="687"/>
      <c r="BT297" s="687"/>
      <c r="BU297" s="687"/>
      <c r="BV297" s="687"/>
      <c r="BW297" s="687"/>
      <c r="BX297" s="687"/>
      <c r="BY297" s="687"/>
      <c r="BZ297" s="687"/>
      <c r="CA297" s="687"/>
      <c r="CB297" s="687"/>
      <c r="CC297" s="687"/>
      <c r="CD297" s="687"/>
      <c r="CE297" s="687"/>
      <c r="CF297" s="687"/>
      <c r="CG297" s="687"/>
      <c r="CH297" s="687"/>
    </row>
    <row r="298" spans="1:86" ht="15.75" customHeight="1" outlineLevel="1" x14ac:dyDescent="0.35">
      <c r="A298" s="687"/>
      <c r="B298" s="696"/>
      <c r="C298" s="655" t="s">
        <v>93</v>
      </c>
      <c r="D298" s="766"/>
      <c r="E298" s="1039">
        <v>2301.2000000000003</v>
      </c>
      <c r="F298" s="871"/>
      <c r="G298" s="758"/>
      <c r="H298" s="687"/>
      <c r="I298" s="687"/>
      <c r="J298" s="687"/>
      <c r="K298" s="687"/>
      <c r="L298" s="687"/>
      <c r="M298" s="687"/>
      <c r="N298" s="687"/>
      <c r="O298" s="687"/>
      <c r="P298" s="687"/>
      <c r="Q298" s="687"/>
      <c r="R298" s="687"/>
      <c r="S298" s="687"/>
      <c r="T298" s="687"/>
      <c r="U298" s="687"/>
      <c r="V298" s="687"/>
      <c r="W298" s="687"/>
      <c r="X298" s="687"/>
      <c r="Y298" s="687"/>
      <c r="Z298" s="687"/>
      <c r="AA298" s="687"/>
      <c r="AB298" s="687"/>
      <c r="AC298" s="687"/>
      <c r="AD298" s="687"/>
      <c r="AE298" s="687"/>
      <c r="AF298" s="687"/>
      <c r="AG298" s="687"/>
      <c r="AH298" s="687"/>
      <c r="AI298" s="687"/>
      <c r="AJ298" s="687"/>
      <c r="AK298" s="687"/>
      <c r="AL298" s="687"/>
      <c r="AM298" s="687"/>
      <c r="AN298" s="687"/>
      <c r="AO298" s="687"/>
      <c r="AP298" s="687"/>
      <c r="AQ298" s="687"/>
      <c r="AR298" s="687"/>
      <c r="AS298" s="687"/>
      <c r="AT298" s="687"/>
      <c r="AU298" s="687"/>
      <c r="AV298" s="687"/>
      <c r="AW298" s="687"/>
      <c r="AX298" s="687"/>
      <c r="AY298" s="687"/>
      <c r="AZ298" s="687"/>
      <c r="BA298" s="687"/>
      <c r="BB298" s="687"/>
      <c r="BC298" s="687"/>
      <c r="BD298" s="687"/>
      <c r="BE298" s="687"/>
      <c r="BF298" s="687"/>
      <c r="BG298" s="687"/>
      <c r="BH298" s="687"/>
      <c r="BI298" s="687"/>
      <c r="BJ298" s="687"/>
      <c r="BK298" s="687"/>
      <c r="BL298" s="687"/>
      <c r="BM298" s="687"/>
      <c r="BN298" s="687"/>
      <c r="BO298" s="687"/>
      <c r="BP298" s="687"/>
      <c r="BQ298" s="687"/>
      <c r="BR298" s="687"/>
      <c r="BS298" s="687"/>
      <c r="BT298" s="687"/>
      <c r="BU298" s="687"/>
      <c r="BV298" s="687"/>
      <c r="BW298" s="687"/>
      <c r="BX298" s="687"/>
      <c r="BY298" s="687"/>
      <c r="BZ298" s="687"/>
      <c r="CA298" s="687"/>
      <c r="CB298" s="687"/>
      <c r="CC298" s="687"/>
      <c r="CD298" s="687"/>
      <c r="CE298" s="687"/>
      <c r="CF298" s="687"/>
      <c r="CG298" s="687"/>
      <c r="CH298" s="687"/>
    </row>
    <row r="299" spans="1:86" ht="15.75" customHeight="1" outlineLevel="1" x14ac:dyDescent="0.35">
      <c r="A299" s="687"/>
      <c r="B299" s="696"/>
      <c r="C299" s="655" t="s">
        <v>94</v>
      </c>
      <c r="D299" s="766"/>
      <c r="E299" s="1039">
        <v>0</v>
      </c>
      <c r="F299" s="871"/>
      <c r="G299" s="758"/>
      <c r="H299" s="687"/>
      <c r="I299" s="687"/>
      <c r="J299" s="687"/>
      <c r="K299" s="687"/>
      <c r="L299" s="687"/>
      <c r="M299" s="687"/>
      <c r="N299" s="687"/>
      <c r="O299" s="687"/>
      <c r="P299" s="687"/>
      <c r="Q299" s="687"/>
      <c r="R299" s="687"/>
      <c r="S299" s="687"/>
      <c r="T299" s="687"/>
      <c r="U299" s="687"/>
      <c r="V299" s="687"/>
      <c r="W299" s="687"/>
      <c r="X299" s="687"/>
      <c r="Y299" s="687"/>
      <c r="Z299" s="687"/>
      <c r="AA299" s="687"/>
      <c r="AB299" s="687"/>
      <c r="AC299" s="687"/>
      <c r="AD299" s="687"/>
      <c r="AE299" s="687"/>
      <c r="AF299" s="687"/>
      <c r="AG299" s="687"/>
      <c r="AH299" s="687"/>
      <c r="AI299" s="687"/>
      <c r="AJ299" s="687"/>
      <c r="AK299" s="687"/>
      <c r="AL299" s="687"/>
      <c r="AM299" s="687"/>
      <c r="AN299" s="687"/>
      <c r="AO299" s="687"/>
      <c r="AP299" s="687"/>
      <c r="AQ299" s="687"/>
      <c r="AR299" s="687"/>
      <c r="AS299" s="687"/>
      <c r="AT299" s="687"/>
      <c r="AU299" s="687"/>
      <c r="AV299" s="687"/>
      <c r="AW299" s="687"/>
      <c r="AX299" s="687"/>
      <c r="AY299" s="687"/>
      <c r="AZ299" s="687"/>
      <c r="BA299" s="687"/>
      <c r="BB299" s="687"/>
      <c r="BC299" s="687"/>
      <c r="BD299" s="687"/>
      <c r="BE299" s="687"/>
      <c r="BF299" s="687"/>
      <c r="BG299" s="687"/>
      <c r="BH299" s="687"/>
      <c r="BI299" s="687"/>
      <c r="BJ299" s="687"/>
      <c r="BK299" s="687"/>
      <c r="BL299" s="687"/>
      <c r="BM299" s="687"/>
      <c r="BN299" s="687"/>
      <c r="BO299" s="687"/>
      <c r="BP299" s="687"/>
      <c r="BQ299" s="687"/>
      <c r="BR299" s="687"/>
      <c r="BS299" s="687"/>
      <c r="BT299" s="687"/>
      <c r="BU299" s="687"/>
      <c r="BV299" s="687"/>
      <c r="BW299" s="687"/>
      <c r="BX299" s="687"/>
      <c r="BY299" s="687"/>
      <c r="BZ299" s="687"/>
      <c r="CA299" s="687"/>
      <c r="CB299" s="687"/>
      <c r="CC299" s="687"/>
      <c r="CD299" s="687"/>
      <c r="CE299" s="687"/>
      <c r="CF299" s="687"/>
      <c r="CG299" s="687"/>
      <c r="CH299" s="687"/>
    </row>
    <row r="300" spans="1:86" ht="15.75" customHeight="1" outlineLevel="1" x14ac:dyDescent="0.35">
      <c r="A300" s="687"/>
      <c r="B300" s="696"/>
      <c r="C300" s="655" t="s">
        <v>95</v>
      </c>
      <c r="D300" s="766"/>
      <c r="E300" s="1039">
        <v>0</v>
      </c>
      <c r="F300" s="871"/>
      <c r="G300" s="758"/>
      <c r="H300" s="687"/>
      <c r="I300" s="687"/>
      <c r="J300" s="687"/>
      <c r="K300" s="687"/>
      <c r="L300" s="687"/>
      <c r="M300" s="687"/>
      <c r="N300" s="687"/>
      <c r="O300" s="687"/>
      <c r="P300" s="687"/>
      <c r="Q300" s="687"/>
      <c r="R300" s="687"/>
      <c r="S300" s="687"/>
      <c r="T300" s="687"/>
      <c r="U300" s="687"/>
      <c r="V300" s="687"/>
      <c r="W300" s="687"/>
      <c r="X300" s="687"/>
      <c r="Y300" s="687"/>
      <c r="Z300" s="687"/>
      <c r="AA300" s="687"/>
      <c r="AB300" s="687"/>
      <c r="AC300" s="687"/>
      <c r="AD300" s="687"/>
      <c r="AE300" s="687"/>
      <c r="AF300" s="687"/>
      <c r="AG300" s="687"/>
      <c r="AH300" s="687"/>
      <c r="AI300" s="687"/>
      <c r="AJ300" s="687"/>
      <c r="AK300" s="687"/>
      <c r="AL300" s="687"/>
      <c r="AM300" s="687"/>
      <c r="AN300" s="687"/>
      <c r="AO300" s="687"/>
      <c r="AP300" s="687"/>
      <c r="AQ300" s="687"/>
      <c r="AR300" s="687"/>
      <c r="AS300" s="687"/>
      <c r="AT300" s="687"/>
      <c r="AU300" s="687"/>
      <c r="AV300" s="687"/>
      <c r="AW300" s="687"/>
      <c r="AX300" s="687"/>
      <c r="AY300" s="687"/>
      <c r="AZ300" s="687"/>
      <c r="BA300" s="687"/>
      <c r="BB300" s="687"/>
      <c r="BC300" s="687"/>
      <c r="BD300" s="687"/>
      <c r="BE300" s="687"/>
      <c r="BF300" s="687"/>
      <c r="BG300" s="687"/>
      <c r="BH300" s="687"/>
      <c r="BI300" s="687"/>
      <c r="BJ300" s="687"/>
      <c r="BK300" s="687"/>
      <c r="BL300" s="687"/>
      <c r="BM300" s="687"/>
      <c r="BN300" s="687"/>
      <c r="BO300" s="687"/>
      <c r="BP300" s="687"/>
      <c r="BQ300" s="687"/>
      <c r="BR300" s="687"/>
      <c r="BS300" s="687"/>
      <c r="BT300" s="687"/>
      <c r="BU300" s="687"/>
      <c r="BV300" s="687"/>
      <c r="BW300" s="687"/>
      <c r="BX300" s="687"/>
      <c r="BY300" s="687"/>
      <c r="BZ300" s="687"/>
      <c r="CA300" s="687"/>
      <c r="CB300" s="687"/>
      <c r="CC300" s="687"/>
      <c r="CD300" s="687"/>
      <c r="CE300" s="687"/>
      <c r="CF300" s="687"/>
      <c r="CG300" s="687"/>
      <c r="CH300" s="687"/>
    </row>
    <row r="301" spans="1:86" ht="15.75" customHeight="1" outlineLevel="1" x14ac:dyDescent="0.35">
      <c r="A301" s="687"/>
      <c r="B301" s="696"/>
      <c r="C301" s="655" t="s">
        <v>96</v>
      </c>
      <c r="D301" s="766"/>
      <c r="E301" s="1039">
        <v>2087.5</v>
      </c>
      <c r="F301" s="871"/>
      <c r="G301" s="758"/>
      <c r="H301" s="687"/>
      <c r="I301" s="687"/>
      <c r="J301" s="687"/>
      <c r="K301" s="687"/>
      <c r="L301" s="687"/>
      <c r="M301" s="687"/>
      <c r="N301" s="687"/>
      <c r="O301" s="687"/>
      <c r="P301" s="687"/>
      <c r="Q301" s="687"/>
      <c r="R301" s="687"/>
      <c r="S301" s="687"/>
      <c r="T301" s="687"/>
      <c r="U301" s="687"/>
      <c r="V301" s="687"/>
      <c r="W301" s="687"/>
      <c r="X301" s="687"/>
      <c r="Y301" s="687"/>
      <c r="Z301" s="687"/>
      <c r="AA301" s="687"/>
      <c r="AB301" s="687"/>
      <c r="AC301" s="687"/>
      <c r="AD301" s="687"/>
      <c r="AE301" s="687"/>
      <c r="AF301" s="687"/>
      <c r="AG301" s="687"/>
      <c r="AH301" s="687"/>
      <c r="AI301" s="687"/>
      <c r="AJ301" s="687"/>
      <c r="AK301" s="687"/>
      <c r="AL301" s="687"/>
      <c r="AM301" s="687"/>
      <c r="AN301" s="687"/>
      <c r="AO301" s="687"/>
      <c r="AP301" s="687"/>
      <c r="AQ301" s="687"/>
      <c r="AR301" s="687"/>
      <c r="AS301" s="687"/>
      <c r="AT301" s="687"/>
      <c r="AU301" s="687"/>
      <c r="AV301" s="687"/>
      <c r="AW301" s="687"/>
      <c r="AX301" s="687"/>
      <c r="AY301" s="687"/>
      <c r="AZ301" s="687"/>
      <c r="BA301" s="687"/>
      <c r="BB301" s="687"/>
      <c r="BC301" s="687"/>
      <c r="BD301" s="687"/>
      <c r="BE301" s="687"/>
      <c r="BF301" s="687"/>
      <c r="BG301" s="687"/>
      <c r="BH301" s="687"/>
      <c r="BI301" s="687"/>
      <c r="BJ301" s="687"/>
      <c r="BK301" s="687"/>
      <c r="BL301" s="687"/>
      <c r="BM301" s="687"/>
      <c r="BN301" s="687"/>
      <c r="BO301" s="687"/>
      <c r="BP301" s="687"/>
      <c r="BQ301" s="687"/>
      <c r="BR301" s="687"/>
      <c r="BS301" s="687"/>
      <c r="BT301" s="687"/>
      <c r="BU301" s="687"/>
      <c r="BV301" s="687"/>
      <c r="BW301" s="687"/>
      <c r="BX301" s="687"/>
      <c r="BY301" s="687"/>
      <c r="BZ301" s="687"/>
      <c r="CA301" s="687"/>
      <c r="CB301" s="687"/>
      <c r="CC301" s="687"/>
      <c r="CD301" s="687"/>
      <c r="CE301" s="687"/>
      <c r="CF301" s="687"/>
      <c r="CG301" s="687"/>
      <c r="CH301" s="687"/>
    </row>
    <row r="302" spans="1:86" ht="15.75" customHeight="1" outlineLevel="1" x14ac:dyDescent="0.35">
      <c r="A302" s="687"/>
      <c r="B302" s="696"/>
      <c r="C302" s="655" t="s">
        <v>97</v>
      </c>
      <c r="D302" s="766"/>
      <c r="E302" s="1039">
        <v>2228.75</v>
      </c>
      <c r="F302" s="871"/>
      <c r="G302" s="758"/>
      <c r="H302" s="687"/>
      <c r="I302" s="687"/>
      <c r="J302" s="687"/>
      <c r="K302" s="687"/>
      <c r="L302" s="687"/>
      <c r="M302" s="687"/>
      <c r="N302" s="687"/>
      <c r="O302" s="687"/>
      <c r="P302" s="687"/>
      <c r="Q302" s="687"/>
      <c r="R302" s="687"/>
      <c r="S302" s="687"/>
      <c r="T302" s="687"/>
      <c r="U302" s="687"/>
      <c r="V302" s="687"/>
      <c r="W302" s="687"/>
      <c r="X302" s="687"/>
      <c r="Y302" s="687"/>
      <c r="Z302" s="687"/>
      <c r="AA302" s="687"/>
      <c r="AB302" s="687"/>
      <c r="AC302" s="687"/>
      <c r="AD302" s="687"/>
      <c r="AE302" s="687"/>
      <c r="AF302" s="687"/>
      <c r="AG302" s="687"/>
      <c r="AH302" s="687"/>
      <c r="AI302" s="687"/>
      <c r="AJ302" s="687"/>
      <c r="AK302" s="687"/>
      <c r="AL302" s="687"/>
      <c r="AM302" s="687"/>
      <c r="AN302" s="687"/>
      <c r="AO302" s="687"/>
      <c r="AP302" s="687"/>
      <c r="AQ302" s="687"/>
      <c r="AR302" s="687"/>
      <c r="AS302" s="687"/>
      <c r="AT302" s="687"/>
      <c r="AU302" s="687"/>
      <c r="AV302" s="687"/>
      <c r="AW302" s="687"/>
      <c r="AX302" s="687"/>
      <c r="AY302" s="687"/>
      <c r="AZ302" s="687"/>
      <c r="BA302" s="687"/>
      <c r="BB302" s="687"/>
      <c r="BC302" s="687"/>
      <c r="BD302" s="687"/>
      <c r="BE302" s="687"/>
      <c r="BF302" s="687"/>
      <c r="BG302" s="687"/>
      <c r="BH302" s="687"/>
      <c r="BI302" s="687"/>
      <c r="BJ302" s="687"/>
      <c r="BK302" s="687"/>
      <c r="BL302" s="687"/>
      <c r="BM302" s="687"/>
      <c r="BN302" s="687"/>
      <c r="BO302" s="687"/>
      <c r="BP302" s="687"/>
      <c r="BQ302" s="687"/>
      <c r="BR302" s="687"/>
      <c r="BS302" s="687"/>
      <c r="BT302" s="687"/>
      <c r="BU302" s="687"/>
      <c r="BV302" s="687"/>
      <c r="BW302" s="687"/>
      <c r="BX302" s="687"/>
      <c r="BY302" s="687"/>
      <c r="BZ302" s="687"/>
      <c r="CA302" s="687"/>
      <c r="CB302" s="687"/>
      <c r="CC302" s="687"/>
      <c r="CD302" s="687"/>
      <c r="CE302" s="687"/>
      <c r="CF302" s="687"/>
      <c r="CG302" s="687"/>
      <c r="CH302" s="687"/>
    </row>
    <row r="303" spans="1:86" ht="15.75" customHeight="1" outlineLevel="1" x14ac:dyDescent="0.35">
      <c r="A303" s="687"/>
      <c r="B303" s="696"/>
      <c r="C303" s="655" t="s">
        <v>98</v>
      </c>
      <c r="D303" s="766"/>
      <c r="E303" s="1039">
        <v>13.64</v>
      </c>
      <c r="F303" s="871"/>
      <c r="G303" s="758"/>
      <c r="H303" s="687"/>
      <c r="I303" s="687"/>
      <c r="J303" s="687"/>
      <c r="K303" s="687"/>
      <c r="L303" s="687"/>
      <c r="M303" s="687"/>
      <c r="N303" s="687"/>
      <c r="O303" s="687"/>
      <c r="P303" s="687"/>
      <c r="Q303" s="687"/>
      <c r="R303" s="687"/>
      <c r="S303" s="687"/>
      <c r="T303" s="687"/>
      <c r="U303" s="687"/>
      <c r="V303" s="687"/>
      <c r="W303" s="687"/>
      <c r="X303" s="687"/>
      <c r="Y303" s="687"/>
      <c r="Z303" s="687"/>
      <c r="AA303" s="687"/>
      <c r="AB303" s="687"/>
      <c r="AC303" s="687"/>
      <c r="AD303" s="687"/>
      <c r="AE303" s="687"/>
      <c r="AF303" s="687"/>
      <c r="AG303" s="687"/>
      <c r="AH303" s="687"/>
      <c r="AI303" s="687"/>
      <c r="AJ303" s="687"/>
      <c r="AK303" s="687"/>
      <c r="AL303" s="687"/>
      <c r="AM303" s="687"/>
      <c r="AN303" s="687"/>
      <c r="AO303" s="687"/>
      <c r="AP303" s="687"/>
      <c r="AQ303" s="687"/>
      <c r="AR303" s="687"/>
      <c r="AS303" s="687"/>
      <c r="AT303" s="687"/>
      <c r="AU303" s="687"/>
      <c r="AV303" s="687"/>
      <c r="AW303" s="687"/>
      <c r="AX303" s="687"/>
      <c r="AY303" s="687"/>
      <c r="AZ303" s="687"/>
      <c r="BA303" s="687"/>
      <c r="BB303" s="687"/>
      <c r="BC303" s="687"/>
      <c r="BD303" s="687"/>
      <c r="BE303" s="687"/>
      <c r="BF303" s="687"/>
      <c r="BG303" s="687"/>
      <c r="BH303" s="687"/>
      <c r="BI303" s="687"/>
      <c r="BJ303" s="687"/>
      <c r="BK303" s="687"/>
      <c r="BL303" s="687"/>
      <c r="BM303" s="687"/>
      <c r="BN303" s="687"/>
      <c r="BO303" s="687"/>
      <c r="BP303" s="687"/>
      <c r="BQ303" s="687"/>
      <c r="BR303" s="687"/>
      <c r="BS303" s="687"/>
      <c r="BT303" s="687"/>
      <c r="BU303" s="687"/>
      <c r="BV303" s="687"/>
      <c r="BW303" s="687"/>
      <c r="BX303" s="687"/>
      <c r="BY303" s="687"/>
      <c r="BZ303" s="687"/>
      <c r="CA303" s="687"/>
      <c r="CB303" s="687"/>
      <c r="CC303" s="687"/>
      <c r="CD303" s="687"/>
      <c r="CE303" s="687"/>
      <c r="CF303" s="687"/>
      <c r="CG303" s="687"/>
      <c r="CH303" s="687"/>
    </row>
    <row r="304" spans="1:86" ht="15.75" customHeight="1" outlineLevel="1" x14ac:dyDescent="0.35">
      <c r="A304" s="687"/>
      <c r="B304" s="696"/>
      <c r="C304" s="655" t="s">
        <v>99</v>
      </c>
      <c r="D304" s="766"/>
      <c r="E304" s="1039">
        <v>3.7199999999999998</v>
      </c>
      <c r="F304" s="871"/>
      <c r="G304" s="758"/>
      <c r="H304" s="687"/>
      <c r="I304" s="687"/>
      <c r="J304" s="687"/>
      <c r="K304" s="687"/>
      <c r="L304" s="687"/>
      <c r="M304" s="687"/>
      <c r="N304" s="687"/>
      <c r="O304" s="687"/>
      <c r="P304" s="687"/>
      <c r="Q304" s="687"/>
      <c r="R304" s="687"/>
      <c r="S304" s="687"/>
      <c r="T304" s="687"/>
      <c r="U304" s="687"/>
      <c r="V304" s="687"/>
      <c r="W304" s="687"/>
      <c r="X304" s="687"/>
      <c r="Y304" s="687"/>
      <c r="Z304" s="687"/>
      <c r="AA304" s="687"/>
      <c r="AB304" s="687"/>
      <c r="AC304" s="687"/>
      <c r="AD304" s="687"/>
      <c r="AE304" s="687"/>
      <c r="AF304" s="687"/>
      <c r="AG304" s="687"/>
      <c r="AH304" s="687"/>
      <c r="AI304" s="687"/>
      <c r="AJ304" s="687"/>
      <c r="AK304" s="687"/>
      <c r="AL304" s="687"/>
      <c r="AM304" s="687"/>
      <c r="AN304" s="687"/>
      <c r="AO304" s="687"/>
      <c r="AP304" s="687"/>
      <c r="AQ304" s="687"/>
      <c r="AR304" s="687"/>
      <c r="AS304" s="687"/>
      <c r="AT304" s="687"/>
      <c r="AU304" s="687"/>
      <c r="AV304" s="687"/>
      <c r="AW304" s="687"/>
      <c r="AX304" s="687"/>
      <c r="AY304" s="687"/>
      <c r="AZ304" s="687"/>
      <c r="BA304" s="687"/>
      <c r="BB304" s="687"/>
      <c r="BC304" s="687"/>
      <c r="BD304" s="687"/>
      <c r="BE304" s="687"/>
      <c r="BF304" s="687"/>
      <c r="BG304" s="687"/>
      <c r="BH304" s="687"/>
      <c r="BI304" s="687"/>
      <c r="BJ304" s="687"/>
      <c r="BK304" s="687"/>
      <c r="BL304" s="687"/>
      <c r="BM304" s="687"/>
      <c r="BN304" s="687"/>
      <c r="BO304" s="687"/>
      <c r="BP304" s="687"/>
      <c r="BQ304" s="687"/>
      <c r="BR304" s="687"/>
      <c r="BS304" s="687"/>
      <c r="BT304" s="687"/>
      <c r="BU304" s="687"/>
      <c r="BV304" s="687"/>
      <c r="BW304" s="687"/>
      <c r="BX304" s="687"/>
      <c r="BY304" s="687"/>
      <c r="BZ304" s="687"/>
      <c r="CA304" s="687"/>
      <c r="CB304" s="687"/>
      <c r="CC304" s="687"/>
      <c r="CD304" s="687"/>
      <c r="CE304" s="687"/>
      <c r="CF304" s="687"/>
      <c r="CG304" s="687"/>
      <c r="CH304" s="687"/>
    </row>
    <row r="305" spans="1:86" ht="15.75" customHeight="1" outlineLevel="1" x14ac:dyDescent="0.35">
      <c r="A305" s="687"/>
      <c r="B305" s="696"/>
      <c r="C305" s="655" t="s">
        <v>100</v>
      </c>
      <c r="D305" s="766"/>
      <c r="E305" s="1039">
        <v>441.5</v>
      </c>
      <c r="F305" s="871"/>
      <c r="G305" s="758"/>
      <c r="H305" s="687"/>
      <c r="I305" s="687"/>
      <c r="J305" s="687"/>
      <c r="K305" s="687"/>
      <c r="L305" s="687"/>
      <c r="M305" s="687"/>
      <c r="N305" s="687"/>
      <c r="O305" s="687"/>
      <c r="P305" s="687"/>
      <c r="Q305" s="687"/>
      <c r="R305" s="687"/>
      <c r="S305" s="687"/>
      <c r="T305" s="687"/>
      <c r="U305" s="687"/>
      <c r="V305" s="687"/>
      <c r="W305" s="687"/>
      <c r="X305" s="687"/>
      <c r="Y305" s="687"/>
      <c r="Z305" s="687"/>
      <c r="AA305" s="687"/>
      <c r="AB305" s="687"/>
      <c r="AC305" s="687"/>
      <c r="AD305" s="687"/>
      <c r="AE305" s="687"/>
      <c r="AF305" s="687"/>
      <c r="AG305" s="687"/>
      <c r="AH305" s="687"/>
      <c r="AI305" s="687"/>
      <c r="AJ305" s="687"/>
      <c r="AK305" s="687"/>
      <c r="AL305" s="687"/>
      <c r="AM305" s="687"/>
      <c r="AN305" s="687"/>
      <c r="AO305" s="687"/>
      <c r="AP305" s="687"/>
      <c r="AQ305" s="687"/>
      <c r="AR305" s="687"/>
      <c r="AS305" s="687"/>
      <c r="AT305" s="687"/>
      <c r="AU305" s="687"/>
      <c r="AV305" s="687"/>
      <c r="AW305" s="687"/>
      <c r="AX305" s="687"/>
      <c r="AY305" s="687"/>
      <c r="AZ305" s="687"/>
      <c r="BA305" s="687"/>
      <c r="BB305" s="687"/>
      <c r="BC305" s="687"/>
      <c r="BD305" s="687"/>
      <c r="BE305" s="687"/>
      <c r="BF305" s="687"/>
      <c r="BG305" s="687"/>
      <c r="BH305" s="687"/>
      <c r="BI305" s="687"/>
      <c r="BJ305" s="687"/>
      <c r="BK305" s="687"/>
      <c r="BL305" s="687"/>
      <c r="BM305" s="687"/>
      <c r="BN305" s="687"/>
      <c r="BO305" s="687"/>
      <c r="BP305" s="687"/>
      <c r="BQ305" s="687"/>
      <c r="BR305" s="687"/>
      <c r="BS305" s="687"/>
      <c r="BT305" s="687"/>
      <c r="BU305" s="687"/>
      <c r="BV305" s="687"/>
      <c r="BW305" s="687"/>
      <c r="BX305" s="687"/>
      <c r="BY305" s="687"/>
      <c r="BZ305" s="687"/>
      <c r="CA305" s="687"/>
      <c r="CB305" s="687"/>
      <c r="CC305" s="687"/>
      <c r="CD305" s="687"/>
      <c r="CE305" s="687"/>
      <c r="CF305" s="687"/>
      <c r="CG305" s="687"/>
      <c r="CH305" s="687"/>
    </row>
    <row r="306" spans="1:86" ht="15.75" customHeight="1" outlineLevel="1" x14ac:dyDescent="0.35">
      <c r="A306" s="687"/>
      <c r="B306" s="696"/>
      <c r="C306" s="655" t="s">
        <v>101</v>
      </c>
      <c r="D306" s="766"/>
      <c r="E306" s="1039">
        <v>2053.1</v>
      </c>
      <c r="F306" s="871"/>
      <c r="G306" s="758"/>
      <c r="H306" s="687"/>
      <c r="I306" s="687"/>
      <c r="J306" s="687"/>
      <c r="K306" s="687"/>
      <c r="L306" s="687"/>
      <c r="M306" s="687"/>
      <c r="N306" s="687"/>
      <c r="O306" s="687"/>
      <c r="P306" s="687"/>
      <c r="Q306" s="687"/>
      <c r="R306" s="687"/>
      <c r="S306" s="687"/>
      <c r="T306" s="687"/>
      <c r="U306" s="687"/>
      <c r="V306" s="687"/>
      <c r="W306" s="687"/>
      <c r="X306" s="687"/>
      <c r="Y306" s="687"/>
      <c r="Z306" s="687"/>
      <c r="AA306" s="687"/>
      <c r="AB306" s="687"/>
      <c r="AC306" s="687"/>
      <c r="AD306" s="687"/>
      <c r="AE306" s="687"/>
      <c r="AF306" s="687"/>
      <c r="AG306" s="687"/>
      <c r="AH306" s="687"/>
      <c r="AI306" s="687"/>
      <c r="AJ306" s="687"/>
      <c r="AK306" s="687"/>
      <c r="AL306" s="687"/>
      <c r="AM306" s="687"/>
      <c r="AN306" s="687"/>
      <c r="AO306" s="687"/>
      <c r="AP306" s="687"/>
      <c r="AQ306" s="687"/>
      <c r="AR306" s="687"/>
      <c r="AS306" s="687"/>
      <c r="AT306" s="687"/>
      <c r="AU306" s="687"/>
      <c r="AV306" s="687"/>
      <c r="AW306" s="687"/>
      <c r="AX306" s="687"/>
      <c r="AY306" s="687"/>
      <c r="AZ306" s="687"/>
      <c r="BA306" s="687"/>
      <c r="BB306" s="687"/>
      <c r="BC306" s="687"/>
      <c r="BD306" s="687"/>
      <c r="BE306" s="687"/>
      <c r="BF306" s="687"/>
      <c r="BG306" s="687"/>
      <c r="BH306" s="687"/>
      <c r="BI306" s="687"/>
      <c r="BJ306" s="687"/>
      <c r="BK306" s="687"/>
      <c r="BL306" s="687"/>
      <c r="BM306" s="687"/>
      <c r="BN306" s="687"/>
      <c r="BO306" s="687"/>
      <c r="BP306" s="687"/>
      <c r="BQ306" s="687"/>
      <c r="BR306" s="687"/>
      <c r="BS306" s="687"/>
      <c r="BT306" s="687"/>
      <c r="BU306" s="687"/>
      <c r="BV306" s="687"/>
      <c r="BW306" s="687"/>
      <c r="BX306" s="687"/>
      <c r="BY306" s="687"/>
      <c r="BZ306" s="687"/>
      <c r="CA306" s="687"/>
      <c r="CB306" s="687"/>
      <c r="CC306" s="687"/>
      <c r="CD306" s="687"/>
      <c r="CE306" s="687"/>
      <c r="CF306" s="687"/>
      <c r="CG306" s="687"/>
      <c r="CH306" s="687"/>
    </row>
    <row r="307" spans="1:86" ht="15.75" customHeight="1" outlineLevel="1" x14ac:dyDescent="0.35">
      <c r="A307" s="687"/>
      <c r="B307" s="696"/>
      <c r="C307" s="655" t="s">
        <v>102</v>
      </c>
      <c r="D307" s="766"/>
      <c r="E307" s="1039">
        <v>0</v>
      </c>
      <c r="F307" s="871"/>
      <c r="G307" s="758"/>
      <c r="H307" s="687"/>
      <c r="I307" s="687"/>
      <c r="J307" s="687"/>
      <c r="K307" s="687"/>
      <c r="L307" s="687"/>
      <c r="M307" s="687"/>
      <c r="N307" s="687"/>
      <c r="O307" s="687"/>
      <c r="P307" s="687"/>
      <c r="Q307" s="687"/>
      <c r="R307" s="687"/>
      <c r="S307" s="687"/>
      <c r="T307" s="687"/>
      <c r="U307" s="687"/>
      <c r="V307" s="687"/>
      <c r="W307" s="687"/>
      <c r="X307" s="687"/>
      <c r="Y307" s="687"/>
      <c r="Z307" s="687"/>
      <c r="AA307" s="687"/>
      <c r="AB307" s="687"/>
      <c r="AC307" s="687"/>
      <c r="AD307" s="687"/>
      <c r="AE307" s="687"/>
      <c r="AF307" s="687"/>
      <c r="AG307" s="687"/>
      <c r="AH307" s="687"/>
      <c r="AI307" s="687"/>
      <c r="AJ307" s="687"/>
      <c r="AK307" s="687"/>
      <c r="AL307" s="687"/>
      <c r="AM307" s="687"/>
      <c r="AN307" s="687"/>
      <c r="AO307" s="687"/>
      <c r="AP307" s="687"/>
      <c r="AQ307" s="687"/>
      <c r="AR307" s="687"/>
      <c r="AS307" s="687"/>
      <c r="AT307" s="687"/>
      <c r="AU307" s="687"/>
      <c r="AV307" s="687"/>
      <c r="AW307" s="687"/>
      <c r="AX307" s="687"/>
      <c r="AY307" s="687"/>
      <c r="AZ307" s="687"/>
      <c r="BA307" s="687"/>
      <c r="BB307" s="687"/>
      <c r="BC307" s="687"/>
      <c r="BD307" s="687"/>
      <c r="BE307" s="687"/>
      <c r="BF307" s="687"/>
      <c r="BG307" s="687"/>
      <c r="BH307" s="687"/>
      <c r="BI307" s="687"/>
      <c r="BJ307" s="687"/>
      <c r="BK307" s="687"/>
      <c r="BL307" s="687"/>
      <c r="BM307" s="687"/>
      <c r="BN307" s="687"/>
      <c r="BO307" s="687"/>
      <c r="BP307" s="687"/>
      <c r="BQ307" s="687"/>
      <c r="BR307" s="687"/>
      <c r="BS307" s="687"/>
      <c r="BT307" s="687"/>
      <c r="BU307" s="687"/>
      <c r="BV307" s="687"/>
      <c r="BW307" s="687"/>
      <c r="BX307" s="687"/>
      <c r="BY307" s="687"/>
      <c r="BZ307" s="687"/>
      <c r="CA307" s="687"/>
      <c r="CB307" s="687"/>
      <c r="CC307" s="687"/>
      <c r="CD307" s="687"/>
      <c r="CE307" s="687"/>
      <c r="CF307" s="687"/>
      <c r="CG307" s="687"/>
      <c r="CH307" s="687"/>
    </row>
    <row r="308" spans="1:86" ht="15.75" customHeight="1" outlineLevel="1" x14ac:dyDescent="0.35">
      <c r="A308" s="687"/>
      <c r="B308" s="696"/>
      <c r="C308" s="655" t="s">
        <v>103</v>
      </c>
      <c r="D308" s="766"/>
      <c r="E308" s="1039">
        <v>0</v>
      </c>
      <c r="F308" s="871"/>
      <c r="G308" s="758"/>
      <c r="H308" s="687"/>
      <c r="I308" s="687"/>
      <c r="J308" s="687"/>
      <c r="K308" s="687"/>
      <c r="L308" s="687"/>
      <c r="M308" s="687"/>
      <c r="N308" s="687"/>
      <c r="O308" s="687"/>
      <c r="P308" s="687"/>
      <c r="Q308" s="687"/>
      <c r="R308" s="687"/>
      <c r="S308" s="687"/>
      <c r="T308" s="687"/>
      <c r="U308" s="687"/>
      <c r="V308" s="687"/>
      <c r="W308" s="687"/>
      <c r="X308" s="687"/>
      <c r="Y308" s="687"/>
      <c r="Z308" s="687"/>
      <c r="AA308" s="687"/>
      <c r="AB308" s="687"/>
      <c r="AC308" s="687"/>
      <c r="AD308" s="687"/>
      <c r="AE308" s="687"/>
      <c r="AF308" s="687"/>
      <c r="AG308" s="687"/>
      <c r="AH308" s="687"/>
      <c r="AI308" s="687"/>
      <c r="AJ308" s="687"/>
      <c r="AK308" s="687"/>
      <c r="AL308" s="687"/>
      <c r="AM308" s="687"/>
      <c r="AN308" s="687"/>
      <c r="AO308" s="687"/>
      <c r="AP308" s="687"/>
      <c r="AQ308" s="687"/>
      <c r="AR308" s="687"/>
      <c r="AS308" s="687"/>
      <c r="AT308" s="687"/>
      <c r="AU308" s="687"/>
      <c r="AV308" s="687"/>
      <c r="AW308" s="687"/>
      <c r="AX308" s="687"/>
      <c r="AY308" s="687"/>
      <c r="AZ308" s="687"/>
      <c r="BA308" s="687"/>
      <c r="BB308" s="687"/>
      <c r="BC308" s="687"/>
      <c r="BD308" s="687"/>
      <c r="BE308" s="687"/>
      <c r="BF308" s="687"/>
      <c r="BG308" s="687"/>
      <c r="BH308" s="687"/>
      <c r="BI308" s="687"/>
      <c r="BJ308" s="687"/>
      <c r="BK308" s="687"/>
      <c r="BL308" s="687"/>
      <c r="BM308" s="687"/>
      <c r="BN308" s="687"/>
      <c r="BO308" s="687"/>
      <c r="BP308" s="687"/>
      <c r="BQ308" s="687"/>
      <c r="BR308" s="687"/>
      <c r="BS308" s="687"/>
      <c r="BT308" s="687"/>
      <c r="BU308" s="687"/>
      <c r="BV308" s="687"/>
      <c r="BW308" s="687"/>
      <c r="BX308" s="687"/>
      <c r="BY308" s="687"/>
      <c r="BZ308" s="687"/>
      <c r="CA308" s="687"/>
      <c r="CB308" s="687"/>
      <c r="CC308" s="687"/>
      <c r="CD308" s="687"/>
      <c r="CE308" s="687"/>
      <c r="CF308" s="687"/>
      <c r="CG308" s="687"/>
      <c r="CH308" s="687"/>
    </row>
    <row r="309" spans="1:86" ht="15.75" customHeight="1" outlineLevel="1" x14ac:dyDescent="0.35">
      <c r="A309" s="687"/>
      <c r="B309" s="696"/>
      <c r="C309" s="655" t="s">
        <v>104</v>
      </c>
      <c r="D309" s="766"/>
      <c r="E309" s="1039">
        <v>22.32</v>
      </c>
      <c r="F309" s="871"/>
      <c r="G309" s="758"/>
      <c r="H309" s="687"/>
      <c r="I309" s="687"/>
      <c r="J309" s="687"/>
      <c r="K309" s="687"/>
      <c r="L309" s="687"/>
      <c r="M309" s="687"/>
      <c r="N309" s="687"/>
      <c r="O309" s="687"/>
      <c r="P309" s="687"/>
      <c r="Q309" s="687"/>
      <c r="R309" s="687"/>
      <c r="S309" s="687"/>
      <c r="T309" s="687"/>
      <c r="U309" s="687"/>
      <c r="V309" s="687"/>
      <c r="W309" s="687"/>
      <c r="X309" s="687"/>
      <c r="Y309" s="687"/>
      <c r="Z309" s="687"/>
      <c r="AA309" s="687"/>
      <c r="AB309" s="687"/>
      <c r="AC309" s="687"/>
      <c r="AD309" s="687"/>
      <c r="AE309" s="687"/>
      <c r="AF309" s="687"/>
      <c r="AG309" s="687"/>
      <c r="AH309" s="687"/>
      <c r="AI309" s="687"/>
      <c r="AJ309" s="687"/>
      <c r="AK309" s="687"/>
      <c r="AL309" s="687"/>
      <c r="AM309" s="687"/>
      <c r="AN309" s="687"/>
      <c r="AO309" s="687"/>
      <c r="AP309" s="687"/>
      <c r="AQ309" s="687"/>
      <c r="AR309" s="687"/>
      <c r="AS309" s="687"/>
      <c r="AT309" s="687"/>
      <c r="AU309" s="687"/>
      <c r="AV309" s="687"/>
      <c r="AW309" s="687"/>
      <c r="AX309" s="687"/>
      <c r="AY309" s="687"/>
      <c r="AZ309" s="687"/>
      <c r="BA309" s="687"/>
      <c r="BB309" s="687"/>
      <c r="BC309" s="687"/>
      <c r="BD309" s="687"/>
      <c r="BE309" s="687"/>
      <c r="BF309" s="687"/>
      <c r="BG309" s="687"/>
      <c r="BH309" s="687"/>
      <c r="BI309" s="687"/>
      <c r="BJ309" s="687"/>
      <c r="BK309" s="687"/>
      <c r="BL309" s="687"/>
      <c r="BM309" s="687"/>
      <c r="BN309" s="687"/>
      <c r="BO309" s="687"/>
      <c r="BP309" s="687"/>
      <c r="BQ309" s="687"/>
      <c r="BR309" s="687"/>
      <c r="BS309" s="687"/>
      <c r="BT309" s="687"/>
      <c r="BU309" s="687"/>
      <c r="BV309" s="687"/>
      <c r="BW309" s="687"/>
      <c r="BX309" s="687"/>
      <c r="BY309" s="687"/>
      <c r="BZ309" s="687"/>
      <c r="CA309" s="687"/>
      <c r="CB309" s="687"/>
      <c r="CC309" s="687"/>
      <c r="CD309" s="687"/>
      <c r="CE309" s="687"/>
      <c r="CF309" s="687"/>
      <c r="CG309" s="687"/>
      <c r="CH309" s="687"/>
    </row>
    <row r="310" spans="1:86" ht="15.75" customHeight="1" outlineLevel="1" x14ac:dyDescent="0.35">
      <c r="A310" s="687"/>
      <c r="B310" s="696"/>
      <c r="C310" s="655" t="s">
        <v>105</v>
      </c>
      <c r="D310" s="766"/>
      <c r="E310" s="1039">
        <v>93</v>
      </c>
      <c r="F310" s="871"/>
      <c r="G310" s="758"/>
      <c r="H310" s="687"/>
      <c r="I310" s="687"/>
      <c r="J310" s="687"/>
      <c r="K310" s="687"/>
      <c r="L310" s="687"/>
      <c r="M310" s="687"/>
      <c r="N310" s="687"/>
      <c r="O310" s="687"/>
      <c r="P310" s="687"/>
      <c r="Q310" s="687"/>
      <c r="R310" s="687"/>
      <c r="S310" s="687"/>
      <c r="T310" s="687"/>
      <c r="U310" s="687"/>
      <c r="V310" s="687"/>
      <c r="W310" s="687"/>
      <c r="X310" s="687"/>
      <c r="Y310" s="687"/>
      <c r="Z310" s="687"/>
      <c r="AA310" s="687"/>
      <c r="AB310" s="687"/>
      <c r="AC310" s="687"/>
      <c r="AD310" s="687"/>
      <c r="AE310" s="687"/>
      <c r="AF310" s="687"/>
      <c r="AG310" s="687"/>
      <c r="AH310" s="687"/>
      <c r="AI310" s="687"/>
      <c r="AJ310" s="687"/>
      <c r="AK310" s="687"/>
      <c r="AL310" s="687"/>
      <c r="AM310" s="687"/>
      <c r="AN310" s="687"/>
      <c r="AO310" s="687"/>
      <c r="AP310" s="687"/>
      <c r="AQ310" s="687"/>
      <c r="AR310" s="687"/>
      <c r="AS310" s="687"/>
      <c r="AT310" s="687"/>
      <c r="AU310" s="687"/>
      <c r="AV310" s="687"/>
      <c r="AW310" s="687"/>
      <c r="AX310" s="687"/>
      <c r="AY310" s="687"/>
      <c r="AZ310" s="687"/>
      <c r="BA310" s="687"/>
      <c r="BB310" s="687"/>
      <c r="BC310" s="687"/>
      <c r="BD310" s="687"/>
      <c r="BE310" s="687"/>
      <c r="BF310" s="687"/>
      <c r="BG310" s="687"/>
      <c r="BH310" s="687"/>
      <c r="BI310" s="687"/>
      <c r="BJ310" s="687"/>
      <c r="BK310" s="687"/>
      <c r="BL310" s="687"/>
      <c r="BM310" s="687"/>
      <c r="BN310" s="687"/>
      <c r="BO310" s="687"/>
      <c r="BP310" s="687"/>
      <c r="BQ310" s="687"/>
      <c r="BR310" s="687"/>
      <c r="BS310" s="687"/>
      <c r="BT310" s="687"/>
      <c r="BU310" s="687"/>
      <c r="BV310" s="687"/>
      <c r="BW310" s="687"/>
      <c r="BX310" s="687"/>
      <c r="BY310" s="687"/>
      <c r="BZ310" s="687"/>
      <c r="CA310" s="687"/>
      <c r="CB310" s="687"/>
      <c r="CC310" s="687"/>
      <c r="CD310" s="687"/>
      <c r="CE310" s="687"/>
      <c r="CF310" s="687"/>
      <c r="CG310" s="687"/>
      <c r="CH310" s="687"/>
    </row>
    <row r="311" spans="1:86" ht="15.75" customHeight="1" outlineLevel="1" x14ac:dyDescent="0.35">
      <c r="A311" s="687"/>
      <c r="B311" s="696"/>
      <c r="C311" s="655" t="s">
        <v>106</v>
      </c>
      <c r="D311" s="766"/>
      <c r="E311" s="1039">
        <v>843.69999999999993</v>
      </c>
      <c r="F311" s="871"/>
      <c r="G311" s="758"/>
      <c r="H311" s="687"/>
      <c r="I311" s="687"/>
      <c r="J311" s="687"/>
      <c r="K311" s="687"/>
      <c r="L311" s="687"/>
      <c r="M311" s="687"/>
      <c r="N311" s="687"/>
      <c r="O311" s="687"/>
      <c r="P311" s="687"/>
      <c r="Q311" s="687"/>
      <c r="R311" s="687"/>
      <c r="S311" s="687"/>
      <c r="T311" s="687"/>
      <c r="U311" s="687"/>
      <c r="V311" s="687"/>
      <c r="W311" s="687"/>
      <c r="X311" s="687"/>
      <c r="Y311" s="687"/>
      <c r="Z311" s="687"/>
      <c r="AA311" s="687"/>
      <c r="AB311" s="687"/>
      <c r="AC311" s="687"/>
      <c r="AD311" s="687"/>
      <c r="AE311" s="687"/>
      <c r="AF311" s="687"/>
      <c r="AG311" s="687"/>
      <c r="AH311" s="687"/>
      <c r="AI311" s="687"/>
      <c r="AJ311" s="687"/>
      <c r="AK311" s="687"/>
      <c r="AL311" s="687"/>
      <c r="AM311" s="687"/>
      <c r="AN311" s="687"/>
      <c r="AO311" s="687"/>
      <c r="AP311" s="687"/>
      <c r="AQ311" s="687"/>
      <c r="AR311" s="687"/>
      <c r="AS311" s="687"/>
      <c r="AT311" s="687"/>
      <c r="AU311" s="687"/>
      <c r="AV311" s="687"/>
      <c r="AW311" s="687"/>
      <c r="AX311" s="687"/>
      <c r="AY311" s="687"/>
      <c r="AZ311" s="687"/>
      <c r="BA311" s="687"/>
      <c r="BB311" s="687"/>
      <c r="BC311" s="687"/>
      <c r="BD311" s="687"/>
      <c r="BE311" s="687"/>
      <c r="BF311" s="687"/>
      <c r="BG311" s="687"/>
      <c r="BH311" s="687"/>
      <c r="BI311" s="687"/>
      <c r="BJ311" s="687"/>
      <c r="BK311" s="687"/>
      <c r="BL311" s="687"/>
      <c r="BM311" s="687"/>
      <c r="BN311" s="687"/>
      <c r="BO311" s="687"/>
      <c r="BP311" s="687"/>
      <c r="BQ311" s="687"/>
      <c r="BR311" s="687"/>
      <c r="BS311" s="687"/>
      <c r="BT311" s="687"/>
      <c r="BU311" s="687"/>
      <c r="BV311" s="687"/>
      <c r="BW311" s="687"/>
      <c r="BX311" s="687"/>
      <c r="BY311" s="687"/>
      <c r="BZ311" s="687"/>
      <c r="CA311" s="687"/>
      <c r="CB311" s="687"/>
      <c r="CC311" s="687"/>
      <c r="CD311" s="687"/>
      <c r="CE311" s="687"/>
      <c r="CF311" s="687"/>
      <c r="CG311" s="687"/>
      <c r="CH311" s="687"/>
    </row>
    <row r="312" spans="1:86" ht="15.75" customHeight="1" outlineLevel="1" x14ac:dyDescent="0.35">
      <c r="A312" s="687"/>
      <c r="B312" s="696"/>
      <c r="C312" s="655" t="s">
        <v>107</v>
      </c>
      <c r="D312" s="766"/>
      <c r="E312" s="1039">
        <v>2346</v>
      </c>
      <c r="F312" s="871"/>
      <c r="G312" s="758"/>
      <c r="H312" s="687"/>
      <c r="I312" s="687"/>
      <c r="J312" s="687"/>
      <c r="K312" s="687"/>
      <c r="L312" s="687"/>
      <c r="M312" s="687"/>
      <c r="N312" s="687"/>
      <c r="O312" s="687"/>
      <c r="P312" s="687"/>
      <c r="Q312" s="687"/>
      <c r="R312" s="687"/>
      <c r="S312" s="687"/>
      <c r="T312" s="687"/>
      <c r="U312" s="687"/>
      <c r="V312" s="687"/>
      <c r="W312" s="687"/>
      <c r="X312" s="687"/>
      <c r="Y312" s="687"/>
      <c r="Z312" s="687"/>
      <c r="AA312" s="687"/>
      <c r="AB312" s="687"/>
      <c r="AC312" s="687"/>
      <c r="AD312" s="687"/>
      <c r="AE312" s="687"/>
      <c r="AF312" s="687"/>
      <c r="AG312" s="687"/>
      <c r="AH312" s="687"/>
      <c r="AI312" s="687"/>
      <c r="AJ312" s="687"/>
      <c r="AK312" s="687"/>
      <c r="AL312" s="687"/>
      <c r="AM312" s="687"/>
      <c r="AN312" s="687"/>
      <c r="AO312" s="687"/>
      <c r="AP312" s="687"/>
      <c r="AQ312" s="687"/>
      <c r="AR312" s="687"/>
      <c r="AS312" s="687"/>
      <c r="AT312" s="687"/>
      <c r="AU312" s="687"/>
      <c r="AV312" s="687"/>
      <c r="AW312" s="687"/>
      <c r="AX312" s="687"/>
      <c r="AY312" s="687"/>
      <c r="AZ312" s="687"/>
      <c r="BA312" s="687"/>
      <c r="BB312" s="687"/>
      <c r="BC312" s="687"/>
      <c r="BD312" s="687"/>
      <c r="BE312" s="687"/>
      <c r="BF312" s="687"/>
      <c r="BG312" s="687"/>
      <c r="BH312" s="687"/>
      <c r="BI312" s="687"/>
      <c r="BJ312" s="687"/>
      <c r="BK312" s="687"/>
      <c r="BL312" s="687"/>
      <c r="BM312" s="687"/>
      <c r="BN312" s="687"/>
      <c r="BO312" s="687"/>
      <c r="BP312" s="687"/>
      <c r="BQ312" s="687"/>
      <c r="BR312" s="687"/>
      <c r="BS312" s="687"/>
      <c r="BT312" s="687"/>
      <c r="BU312" s="687"/>
      <c r="BV312" s="687"/>
      <c r="BW312" s="687"/>
      <c r="BX312" s="687"/>
      <c r="BY312" s="687"/>
      <c r="BZ312" s="687"/>
      <c r="CA312" s="687"/>
      <c r="CB312" s="687"/>
      <c r="CC312" s="687"/>
      <c r="CD312" s="687"/>
      <c r="CE312" s="687"/>
      <c r="CF312" s="687"/>
      <c r="CG312" s="687"/>
      <c r="CH312" s="687"/>
    </row>
    <row r="313" spans="1:86" ht="15.75" customHeight="1" outlineLevel="1" x14ac:dyDescent="0.35">
      <c r="A313" s="687"/>
      <c r="B313" s="696"/>
      <c r="C313" s="655" t="s">
        <v>108</v>
      </c>
      <c r="D313" s="766"/>
      <c r="E313" s="1039">
        <v>3026.69</v>
      </c>
      <c r="F313" s="871"/>
      <c r="G313" s="758"/>
      <c r="H313" s="687"/>
      <c r="I313" s="687"/>
      <c r="J313" s="687"/>
      <c r="K313" s="687"/>
      <c r="L313" s="687"/>
      <c r="M313" s="687"/>
      <c r="N313" s="687"/>
      <c r="O313" s="687"/>
      <c r="P313" s="687"/>
      <c r="Q313" s="687"/>
      <c r="R313" s="687"/>
      <c r="S313" s="687"/>
      <c r="T313" s="687"/>
      <c r="U313" s="687"/>
      <c r="V313" s="687"/>
      <c r="W313" s="687"/>
      <c r="X313" s="687"/>
      <c r="Y313" s="687"/>
      <c r="Z313" s="687"/>
      <c r="AA313" s="687"/>
      <c r="AB313" s="687"/>
      <c r="AC313" s="687"/>
      <c r="AD313" s="687"/>
      <c r="AE313" s="687"/>
      <c r="AF313" s="687"/>
      <c r="AG313" s="687"/>
      <c r="AH313" s="687"/>
      <c r="AI313" s="687"/>
      <c r="AJ313" s="687"/>
      <c r="AK313" s="687"/>
      <c r="AL313" s="687"/>
      <c r="AM313" s="687"/>
      <c r="AN313" s="687"/>
      <c r="AO313" s="687"/>
      <c r="AP313" s="687"/>
      <c r="AQ313" s="687"/>
      <c r="AR313" s="687"/>
      <c r="AS313" s="687"/>
      <c r="AT313" s="687"/>
      <c r="AU313" s="687"/>
      <c r="AV313" s="687"/>
      <c r="AW313" s="687"/>
      <c r="AX313" s="687"/>
      <c r="AY313" s="687"/>
      <c r="AZ313" s="687"/>
      <c r="BA313" s="687"/>
      <c r="BB313" s="687"/>
      <c r="BC313" s="687"/>
      <c r="BD313" s="687"/>
      <c r="BE313" s="687"/>
      <c r="BF313" s="687"/>
      <c r="BG313" s="687"/>
      <c r="BH313" s="687"/>
      <c r="BI313" s="687"/>
      <c r="BJ313" s="687"/>
      <c r="BK313" s="687"/>
      <c r="BL313" s="687"/>
      <c r="BM313" s="687"/>
      <c r="BN313" s="687"/>
      <c r="BO313" s="687"/>
      <c r="BP313" s="687"/>
      <c r="BQ313" s="687"/>
      <c r="BR313" s="687"/>
      <c r="BS313" s="687"/>
      <c r="BT313" s="687"/>
      <c r="BU313" s="687"/>
      <c r="BV313" s="687"/>
      <c r="BW313" s="687"/>
      <c r="BX313" s="687"/>
      <c r="BY313" s="687"/>
      <c r="BZ313" s="687"/>
      <c r="CA313" s="687"/>
      <c r="CB313" s="687"/>
      <c r="CC313" s="687"/>
      <c r="CD313" s="687"/>
      <c r="CE313" s="687"/>
      <c r="CF313" s="687"/>
      <c r="CG313" s="687"/>
      <c r="CH313" s="687"/>
    </row>
    <row r="314" spans="1:86" ht="15.75" customHeight="1" outlineLevel="1" x14ac:dyDescent="0.35">
      <c r="A314" s="687"/>
      <c r="B314" s="696"/>
      <c r="C314" s="655" t="s">
        <v>109</v>
      </c>
      <c r="D314" s="766"/>
      <c r="E314" s="1039">
        <v>1809.3400000000001</v>
      </c>
      <c r="F314" s="871"/>
      <c r="G314" s="758"/>
      <c r="H314" s="687"/>
      <c r="I314" s="687"/>
      <c r="J314" s="687"/>
      <c r="K314" s="687"/>
      <c r="L314" s="687"/>
      <c r="M314" s="687"/>
      <c r="N314" s="687"/>
      <c r="O314" s="687"/>
      <c r="P314" s="687"/>
      <c r="Q314" s="687"/>
      <c r="R314" s="687"/>
      <c r="S314" s="687"/>
      <c r="T314" s="687"/>
      <c r="U314" s="687"/>
      <c r="V314" s="687"/>
      <c r="W314" s="687"/>
      <c r="X314" s="687"/>
      <c r="Y314" s="687"/>
      <c r="Z314" s="687"/>
      <c r="AA314" s="687"/>
      <c r="AB314" s="687"/>
      <c r="AC314" s="687"/>
      <c r="AD314" s="687"/>
      <c r="AE314" s="687"/>
      <c r="AF314" s="687"/>
      <c r="AG314" s="687"/>
      <c r="AH314" s="687"/>
      <c r="AI314" s="687"/>
      <c r="AJ314" s="687"/>
      <c r="AK314" s="687"/>
      <c r="AL314" s="687"/>
      <c r="AM314" s="687"/>
      <c r="AN314" s="687"/>
      <c r="AO314" s="687"/>
      <c r="AP314" s="687"/>
      <c r="AQ314" s="687"/>
      <c r="AR314" s="687"/>
      <c r="AS314" s="687"/>
      <c r="AT314" s="687"/>
      <c r="AU314" s="687"/>
      <c r="AV314" s="687"/>
      <c r="AW314" s="687"/>
      <c r="AX314" s="687"/>
      <c r="AY314" s="687"/>
      <c r="AZ314" s="687"/>
      <c r="BA314" s="687"/>
      <c r="BB314" s="687"/>
      <c r="BC314" s="687"/>
      <c r="BD314" s="687"/>
      <c r="BE314" s="687"/>
      <c r="BF314" s="687"/>
      <c r="BG314" s="687"/>
      <c r="BH314" s="687"/>
      <c r="BI314" s="687"/>
      <c r="BJ314" s="687"/>
      <c r="BK314" s="687"/>
      <c r="BL314" s="687"/>
      <c r="BM314" s="687"/>
      <c r="BN314" s="687"/>
      <c r="BO314" s="687"/>
      <c r="BP314" s="687"/>
      <c r="BQ314" s="687"/>
      <c r="BR314" s="687"/>
      <c r="BS314" s="687"/>
      <c r="BT314" s="687"/>
      <c r="BU314" s="687"/>
      <c r="BV314" s="687"/>
      <c r="BW314" s="687"/>
      <c r="BX314" s="687"/>
      <c r="BY314" s="687"/>
      <c r="BZ314" s="687"/>
      <c r="CA314" s="687"/>
      <c r="CB314" s="687"/>
      <c r="CC314" s="687"/>
      <c r="CD314" s="687"/>
      <c r="CE314" s="687"/>
      <c r="CF314" s="687"/>
      <c r="CG314" s="687"/>
      <c r="CH314" s="687"/>
    </row>
    <row r="315" spans="1:86" ht="15.75" customHeight="1" outlineLevel="1" x14ac:dyDescent="0.35">
      <c r="A315" s="687"/>
      <c r="B315" s="696"/>
      <c r="C315" s="655" t="s">
        <v>110</v>
      </c>
      <c r="D315" s="766"/>
      <c r="E315" s="1039">
        <v>3.1</v>
      </c>
      <c r="F315" s="871"/>
      <c r="G315" s="758"/>
      <c r="H315" s="687"/>
      <c r="I315" s="687"/>
      <c r="J315" s="687"/>
      <c r="K315" s="687"/>
      <c r="L315" s="687"/>
      <c r="M315" s="687"/>
      <c r="N315" s="687"/>
      <c r="O315" s="687"/>
      <c r="P315" s="687"/>
      <c r="Q315" s="687"/>
      <c r="R315" s="687"/>
      <c r="S315" s="687"/>
      <c r="T315" s="687"/>
      <c r="U315" s="687"/>
      <c r="V315" s="687"/>
      <c r="W315" s="687"/>
      <c r="X315" s="687"/>
      <c r="Y315" s="687"/>
      <c r="Z315" s="687"/>
      <c r="AA315" s="687"/>
      <c r="AB315" s="687"/>
      <c r="AC315" s="687"/>
      <c r="AD315" s="687"/>
      <c r="AE315" s="687"/>
      <c r="AF315" s="687"/>
      <c r="AG315" s="687"/>
      <c r="AH315" s="687"/>
      <c r="AI315" s="687"/>
      <c r="AJ315" s="687"/>
      <c r="AK315" s="687"/>
      <c r="AL315" s="687"/>
      <c r="AM315" s="687"/>
      <c r="AN315" s="687"/>
      <c r="AO315" s="687"/>
      <c r="AP315" s="687"/>
      <c r="AQ315" s="687"/>
      <c r="AR315" s="687"/>
      <c r="AS315" s="687"/>
      <c r="AT315" s="687"/>
      <c r="AU315" s="687"/>
      <c r="AV315" s="687"/>
      <c r="AW315" s="687"/>
      <c r="AX315" s="687"/>
      <c r="AY315" s="687"/>
      <c r="AZ315" s="687"/>
      <c r="BA315" s="687"/>
      <c r="BB315" s="687"/>
      <c r="BC315" s="687"/>
      <c r="BD315" s="687"/>
      <c r="BE315" s="687"/>
      <c r="BF315" s="687"/>
      <c r="BG315" s="687"/>
      <c r="BH315" s="687"/>
      <c r="BI315" s="687"/>
      <c r="BJ315" s="687"/>
      <c r="BK315" s="687"/>
      <c r="BL315" s="687"/>
      <c r="BM315" s="687"/>
      <c r="BN315" s="687"/>
      <c r="BO315" s="687"/>
      <c r="BP315" s="687"/>
      <c r="BQ315" s="687"/>
      <c r="BR315" s="687"/>
      <c r="BS315" s="687"/>
      <c r="BT315" s="687"/>
      <c r="BU315" s="687"/>
      <c r="BV315" s="687"/>
      <c r="BW315" s="687"/>
      <c r="BX315" s="687"/>
      <c r="BY315" s="687"/>
      <c r="BZ315" s="687"/>
      <c r="CA315" s="687"/>
      <c r="CB315" s="687"/>
      <c r="CC315" s="687"/>
      <c r="CD315" s="687"/>
      <c r="CE315" s="687"/>
      <c r="CF315" s="687"/>
      <c r="CG315" s="687"/>
      <c r="CH315" s="687"/>
    </row>
    <row r="316" spans="1:86" ht="15.75" customHeight="1" outlineLevel="1" x14ac:dyDescent="0.35">
      <c r="A316" s="687"/>
      <c r="B316" s="696"/>
      <c r="C316" s="655" t="s">
        <v>111</v>
      </c>
      <c r="D316" s="766"/>
      <c r="E316" s="1039">
        <v>2966.7</v>
      </c>
      <c r="F316" s="871"/>
      <c r="G316" s="758"/>
      <c r="H316" s="687"/>
      <c r="I316" s="687"/>
      <c r="J316" s="687"/>
      <c r="K316" s="687"/>
      <c r="L316" s="687"/>
      <c r="M316" s="687"/>
      <c r="N316" s="687"/>
      <c r="O316" s="687"/>
      <c r="P316" s="687"/>
      <c r="Q316" s="687"/>
      <c r="R316" s="687"/>
      <c r="S316" s="687"/>
      <c r="T316" s="687"/>
      <c r="U316" s="687"/>
      <c r="V316" s="687"/>
      <c r="W316" s="687"/>
      <c r="X316" s="687"/>
      <c r="Y316" s="687"/>
      <c r="Z316" s="687"/>
      <c r="AA316" s="687"/>
      <c r="AB316" s="687"/>
      <c r="AC316" s="687"/>
      <c r="AD316" s="687"/>
      <c r="AE316" s="687"/>
      <c r="AF316" s="687"/>
      <c r="AG316" s="687"/>
      <c r="AH316" s="687"/>
      <c r="AI316" s="687"/>
      <c r="AJ316" s="687"/>
      <c r="AK316" s="687"/>
      <c r="AL316" s="687"/>
      <c r="AM316" s="687"/>
      <c r="AN316" s="687"/>
      <c r="AO316" s="687"/>
      <c r="AP316" s="687"/>
      <c r="AQ316" s="687"/>
      <c r="AR316" s="687"/>
      <c r="AS316" s="687"/>
      <c r="AT316" s="687"/>
      <c r="AU316" s="687"/>
      <c r="AV316" s="687"/>
      <c r="AW316" s="687"/>
      <c r="AX316" s="687"/>
      <c r="AY316" s="687"/>
      <c r="AZ316" s="687"/>
      <c r="BA316" s="687"/>
      <c r="BB316" s="687"/>
      <c r="BC316" s="687"/>
      <c r="BD316" s="687"/>
      <c r="BE316" s="687"/>
      <c r="BF316" s="687"/>
      <c r="BG316" s="687"/>
      <c r="BH316" s="687"/>
      <c r="BI316" s="687"/>
      <c r="BJ316" s="687"/>
      <c r="BK316" s="687"/>
      <c r="BL316" s="687"/>
      <c r="BM316" s="687"/>
      <c r="BN316" s="687"/>
      <c r="BO316" s="687"/>
      <c r="BP316" s="687"/>
      <c r="BQ316" s="687"/>
      <c r="BR316" s="687"/>
      <c r="BS316" s="687"/>
      <c r="BT316" s="687"/>
      <c r="BU316" s="687"/>
      <c r="BV316" s="687"/>
      <c r="BW316" s="687"/>
      <c r="BX316" s="687"/>
      <c r="BY316" s="687"/>
      <c r="BZ316" s="687"/>
      <c r="CA316" s="687"/>
      <c r="CB316" s="687"/>
      <c r="CC316" s="687"/>
      <c r="CD316" s="687"/>
      <c r="CE316" s="687"/>
      <c r="CF316" s="687"/>
      <c r="CG316" s="687"/>
      <c r="CH316" s="687"/>
    </row>
    <row r="317" spans="1:86" ht="15.75" customHeight="1" outlineLevel="1" x14ac:dyDescent="0.35">
      <c r="A317" s="687"/>
      <c r="B317" s="696"/>
      <c r="C317" s="655" t="s">
        <v>112</v>
      </c>
      <c r="D317" s="766"/>
      <c r="E317" s="1039">
        <v>2383.9</v>
      </c>
      <c r="F317" s="871"/>
      <c r="G317" s="758"/>
      <c r="H317" s="687"/>
      <c r="I317" s="687"/>
      <c r="J317" s="687"/>
      <c r="K317" s="687"/>
      <c r="L317" s="687"/>
      <c r="M317" s="687"/>
      <c r="N317" s="687"/>
      <c r="O317" s="687"/>
      <c r="P317" s="687"/>
      <c r="Q317" s="687"/>
      <c r="R317" s="687"/>
      <c r="S317" s="687"/>
      <c r="T317" s="687"/>
      <c r="U317" s="687"/>
      <c r="V317" s="687"/>
      <c r="W317" s="687"/>
      <c r="X317" s="687"/>
      <c r="Y317" s="687"/>
      <c r="Z317" s="687"/>
      <c r="AA317" s="687"/>
      <c r="AB317" s="687"/>
      <c r="AC317" s="687"/>
      <c r="AD317" s="687"/>
      <c r="AE317" s="687"/>
      <c r="AF317" s="687"/>
      <c r="AG317" s="687"/>
      <c r="AH317" s="687"/>
      <c r="AI317" s="687"/>
      <c r="AJ317" s="687"/>
      <c r="AK317" s="687"/>
      <c r="AL317" s="687"/>
      <c r="AM317" s="687"/>
      <c r="AN317" s="687"/>
      <c r="AO317" s="687"/>
      <c r="AP317" s="687"/>
      <c r="AQ317" s="687"/>
      <c r="AR317" s="687"/>
      <c r="AS317" s="687"/>
      <c r="AT317" s="687"/>
      <c r="AU317" s="687"/>
      <c r="AV317" s="687"/>
      <c r="AW317" s="687"/>
      <c r="AX317" s="687"/>
      <c r="AY317" s="687"/>
      <c r="AZ317" s="687"/>
      <c r="BA317" s="687"/>
      <c r="BB317" s="687"/>
      <c r="BC317" s="687"/>
      <c r="BD317" s="687"/>
      <c r="BE317" s="687"/>
      <c r="BF317" s="687"/>
      <c r="BG317" s="687"/>
      <c r="BH317" s="687"/>
      <c r="BI317" s="687"/>
      <c r="BJ317" s="687"/>
      <c r="BK317" s="687"/>
      <c r="BL317" s="687"/>
      <c r="BM317" s="687"/>
      <c r="BN317" s="687"/>
      <c r="BO317" s="687"/>
      <c r="BP317" s="687"/>
      <c r="BQ317" s="687"/>
      <c r="BR317" s="687"/>
      <c r="BS317" s="687"/>
      <c r="BT317" s="687"/>
      <c r="BU317" s="687"/>
      <c r="BV317" s="687"/>
      <c r="BW317" s="687"/>
      <c r="BX317" s="687"/>
      <c r="BY317" s="687"/>
      <c r="BZ317" s="687"/>
      <c r="CA317" s="687"/>
      <c r="CB317" s="687"/>
      <c r="CC317" s="687"/>
      <c r="CD317" s="687"/>
      <c r="CE317" s="687"/>
      <c r="CF317" s="687"/>
      <c r="CG317" s="687"/>
      <c r="CH317" s="687"/>
    </row>
    <row r="318" spans="1:86" ht="15.75" customHeight="1" outlineLevel="1" x14ac:dyDescent="0.35">
      <c r="A318" s="687"/>
      <c r="B318" s="696"/>
      <c r="C318" s="655" t="s">
        <v>113</v>
      </c>
      <c r="D318" s="766"/>
      <c r="E318" s="1039">
        <v>1258.4000000000001</v>
      </c>
      <c r="F318" s="871"/>
      <c r="G318" s="758"/>
      <c r="H318" s="687"/>
      <c r="I318" s="687"/>
      <c r="J318" s="687"/>
      <c r="K318" s="687"/>
      <c r="L318" s="687"/>
      <c r="M318" s="687"/>
      <c r="N318" s="687"/>
      <c r="O318" s="687"/>
      <c r="P318" s="687"/>
      <c r="Q318" s="687"/>
      <c r="R318" s="687"/>
      <c r="S318" s="687"/>
      <c r="T318" s="687"/>
      <c r="U318" s="687"/>
      <c r="V318" s="687"/>
      <c r="W318" s="687"/>
      <c r="X318" s="687"/>
      <c r="Y318" s="687"/>
      <c r="Z318" s="687"/>
      <c r="AA318" s="687"/>
      <c r="AB318" s="687"/>
      <c r="AC318" s="687"/>
      <c r="AD318" s="687"/>
      <c r="AE318" s="687"/>
      <c r="AF318" s="687"/>
      <c r="AG318" s="687"/>
      <c r="AH318" s="687"/>
      <c r="AI318" s="687"/>
      <c r="AJ318" s="687"/>
      <c r="AK318" s="687"/>
      <c r="AL318" s="687"/>
      <c r="AM318" s="687"/>
      <c r="AN318" s="687"/>
      <c r="AO318" s="687"/>
      <c r="AP318" s="687"/>
      <c r="AQ318" s="687"/>
      <c r="AR318" s="687"/>
      <c r="AS318" s="687"/>
      <c r="AT318" s="687"/>
      <c r="AU318" s="687"/>
      <c r="AV318" s="687"/>
      <c r="AW318" s="687"/>
      <c r="AX318" s="687"/>
      <c r="AY318" s="687"/>
      <c r="AZ318" s="687"/>
      <c r="BA318" s="687"/>
      <c r="BB318" s="687"/>
      <c r="BC318" s="687"/>
      <c r="BD318" s="687"/>
      <c r="BE318" s="687"/>
      <c r="BF318" s="687"/>
      <c r="BG318" s="687"/>
      <c r="BH318" s="687"/>
      <c r="BI318" s="687"/>
      <c r="BJ318" s="687"/>
      <c r="BK318" s="687"/>
      <c r="BL318" s="687"/>
      <c r="BM318" s="687"/>
      <c r="BN318" s="687"/>
      <c r="BO318" s="687"/>
      <c r="BP318" s="687"/>
      <c r="BQ318" s="687"/>
      <c r="BR318" s="687"/>
      <c r="BS318" s="687"/>
      <c r="BT318" s="687"/>
      <c r="BU318" s="687"/>
      <c r="BV318" s="687"/>
      <c r="BW318" s="687"/>
      <c r="BX318" s="687"/>
      <c r="BY318" s="687"/>
      <c r="BZ318" s="687"/>
      <c r="CA318" s="687"/>
      <c r="CB318" s="687"/>
      <c r="CC318" s="687"/>
      <c r="CD318" s="687"/>
      <c r="CE318" s="687"/>
      <c r="CF318" s="687"/>
      <c r="CG318" s="687"/>
      <c r="CH318" s="687"/>
    </row>
    <row r="319" spans="1:86" ht="15.75" customHeight="1" outlineLevel="1" x14ac:dyDescent="0.35">
      <c r="A319" s="687"/>
      <c r="B319" s="696"/>
      <c r="C319" s="655" t="s">
        <v>114</v>
      </c>
      <c r="D319" s="766"/>
      <c r="E319" s="1039">
        <v>2630.6</v>
      </c>
      <c r="F319" s="871"/>
      <c r="G319" s="758"/>
      <c r="H319" s="687"/>
      <c r="I319" s="687"/>
      <c r="J319" s="687"/>
      <c r="K319" s="687"/>
      <c r="L319" s="687"/>
      <c r="M319" s="687"/>
      <c r="N319" s="687"/>
      <c r="O319" s="687"/>
      <c r="P319" s="687"/>
      <c r="Q319" s="687"/>
      <c r="R319" s="687"/>
      <c r="S319" s="687"/>
      <c r="T319" s="687"/>
      <c r="U319" s="687"/>
      <c r="V319" s="687"/>
      <c r="W319" s="687"/>
      <c r="X319" s="687"/>
      <c r="Y319" s="687"/>
      <c r="Z319" s="687"/>
      <c r="AA319" s="687"/>
      <c r="AB319" s="687"/>
      <c r="AC319" s="687"/>
      <c r="AD319" s="687"/>
      <c r="AE319" s="687"/>
      <c r="AF319" s="687"/>
      <c r="AG319" s="687"/>
      <c r="AH319" s="687"/>
      <c r="AI319" s="687"/>
      <c r="AJ319" s="687"/>
      <c r="AK319" s="687"/>
      <c r="AL319" s="687"/>
      <c r="AM319" s="687"/>
      <c r="AN319" s="687"/>
      <c r="AO319" s="687"/>
      <c r="AP319" s="687"/>
      <c r="AQ319" s="687"/>
      <c r="AR319" s="687"/>
      <c r="AS319" s="687"/>
      <c r="AT319" s="687"/>
      <c r="AU319" s="687"/>
      <c r="AV319" s="687"/>
      <c r="AW319" s="687"/>
      <c r="AX319" s="687"/>
      <c r="AY319" s="687"/>
      <c r="AZ319" s="687"/>
      <c r="BA319" s="687"/>
      <c r="BB319" s="687"/>
      <c r="BC319" s="687"/>
      <c r="BD319" s="687"/>
      <c r="BE319" s="687"/>
      <c r="BF319" s="687"/>
      <c r="BG319" s="687"/>
      <c r="BH319" s="687"/>
      <c r="BI319" s="687"/>
      <c r="BJ319" s="687"/>
      <c r="BK319" s="687"/>
      <c r="BL319" s="687"/>
      <c r="BM319" s="687"/>
      <c r="BN319" s="687"/>
      <c r="BO319" s="687"/>
      <c r="BP319" s="687"/>
      <c r="BQ319" s="687"/>
      <c r="BR319" s="687"/>
      <c r="BS319" s="687"/>
      <c r="BT319" s="687"/>
      <c r="BU319" s="687"/>
      <c r="BV319" s="687"/>
      <c r="BW319" s="687"/>
      <c r="BX319" s="687"/>
      <c r="BY319" s="687"/>
      <c r="BZ319" s="687"/>
      <c r="CA319" s="687"/>
      <c r="CB319" s="687"/>
      <c r="CC319" s="687"/>
      <c r="CD319" s="687"/>
      <c r="CE319" s="687"/>
      <c r="CF319" s="687"/>
      <c r="CG319" s="687"/>
      <c r="CH319" s="687"/>
    </row>
    <row r="320" spans="1:86" ht="15.75" customHeight="1" outlineLevel="1" x14ac:dyDescent="0.35">
      <c r="A320" s="687"/>
      <c r="B320" s="696"/>
      <c r="C320" s="655" t="s">
        <v>115</v>
      </c>
      <c r="D320" s="766"/>
      <c r="E320" s="1039">
        <v>3189.5</v>
      </c>
      <c r="F320" s="871"/>
      <c r="G320" s="758"/>
      <c r="H320" s="687"/>
      <c r="I320" s="687"/>
      <c r="J320" s="687"/>
      <c r="K320" s="687"/>
      <c r="L320" s="687"/>
      <c r="M320" s="687"/>
      <c r="N320" s="687"/>
      <c r="O320" s="687"/>
      <c r="P320" s="687"/>
      <c r="Q320" s="687"/>
      <c r="R320" s="687"/>
      <c r="S320" s="687"/>
      <c r="T320" s="687"/>
      <c r="U320" s="687"/>
      <c r="V320" s="687"/>
      <c r="W320" s="687"/>
      <c r="X320" s="687"/>
      <c r="Y320" s="687"/>
      <c r="Z320" s="687"/>
      <c r="AA320" s="687"/>
      <c r="AB320" s="687"/>
      <c r="AC320" s="687"/>
      <c r="AD320" s="687"/>
      <c r="AE320" s="687"/>
      <c r="AF320" s="687"/>
      <c r="AG320" s="687"/>
      <c r="AH320" s="687"/>
      <c r="AI320" s="687"/>
      <c r="AJ320" s="687"/>
      <c r="AK320" s="687"/>
      <c r="AL320" s="687"/>
      <c r="AM320" s="687"/>
      <c r="AN320" s="687"/>
      <c r="AO320" s="687"/>
      <c r="AP320" s="687"/>
      <c r="AQ320" s="687"/>
      <c r="AR320" s="687"/>
      <c r="AS320" s="687"/>
      <c r="AT320" s="687"/>
      <c r="AU320" s="687"/>
      <c r="AV320" s="687"/>
      <c r="AW320" s="687"/>
      <c r="AX320" s="687"/>
      <c r="AY320" s="687"/>
      <c r="AZ320" s="687"/>
      <c r="BA320" s="687"/>
      <c r="BB320" s="687"/>
      <c r="BC320" s="687"/>
      <c r="BD320" s="687"/>
      <c r="BE320" s="687"/>
      <c r="BF320" s="687"/>
      <c r="BG320" s="687"/>
      <c r="BH320" s="687"/>
      <c r="BI320" s="687"/>
      <c r="BJ320" s="687"/>
      <c r="BK320" s="687"/>
      <c r="BL320" s="687"/>
      <c r="BM320" s="687"/>
      <c r="BN320" s="687"/>
      <c r="BO320" s="687"/>
      <c r="BP320" s="687"/>
      <c r="BQ320" s="687"/>
      <c r="BR320" s="687"/>
      <c r="BS320" s="687"/>
      <c r="BT320" s="687"/>
      <c r="BU320" s="687"/>
      <c r="BV320" s="687"/>
      <c r="BW320" s="687"/>
      <c r="BX320" s="687"/>
      <c r="BY320" s="687"/>
      <c r="BZ320" s="687"/>
      <c r="CA320" s="687"/>
      <c r="CB320" s="687"/>
      <c r="CC320" s="687"/>
      <c r="CD320" s="687"/>
      <c r="CE320" s="687"/>
      <c r="CF320" s="687"/>
      <c r="CG320" s="687"/>
      <c r="CH320" s="687"/>
    </row>
    <row r="321" spans="1:86" ht="15.75" customHeight="1" outlineLevel="1" x14ac:dyDescent="0.35">
      <c r="A321" s="687"/>
      <c r="B321" s="696"/>
      <c r="C321" s="655" t="s">
        <v>116</v>
      </c>
      <c r="D321" s="766"/>
      <c r="E321" s="1039">
        <v>3142.95</v>
      </c>
      <c r="F321" s="871"/>
      <c r="G321" s="758"/>
      <c r="H321" s="687"/>
      <c r="I321" s="687"/>
      <c r="J321" s="687"/>
      <c r="K321" s="687"/>
      <c r="L321" s="687"/>
      <c r="M321" s="687"/>
      <c r="N321" s="687"/>
      <c r="O321" s="687"/>
      <c r="P321" s="687"/>
      <c r="Q321" s="687"/>
      <c r="R321" s="687"/>
      <c r="S321" s="687"/>
      <c r="T321" s="687"/>
      <c r="U321" s="687"/>
      <c r="V321" s="687"/>
      <c r="W321" s="687"/>
      <c r="X321" s="687"/>
      <c r="Y321" s="687"/>
      <c r="Z321" s="687"/>
      <c r="AA321" s="687"/>
      <c r="AB321" s="687"/>
      <c r="AC321" s="687"/>
      <c r="AD321" s="687"/>
      <c r="AE321" s="687"/>
      <c r="AF321" s="687"/>
      <c r="AG321" s="687"/>
      <c r="AH321" s="687"/>
      <c r="AI321" s="687"/>
      <c r="AJ321" s="687"/>
      <c r="AK321" s="687"/>
      <c r="AL321" s="687"/>
      <c r="AM321" s="687"/>
      <c r="AN321" s="687"/>
      <c r="AO321" s="687"/>
      <c r="AP321" s="687"/>
      <c r="AQ321" s="687"/>
      <c r="AR321" s="687"/>
      <c r="AS321" s="687"/>
      <c r="AT321" s="687"/>
      <c r="AU321" s="687"/>
      <c r="AV321" s="687"/>
      <c r="AW321" s="687"/>
      <c r="AX321" s="687"/>
      <c r="AY321" s="687"/>
      <c r="AZ321" s="687"/>
      <c r="BA321" s="687"/>
      <c r="BB321" s="687"/>
      <c r="BC321" s="687"/>
      <c r="BD321" s="687"/>
      <c r="BE321" s="687"/>
      <c r="BF321" s="687"/>
      <c r="BG321" s="687"/>
      <c r="BH321" s="687"/>
      <c r="BI321" s="687"/>
      <c r="BJ321" s="687"/>
      <c r="BK321" s="687"/>
      <c r="BL321" s="687"/>
      <c r="BM321" s="687"/>
      <c r="BN321" s="687"/>
      <c r="BO321" s="687"/>
      <c r="BP321" s="687"/>
      <c r="BQ321" s="687"/>
      <c r="BR321" s="687"/>
      <c r="BS321" s="687"/>
      <c r="BT321" s="687"/>
      <c r="BU321" s="687"/>
      <c r="BV321" s="687"/>
      <c r="BW321" s="687"/>
      <c r="BX321" s="687"/>
      <c r="BY321" s="687"/>
      <c r="BZ321" s="687"/>
      <c r="CA321" s="687"/>
      <c r="CB321" s="687"/>
      <c r="CC321" s="687"/>
      <c r="CD321" s="687"/>
      <c r="CE321" s="687"/>
      <c r="CF321" s="687"/>
      <c r="CG321" s="687"/>
      <c r="CH321" s="687"/>
    </row>
    <row r="322" spans="1:86" ht="15.75" customHeight="1" outlineLevel="1" x14ac:dyDescent="0.35">
      <c r="A322" s="687"/>
      <c r="B322" s="696"/>
      <c r="C322" s="655" t="s">
        <v>117</v>
      </c>
      <c r="D322" s="766"/>
      <c r="E322" s="1039">
        <v>2525.6000000000004</v>
      </c>
      <c r="F322" s="871"/>
      <c r="G322" s="758"/>
      <c r="H322" s="687"/>
      <c r="I322" s="687"/>
      <c r="J322" s="687"/>
      <c r="K322" s="687"/>
      <c r="L322" s="687"/>
      <c r="M322" s="687"/>
      <c r="N322" s="687"/>
      <c r="O322" s="687"/>
      <c r="P322" s="687"/>
      <c r="Q322" s="687"/>
      <c r="R322" s="687"/>
      <c r="S322" s="687"/>
      <c r="T322" s="687"/>
      <c r="U322" s="687"/>
      <c r="V322" s="687"/>
      <c r="W322" s="687"/>
      <c r="X322" s="687"/>
      <c r="Y322" s="687"/>
      <c r="Z322" s="687"/>
      <c r="AA322" s="687"/>
      <c r="AB322" s="687"/>
      <c r="AC322" s="687"/>
      <c r="AD322" s="687"/>
      <c r="AE322" s="687"/>
      <c r="AF322" s="687"/>
      <c r="AG322" s="687"/>
      <c r="AH322" s="687"/>
      <c r="AI322" s="687"/>
      <c r="AJ322" s="687"/>
      <c r="AK322" s="687"/>
      <c r="AL322" s="687"/>
      <c r="AM322" s="687"/>
      <c r="AN322" s="687"/>
      <c r="AO322" s="687"/>
      <c r="AP322" s="687"/>
      <c r="AQ322" s="687"/>
      <c r="AR322" s="687"/>
      <c r="AS322" s="687"/>
      <c r="AT322" s="687"/>
      <c r="AU322" s="687"/>
      <c r="AV322" s="687"/>
      <c r="AW322" s="687"/>
      <c r="AX322" s="687"/>
      <c r="AY322" s="687"/>
      <c r="AZ322" s="687"/>
      <c r="BA322" s="687"/>
      <c r="BB322" s="687"/>
      <c r="BC322" s="687"/>
      <c r="BD322" s="687"/>
      <c r="BE322" s="687"/>
      <c r="BF322" s="687"/>
      <c r="BG322" s="687"/>
      <c r="BH322" s="687"/>
      <c r="BI322" s="687"/>
      <c r="BJ322" s="687"/>
      <c r="BK322" s="687"/>
      <c r="BL322" s="687"/>
      <c r="BM322" s="687"/>
      <c r="BN322" s="687"/>
      <c r="BO322" s="687"/>
      <c r="BP322" s="687"/>
      <c r="BQ322" s="687"/>
      <c r="BR322" s="687"/>
      <c r="BS322" s="687"/>
      <c r="BT322" s="687"/>
      <c r="BU322" s="687"/>
      <c r="BV322" s="687"/>
      <c r="BW322" s="687"/>
      <c r="BX322" s="687"/>
      <c r="BY322" s="687"/>
      <c r="BZ322" s="687"/>
      <c r="CA322" s="687"/>
      <c r="CB322" s="687"/>
      <c r="CC322" s="687"/>
      <c r="CD322" s="687"/>
      <c r="CE322" s="687"/>
      <c r="CF322" s="687"/>
      <c r="CG322" s="687"/>
      <c r="CH322" s="687"/>
    </row>
    <row r="323" spans="1:86" ht="15.75" customHeight="1" outlineLevel="1" x14ac:dyDescent="0.35">
      <c r="A323" s="687"/>
      <c r="B323" s="696"/>
      <c r="C323" s="655" t="s">
        <v>118</v>
      </c>
      <c r="D323" s="766"/>
      <c r="E323" s="1039">
        <v>3084.5</v>
      </c>
      <c r="F323" s="871"/>
      <c r="G323" s="758"/>
      <c r="H323" s="687"/>
      <c r="I323" s="687"/>
      <c r="J323" s="687"/>
      <c r="K323" s="687"/>
      <c r="L323" s="687"/>
      <c r="M323" s="687"/>
      <c r="N323" s="687"/>
      <c r="O323" s="687"/>
      <c r="P323" s="687"/>
      <c r="Q323" s="687"/>
      <c r="R323" s="687"/>
      <c r="S323" s="687"/>
      <c r="T323" s="687"/>
      <c r="U323" s="687"/>
      <c r="V323" s="687"/>
      <c r="W323" s="687"/>
      <c r="X323" s="687"/>
      <c r="Y323" s="687"/>
      <c r="Z323" s="687"/>
      <c r="AA323" s="687"/>
      <c r="AB323" s="687"/>
      <c r="AC323" s="687"/>
      <c r="AD323" s="687"/>
      <c r="AE323" s="687"/>
      <c r="AF323" s="687"/>
      <c r="AG323" s="687"/>
      <c r="AH323" s="687"/>
      <c r="AI323" s="687"/>
      <c r="AJ323" s="687"/>
      <c r="AK323" s="687"/>
      <c r="AL323" s="687"/>
      <c r="AM323" s="687"/>
      <c r="AN323" s="687"/>
      <c r="AO323" s="687"/>
      <c r="AP323" s="687"/>
      <c r="AQ323" s="687"/>
      <c r="AR323" s="687"/>
      <c r="AS323" s="687"/>
      <c r="AT323" s="687"/>
      <c r="AU323" s="687"/>
      <c r="AV323" s="687"/>
      <c r="AW323" s="687"/>
      <c r="AX323" s="687"/>
      <c r="AY323" s="687"/>
      <c r="AZ323" s="687"/>
      <c r="BA323" s="687"/>
      <c r="BB323" s="687"/>
      <c r="BC323" s="687"/>
      <c r="BD323" s="687"/>
      <c r="BE323" s="687"/>
      <c r="BF323" s="687"/>
      <c r="BG323" s="687"/>
      <c r="BH323" s="687"/>
      <c r="BI323" s="687"/>
      <c r="BJ323" s="687"/>
      <c r="BK323" s="687"/>
      <c r="BL323" s="687"/>
      <c r="BM323" s="687"/>
      <c r="BN323" s="687"/>
      <c r="BO323" s="687"/>
      <c r="BP323" s="687"/>
      <c r="BQ323" s="687"/>
      <c r="BR323" s="687"/>
      <c r="BS323" s="687"/>
      <c r="BT323" s="687"/>
      <c r="BU323" s="687"/>
      <c r="BV323" s="687"/>
      <c r="BW323" s="687"/>
      <c r="BX323" s="687"/>
      <c r="BY323" s="687"/>
      <c r="BZ323" s="687"/>
      <c r="CA323" s="687"/>
      <c r="CB323" s="687"/>
      <c r="CC323" s="687"/>
      <c r="CD323" s="687"/>
      <c r="CE323" s="687"/>
      <c r="CF323" s="687"/>
      <c r="CG323" s="687"/>
      <c r="CH323" s="687"/>
    </row>
    <row r="324" spans="1:86" ht="15.75" customHeight="1" outlineLevel="1" x14ac:dyDescent="0.35">
      <c r="A324" s="687"/>
      <c r="B324" s="696"/>
      <c r="C324" s="655" t="s">
        <v>119</v>
      </c>
      <c r="D324" s="766"/>
      <c r="E324" s="1039">
        <v>2725.45</v>
      </c>
      <c r="F324" s="871"/>
      <c r="G324" s="758"/>
      <c r="H324" s="687"/>
      <c r="I324" s="687"/>
      <c r="J324" s="687"/>
      <c r="K324" s="687"/>
      <c r="L324" s="687"/>
      <c r="M324" s="687"/>
      <c r="N324" s="687"/>
      <c r="O324" s="687"/>
      <c r="P324" s="687"/>
      <c r="Q324" s="687"/>
      <c r="R324" s="687"/>
      <c r="S324" s="687"/>
      <c r="T324" s="687"/>
      <c r="U324" s="687"/>
      <c r="V324" s="687"/>
      <c r="W324" s="687"/>
      <c r="X324" s="687"/>
      <c r="Y324" s="687"/>
      <c r="Z324" s="687"/>
      <c r="AA324" s="687"/>
      <c r="AB324" s="687"/>
      <c r="AC324" s="687"/>
      <c r="AD324" s="687"/>
      <c r="AE324" s="687"/>
      <c r="AF324" s="687"/>
      <c r="AG324" s="687"/>
      <c r="AH324" s="687"/>
      <c r="AI324" s="687"/>
      <c r="AJ324" s="687"/>
      <c r="AK324" s="687"/>
      <c r="AL324" s="687"/>
      <c r="AM324" s="687"/>
      <c r="AN324" s="687"/>
      <c r="AO324" s="687"/>
      <c r="AP324" s="687"/>
      <c r="AQ324" s="687"/>
      <c r="AR324" s="687"/>
      <c r="AS324" s="687"/>
      <c r="AT324" s="687"/>
      <c r="AU324" s="687"/>
      <c r="AV324" s="687"/>
      <c r="AW324" s="687"/>
      <c r="AX324" s="687"/>
      <c r="AY324" s="687"/>
      <c r="AZ324" s="687"/>
      <c r="BA324" s="687"/>
      <c r="BB324" s="687"/>
      <c r="BC324" s="687"/>
      <c r="BD324" s="687"/>
      <c r="BE324" s="687"/>
      <c r="BF324" s="687"/>
      <c r="BG324" s="687"/>
      <c r="BH324" s="687"/>
      <c r="BI324" s="687"/>
      <c r="BJ324" s="687"/>
      <c r="BK324" s="687"/>
      <c r="BL324" s="687"/>
      <c r="BM324" s="687"/>
      <c r="BN324" s="687"/>
      <c r="BO324" s="687"/>
      <c r="BP324" s="687"/>
      <c r="BQ324" s="687"/>
      <c r="BR324" s="687"/>
      <c r="BS324" s="687"/>
      <c r="BT324" s="687"/>
      <c r="BU324" s="687"/>
      <c r="BV324" s="687"/>
      <c r="BW324" s="687"/>
      <c r="BX324" s="687"/>
      <c r="BY324" s="687"/>
      <c r="BZ324" s="687"/>
      <c r="CA324" s="687"/>
      <c r="CB324" s="687"/>
      <c r="CC324" s="687"/>
      <c r="CD324" s="687"/>
      <c r="CE324" s="687"/>
      <c r="CF324" s="687"/>
      <c r="CG324" s="687"/>
      <c r="CH324" s="687"/>
    </row>
    <row r="325" spans="1:86" ht="15.75" customHeight="1" outlineLevel="1" x14ac:dyDescent="0.35">
      <c r="A325" s="687"/>
      <c r="B325" s="696"/>
      <c r="C325" s="655" t="s">
        <v>120</v>
      </c>
      <c r="D325" s="766"/>
      <c r="E325" s="1039">
        <v>2591.9899999999998</v>
      </c>
      <c r="F325" s="871"/>
      <c r="G325" s="758"/>
      <c r="H325" s="687"/>
      <c r="I325" s="687"/>
      <c r="J325" s="687"/>
      <c r="K325" s="687"/>
      <c r="L325" s="687"/>
      <c r="M325" s="687"/>
      <c r="N325" s="687"/>
      <c r="O325" s="687"/>
      <c r="P325" s="687"/>
      <c r="Q325" s="687"/>
      <c r="R325" s="687"/>
      <c r="S325" s="687"/>
      <c r="T325" s="687"/>
      <c r="U325" s="687"/>
      <c r="V325" s="687"/>
      <c r="W325" s="687"/>
      <c r="X325" s="687"/>
      <c r="Y325" s="687"/>
      <c r="Z325" s="687"/>
      <c r="AA325" s="687"/>
      <c r="AB325" s="687"/>
      <c r="AC325" s="687"/>
      <c r="AD325" s="687"/>
      <c r="AE325" s="687"/>
      <c r="AF325" s="687"/>
      <c r="AG325" s="687"/>
      <c r="AH325" s="687"/>
      <c r="AI325" s="687"/>
      <c r="AJ325" s="687"/>
      <c r="AK325" s="687"/>
      <c r="AL325" s="687"/>
      <c r="AM325" s="687"/>
      <c r="AN325" s="687"/>
      <c r="AO325" s="687"/>
      <c r="AP325" s="687"/>
      <c r="AQ325" s="687"/>
      <c r="AR325" s="687"/>
      <c r="AS325" s="687"/>
      <c r="AT325" s="687"/>
      <c r="AU325" s="687"/>
      <c r="AV325" s="687"/>
      <c r="AW325" s="687"/>
      <c r="AX325" s="687"/>
      <c r="AY325" s="687"/>
      <c r="AZ325" s="687"/>
      <c r="BA325" s="687"/>
      <c r="BB325" s="687"/>
      <c r="BC325" s="687"/>
      <c r="BD325" s="687"/>
      <c r="BE325" s="687"/>
      <c r="BF325" s="687"/>
      <c r="BG325" s="687"/>
      <c r="BH325" s="687"/>
      <c r="BI325" s="687"/>
      <c r="BJ325" s="687"/>
      <c r="BK325" s="687"/>
      <c r="BL325" s="687"/>
      <c r="BM325" s="687"/>
      <c r="BN325" s="687"/>
      <c r="BO325" s="687"/>
      <c r="BP325" s="687"/>
      <c r="BQ325" s="687"/>
      <c r="BR325" s="687"/>
      <c r="BS325" s="687"/>
      <c r="BT325" s="687"/>
      <c r="BU325" s="687"/>
      <c r="BV325" s="687"/>
      <c r="BW325" s="687"/>
      <c r="BX325" s="687"/>
      <c r="BY325" s="687"/>
      <c r="BZ325" s="687"/>
      <c r="CA325" s="687"/>
      <c r="CB325" s="687"/>
      <c r="CC325" s="687"/>
      <c r="CD325" s="687"/>
      <c r="CE325" s="687"/>
      <c r="CF325" s="687"/>
      <c r="CG325" s="687"/>
      <c r="CH325" s="687"/>
    </row>
    <row r="326" spans="1:86" ht="15.75" customHeight="1" outlineLevel="1" x14ac:dyDescent="0.35">
      <c r="A326" s="687"/>
      <c r="B326" s="696"/>
      <c r="C326" s="655" t="s">
        <v>121</v>
      </c>
      <c r="D326" s="766"/>
      <c r="E326" s="1039">
        <v>2280.25</v>
      </c>
      <c r="F326" s="871"/>
      <c r="G326" s="758"/>
      <c r="H326" s="687"/>
      <c r="I326" s="687"/>
      <c r="J326" s="687"/>
      <c r="K326" s="687"/>
      <c r="L326" s="687"/>
      <c r="M326" s="687"/>
      <c r="N326" s="687"/>
      <c r="O326" s="687"/>
      <c r="P326" s="687"/>
      <c r="Q326" s="687"/>
      <c r="R326" s="687"/>
      <c r="S326" s="687"/>
      <c r="T326" s="687"/>
      <c r="U326" s="687"/>
      <c r="V326" s="687"/>
      <c r="W326" s="687"/>
      <c r="X326" s="687"/>
      <c r="Y326" s="687"/>
      <c r="Z326" s="687"/>
      <c r="AA326" s="687"/>
      <c r="AB326" s="687"/>
      <c r="AC326" s="687"/>
      <c r="AD326" s="687"/>
      <c r="AE326" s="687"/>
      <c r="AF326" s="687"/>
      <c r="AG326" s="687"/>
      <c r="AH326" s="687"/>
      <c r="AI326" s="687"/>
      <c r="AJ326" s="687"/>
      <c r="AK326" s="687"/>
      <c r="AL326" s="687"/>
      <c r="AM326" s="687"/>
      <c r="AN326" s="687"/>
      <c r="AO326" s="687"/>
      <c r="AP326" s="687"/>
      <c r="AQ326" s="687"/>
      <c r="AR326" s="687"/>
      <c r="AS326" s="687"/>
      <c r="AT326" s="687"/>
      <c r="AU326" s="687"/>
      <c r="AV326" s="687"/>
      <c r="AW326" s="687"/>
      <c r="AX326" s="687"/>
      <c r="AY326" s="687"/>
      <c r="AZ326" s="687"/>
      <c r="BA326" s="687"/>
      <c r="BB326" s="687"/>
      <c r="BC326" s="687"/>
      <c r="BD326" s="687"/>
      <c r="BE326" s="687"/>
      <c r="BF326" s="687"/>
      <c r="BG326" s="687"/>
      <c r="BH326" s="687"/>
      <c r="BI326" s="687"/>
      <c r="BJ326" s="687"/>
      <c r="BK326" s="687"/>
      <c r="BL326" s="687"/>
      <c r="BM326" s="687"/>
      <c r="BN326" s="687"/>
      <c r="BO326" s="687"/>
      <c r="BP326" s="687"/>
      <c r="BQ326" s="687"/>
      <c r="BR326" s="687"/>
      <c r="BS326" s="687"/>
      <c r="BT326" s="687"/>
      <c r="BU326" s="687"/>
      <c r="BV326" s="687"/>
      <c r="BW326" s="687"/>
      <c r="BX326" s="687"/>
      <c r="BY326" s="687"/>
      <c r="BZ326" s="687"/>
      <c r="CA326" s="687"/>
      <c r="CB326" s="687"/>
      <c r="CC326" s="687"/>
      <c r="CD326" s="687"/>
      <c r="CE326" s="687"/>
      <c r="CF326" s="687"/>
      <c r="CG326" s="687"/>
      <c r="CH326" s="687"/>
    </row>
    <row r="327" spans="1:86" ht="15.75" customHeight="1" outlineLevel="1" x14ac:dyDescent="0.35">
      <c r="A327" s="687"/>
      <c r="B327" s="696"/>
      <c r="C327" s="655" t="s">
        <v>122</v>
      </c>
      <c r="D327" s="766"/>
      <c r="E327" s="1039">
        <v>2439.6</v>
      </c>
      <c r="F327" s="871"/>
      <c r="G327" s="758"/>
      <c r="H327" s="687"/>
      <c r="I327" s="687"/>
      <c r="J327" s="687"/>
      <c r="K327" s="687"/>
      <c r="L327" s="687"/>
      <c r="M327" s="687"/>
      <c r="N327" s="687"/>
      <c r="O327" s="687"/>
      <c r="P327" s="687"/>
      <c r="Q327" s="687"/>
      <c r="R327" s="687"/>
      <c r="S327" s="687"/>
      <c r="T327" s="687"/>
      <c r="U327" s="687"/>
      <c r="V327" s="687"/>
      <c r="W327" s="687"/>
      <c r="X327" s="687"/>
      <c r="Y327" s="687"/>
      <c r="Z327" s="687"/>
      <c r="AA327" s="687"/>
      <c r="AB327" s="687"/>
      <c r="AC327" s="687"/>
      <c r="AD327" s="687"/>
      <c r="AE327" s="687"/>
      <c r="AF327" s="687"/>
      <c r="AG327" s="687"/>
      <c r="AH327" s="687"/>
      <c r="AI327" s="687"/>
      <c r="AJ327" s="687"/>
      <c r="AK327" s="687"/>
      <c r="AL327" s="687"/>
      <c r="AM327" s="687"/>
      <c r="AN327" s="687"/>
      <c r="AO327" s="687"/>
      <c r="AP327" s="687"/>
      <c r="AQ327" s="687"/>
      <c r="AR327" s="687"/>
      <c r="AS327" s="687"/>
      <c r="AT327" s="687"/>
      <c r="AU327" s="687"/>
      <c r="AV327" s="687"/>
      <c r="AW327" s="687"/>
      <c r="AX327" s="687"/>
      <c r="AY327" s="687"/>
      <c r="AZ327" s="687"/>
      <c r="BA327" s="687"/>
      <c r="BB327" s="687"/>
      <c r="BC327" s="687"/>
      <c r="BD327" s="687"/>
      <c r="BE327" s="687"/>
      <c r="BF327" s="687"/>
      <c r="BG327" s="687"/>
      <c r="BH327" s="687"/>
      <c r="BI327" s="687"/>
      <c r="BJ327" s="687"/>
      <c r="BK327" s="687"/>
      <c r="BL327" s="687"/>
      <c r="BM327" s="687"/>
      <c r="BN327" s="687"/>
      <c r="BO327" s="687"/>
      <c r="BP327" s="687"/>
      <c r="BQ327" s="687"/>
      <c r="BR327" s="687"/>
      <c r="BS327" s="687"/>
      <c r="BT327" s="687"/>
      <c r="BU327" s="687"/>
      <c r="BV327" s="687"/>
      <c r="BW327" s="687"/>
      <c r="BX327" s="687"/>
      <c r="BY327" s="687"/>
      <c r="BZ327" s="687"/>
      <c r="CA327" s="687"/>
      <c r="CB327" s="687"/>
      <c r="CC327" s="687"/>
      <c r="CD327" s="687"/>
      <c r="CE327" s="687"/>
      <c r="CF327" s="687"/>
      <c r="CG327" s="687"/>
      <c r="CH327" s="687"/>
    </row>
    <row r="328" spans="1:86" ht="15.75" customHeight="1" outlineLevel="1" x14ac:dyDescent="0.35">
      <c r="A328" s="687"/>
      <c r="B328" s="696"/>
      <c r="C328" s="655" t="s">
        <v>123</v>
      </c>
      <c r="D328" s="766"/>
      <c r="E328" s="1039">
        <v>1505.125</v>
      </c>
      <c r="F328" s="871"/>
      <c r="G328" s="758"/>
      <c r="H328" s="687"/>
      <c r="I328" s="687"/>
      <c r="J328" s="687"/>
      <c r="K328" s="687"/>
      <c r="L328" s="687"/>
      <c r="M328" s="687"/>
      <c r="N328" s="687"/>
      <c r="O328" s="687"/>
      <c r="P328" s="687"/>
      <c r="Q328" s="687"/>
      <c r="R328" s="687"/>
      <c r="S328" s="687"/>
      <c r="T328" s="687"/>
      <c r="U328" s="687"/>
      <c r="V328" s="687"/>
      <c r="W328" s="687"/>
      <c r="X328" s="687"/>
      <c r="Y328" s="687"/>
      <c r="Z328" s="687"/>
      <c r="AA328" s="687"/>
      <c r="AB328" s="687"/>
      <c r="AC328" s="687"/>
      <c r="AD328" s="687"/>
      <c r="AE328" s="687"/>
      <c r="AF328" s="687"/>
      <c r="AG328" s="687"/>
      <c r="AH328" s="687"/>
      <c r="AI328" s="687"/>
      <c r="AJ328" s="687"/>
      <c r="AK328" s="687"/>
      <c r="AL328" s="687"/>
      <c r="AM328" s="687"/>
      <c r="AN328" s="687"/>
      <c r="AO328" s="687"/>
      <c r="AP328" s="687"/>
      <c r="AQ328" s="687"/>
      <c r="AR328" s="687"/>
      <c r="AS328" s="687"/>
      <c r="AT328" s="687"/>
      <c r="AU328" s="687"/>
      <c r="AV328" s="687"/>
      <c r="AW328" s="687"/>
      <c r="AX328" s="687"/>
      <c r="AY328" s="687"/>
      <c r="AZ328" s="687"/>
      <c r="BA328" s="687"/>
      <c r="BB328" s="687"/>
      <c r="BC328" s="687"/>
      <c r="BD328" s="687"/>
      <c r="BE328" s="687"/>
      <c r="BF328" s="687"/>
      <c r="BG328" s="687"/>
      <c r="BH328" s="687"/>
      <c r="BI328" s="687"/>
      <c r="BJ328" s="687"/>
      <c r="BK328" s="687"/>
      <c r="BL328" s="687"/>
      <c r="BM328" s="687"/>
      <c r="BN328" s="687"/>
      <c r="BO328" s="687"/>
      <c r="BP328" s="687"/>
      <c r="BQ328" s="687"/>
      <c r="BR328" s="687"/>
      <c r="BS328" s="687"/>
      <c r="BT328" s="687"/>
      <c r="BU328" s="687"/>
      <c r="BV328" s="687"/>
      <c r="BW328" s="687"/>
      <c r="BX328" s="687"/>
      <c r="BY328" s="687"/>
      <c r="BZ328" s="687"/>
      <c r="CA328" s="687"/>
      <c r="CB328" s="687"/>
      <c r="CC328" s="687"/>
      <c r="CD328" s="687"/>
      <c r="CE328" s="687"/>
      <c r="CF328" s="687"/>
      <c r="CG328" s="687"/>
      <c r="CH328" s="687"/>
    </row>
    <row r="329" spans="1:86" ht="15.75" customHeight="1" outlineLevel="1" x14ac:dyDescent="0.35">
      <c r="A329" s="687"/>
      <c r="B329" s="696"/>
      <c r="C329" s="655" t="s">
        <v>124</v>
      </c>
      <c r="D329" s="766"/>
      <c r="E329" s="1039">
        <v>1508.4</v>
      </c>
      <c r="F329" s="871"/>
      <c r="G329" s="758"/>
      <c r="H329" s="687"/>
      <c r="I329" s="687"/>
      <c r="J329" s="687"/>
      <c r="K329" s="687"/>
      <c r="L329" s="687"/>
      <c r="M329" s="687"/>
      <c r="N329" s="687"/>
      <c r="O329" s="687"/>
      <c r="P329" s="687"/>
      <c r="Q329" s="687"/>
      <c r="R329" s="687"/>
      <c r="S329" s="687"/>
      <c r="T329" s="687"/>
      <c r="U329" s="687"/>
      <c r="V329" s="687"/>
      <c r="W329" s="687"/>
      <c r="X329" s="687"/>
      <c r="Y329" s="687"/>
      <c r="Z329" s="687"/>
      <c r="AA329" s="687"/>
      <c r="AB329" s="687"/>
      <c r="AC329" s="687"/>
      <c r="AD329" s="687"/>
      <c r="AE329" s="687"/>
      <c r="AF329" s="687"/>
      <c r="AG329" s="687"/>
      <c r="AH329" s="687"/>
      <c r="AI329" s="687"/>
      <c r="AJ329" s="687"/>
      <c r="AK329" s="687"/>
      <c r="AL329" s="687"/>
      <c r="AM329" s="687"/>
      <c r="AN329" s="687"/>
      <c r="AO329" s="687"/>
      <c r="AP329" s="687"/>
      <c r="AQ329" s="687"/>
      <c r="AR329" s="687"/>
      <c r="AS329" s="687"/>
      <c r="AT329" s="687"/>
      <c r="AU329" s="687"/>
      <c r="AV329" s="687"/>
      <c r="AW329" s="687"/>
      <c r="AX329" s="687"/>
      <c r="AY329" s="687"/>
      <c r="AZ329" s="687"/>
      <c r="BA329" s="687"/>
      <c r="BB329" s="687"/>
      <c r="BC329" s="687"/>
      <c r="BD329" s="687"/>
      <c r="BE329" s="687"/>
      <c r="BF329" s="687"/>
      <c r="BG329" s="687"/>
      <c r="BH329" s="687"/>
      <c r="BI329" s="687"/>
      <c r="BJ329" s="687"/>
      <c r="BK329" s="687"/>
      <c r="BL329" s="687"/>
      <c r="BM329" s="687"/>
      <c r="BN329" s="687"/>
      <c r="BO329" s="687"/>
      <c r="BP329" s="687"/>
      <c r="BQ329" s="687"/>
      <c r="BR329" s="687"/>
      <c r="BS329" s="687"/>
      <c r="BT329" s="687"/>
      <c r="BU329" s="687"/>
      <c r="BV329" s="687"/>
      <c r="BW329" s="687"/>
      <c r="BX329" s="687"/>
      <c r="BY329" s="687"/>
      <c r="BZ329" s="687"/>
      <c r="CA329" s="687"/>
      <c r="CB329" s="687"/>
      <c r="CC329" s="687"/>
      <c r="CD329" s="687"/>
      <c r="CE329" s="687"/>
      <c r="CF329" s="687"/>
      <c r="CG329" s="687"/>
      <c r="CH329" s="687"/>
    </row>
    <row r="330" spans="1:86" ht="15.75" customHeight="1" outlineLevel="1" x14ac:dyDescent="0.35">
      <c r="A330" s="687"/>
      <c r="B330" s="696"/>
      <c r="C330" s="655" t="s">
        <v>125</v>
      </c>
      <c r="D330" s="766"/>
      <c r="E330" s="1039">
        <v>2138.25</v>
      </c>
      <c r="F330" s="871"/>
      <c r="G330" s="758"/>
      <c r="H330" s="687"/>
      <c r="I330" s="687"/>
      <c r="J330" s="687"/>
      <c r="K330" s="687"/>
      <c r="L330" s="687"/>
      <c r="M330" s="687"/>
      <c r="N330" s="687"/>
      <c r="O330" s="687"/>
      <c r="P330" s="687"/>
      <c r="Q330" s="687"/>
      <c r="R330" s="687"/>
      <c r="S330" s="687"/>
      <c r="T330" s="687"/>
      <c r="U330" s="687"/>
      <c r="V330" s="687"/>
      <c r="W330" s="687"/>
      <c r="X330" s="687"/>
      <c r="Y330" s="687"/>
      <c r="Z330" s="687"/>
      <c r="AA330" s="687"/>
      <c r="AB330" s="687"/>
      <c r="AC330" s="687"/>
      <c r="AD330" s="687"/>
      <c r="AE330" s="687"/>
      <c r="AF330" s="687"/>
      <c r="AG330" s="687"/>
      <c r="AH330" s="687"/>
      <c r="AI330" s="687"/>
      <c r="AJ330" s="687"/>
      <c r="AK330" s="687"/>
      <c r="AL330" s="687"/>
      <c r="AM330" s="687"/>
      <c r="AN330" s="687"/>
      <c r="AO330" s="687"/>
      <c r="AP330" s="687"/>
      <c r="AQ330" s="687"/>
      <c r="AR330" s="687"/>
      <c r="AS330" s="687"/>
      <c r="AT330" s="687"/>
      <c r="AU330" s="687"/>
      <c r="AV330" s="687"/>
      <c r="AW330" s="687"/>
      <c r="AX330" s="687"/>
      <c r="AY330" s="687"/>
      <c r="AZ330" s="687"/>
      <c r="BA330" s="687"/>
      <c r="BB330" s="687"/>
      <c r="BC330" s="687"/>
      <c r="BD330" s="687"/>
      <c r="BE330" s="687"/>
      <c r="BF330" s="687"/>
      <c r="BG330" s="687"/>
      <c r="BH330" s="687"/>
      <c r="BI330" s="687"/>
      <c r="BJ330" s="687"/>
      <c r="BK330" s="687"/>
      <c r="BL330" s="687"/>
      <c r="BM330" s="687"/>
      <c r="BN330" s="687"/>
      <c r="BO330" s="687"/>
      <c r="BP330" s="687"/>
      <c r="BQ330" s="687"/>
      <c r="BR330" s="687"/>
      <c r="BS330" s="687"/>
      <c r="BT330" s="687"/>
      <c r="BU330" s="687"/>
      <c r="BV330" s="687"/>
      <c r="BW330" s="687"/>
      <c r="BX330" s="687"/>
      <c r="BY330" s="687"/>
      <c r="BZ330" s="687"/>
      <c r="CA330" s="687"/>
      <c r="CB330" s="687"/>
      <c r="CC330" s="687"/>
      <c r="CD330" s="687"/>
      <c r="CE330" s="687"/>
      <c r="CF330" s="687"/>
      <c r="CG330" s="687"/>
      <c r="CH330" s="687"/>
    </row>
    <row r="331" spans="1:86" ht="15.75" customHeight="1" outlineLevel="1" x14ac:dyDescent="0.35">
      <c r="A331" s="687"/>
      <c r="B331" s="696"/>
      <c r="C331" s="655" t="s">
        <v>126</v>
      </c>
      <c r="D331" s="766"/>
      <c r="E331" s="1039">
        <v>3606.5</v>
      </c>
      <c r="F331" s="871"/>
      <c r="G331" s="758"/>
      <c r="H331" s="687"/>
      <c r="I331" s="687"/>
      <c r="J331" s="687"/>
      <c r="K331" s="687"/>
      <c r="L331" s="687"/>
      <c r="M331" s="687"/>
      <c r="N331" s="687"/>
      <c r="O331" s="687"/>
      <c r="P331" s="687"/>
      <c r="Q331" s="687"/>
      <c r="R331" s="687"/>
      <c r="S331" s="687"/>
      <c r="T331" s="687"/>
      <c r="U331" s="687"/>
      <c r="V331" s="687"/>
      <c r="W331" s="687"/>
      <c r="X331" s="687"/>
      <c r="Y331" s="687"/>
      <c r="Z331" s="687"/>
      <c r="AA331" s="687"/>
      <c r="AB331" s="687"/>
      <c r="AC331" s="687"/>
      <c r="AD331" s="687"/>
      <c r="AE331" s="687"/>
      <c r="AF331" s="687"/>
      <c r="AG331" s="687"/>
      <c r="AH331" s="687"/>
      <c r="AI331" s="687"/>
      <c r="AJ331" s="687"/>
      <c r="AK331" s="687"/>
      <c r="AL331" s="687"/>
      <c r="AM331" s="687"/>
      <c r="AN331" s="687"/>
      <c r="AO331" s="687"/>
      <c r="AP331" s="687"/>
      <c r="AQ331" s="687"/>
      <c r="AR331" s="687"/>
      <c r="AS331" s="687"/>
      <c r="AT331" s="687"/>
      <c r="AU331" s="687"/>
      <c r="AV331" s="687"/>
      <c r="AW331" s="687"/>
      <c r="AX331" s="687"/>
      <c r="AY331" s="687"/>
      <c r="AZ331" s="687"/>
      <c r="BA331" s="687"/>
      <c r="BB331" s="687"/>
      <c r="BC331" s="687"/>
      <c r="BD331" s="687"/>
      <c r="BE331" s="687"/>
      <c r="BF331" s="687"/>
      <c r="BG331" s="687"/>
      <c r="BH331" s="687"/>
      <c r="BI331" s="687"/>
      <c r="BJ331" s="687"/>
      <c r="BK331" s="687"/>
      <c r="BL331" s="687"/>
      <c r="BM331" s="687"/>
      <c r="BN331" s="687"/>
      <c r="BO331" s="687"/>
      <c r="BP331" s="687"/>
      <c r="BQ331" s="687"/>
      <c r="BR331" s="687"/>
      <c r="BS331" s="687"/>
      <c r="BT331" s="687"/>
      <c r="BU331" s="687"/>
      <c r="BV331" s="687"/>
      <c r="BW331" s="687"/>
      <c r="BX331" s="687"/>
      <c r="BY331" s="687"/>
      <c r="BZ331" s="687"/>
      <c r="CA331" s="687"/>
      <c r="CB331" s="687"/>
      <c r="CC331" s="687"/>
      <c r="CD331" s="687"/>
      <c r="CE331" s="687"/>
      <c r="CF331" s="687"/>
      <c r="CG331" s="687"/>
      <c r="CH331" s="687"/>
    </row>
    <row r="332" spans="1:86" ht="15.75" customHeight="1" outlineLevel="1" x14ac:dyDescent="0.35">
      <c r="A332" s="687"/>
      <c r="B332" s="696"/>
      <c r="C332" s="655" t="s">
        <v>127</v>
      </c>
      <c r="D332" s="766"/>
      <c r="E332" s="1039">
        <v>12.4</v>
      </c>
      <c r="F332" s="871"/>
      <c r="G332" s="758"/>
      <c r="H332" s="687"/>
      <c r="I332" s="687"/>
      <c r="J332" s="687"/>
      <c r="K332" s="687"/>
      <c r="L332" s="687"/>
      <c r="M332" s="687"/>
      <c r="N332" s="687"/>
      <c r="O332" s="687"/>
      <c r="P332" s="687"/>
      <c r="Q332" s="687"/>
      <c r="R332" s="687"/>
      <c r="S332" s="687"/>
      <c r="T332" s="687"/>
      <c r="U332" s="687"/>
      <c r="V332" s="687"/>
      <c r="W332" s="687"/>
      <c r="X332" s="687"/>
      <c r="Y332" s="687"/>
      <c r="Z332" s="687"/>
      <c r="AA332" s="687"/>
      <c r="AB332" s="687"/>
      <c r="AC332" s="687"/>
      <c r="AD332" s="687"/>
      <c r="AE332" s="687"/>
      <c r="AF332" s="687"/>
      <c r="AG332" s="687"/>
      <c r="AH332" s="687"/>
      <c r="AI332" s="687"/>
      <c r="AJ332" s="687"/>
      <c r="AK332" s="687"/>
      <c r="AL332" s="687"/>
      <c r="AM332" s="687"/>
      <c r="AN332" s="687"/>
      <c r="AO332" s="687"/>
      <c r="AP332" s="687"/>
      <c r="AQ332" s="687"/>
      <c r="AR332" s="687"/>
      <c r="AS332" s="687"/>
      <c r="AT332" s="687"/>
      <c r="AU332" s="687"/>
      <c r="AV332" s="687"/>
      <c r="AW332" s="687"/>
      <c r="AX332" s="687"/>
      <c r="AY332" s="687"/>
      <c r="AZ332" s="687"/>
      <c r="BA332" s="687"/>
      <c r="BB332" s="687"/>
      <c r="BC332" s="687"/>
      <c r="BD332" s="687"/>
      <c r="BE332" s="687"/>
      <c r="BF332" s="687"/>
      <c r="BG332" s="687"/>
      <c r="BH332" s="687"/>
      <c r="BI332" s="687"/>
      <c r="BJ332" s="687"/>
      <c r="BK332" s="687"/>
      <c r="BL332" s="687"/>
      <c r="BM332" s="687"/>
      <c r="BN332" s="687"/>
      <c r="BO332" s="687"/>
      <c r="BP332" s="687"/>
      <c r="BQ332" s="687"/>
      <c r="BR332" s="687"/>
      <c r="BS332" s="687"/>
      <c r="BT332" s="687"/>
      <c r="BU332" s="687"/>
      <c r="BV332" s="687"/>
      <c r="BW332" s="687"/>
      <c r="BX332" s="687"/>
      <c r="BY332" s="687"/>
      <c r="BZ332" s="687"/>
      <c r="CA332" s="687"/>
      <c r="CB332" s="687"/>
      <c r="CC332" s="687"/>
      <c r="CD332" s="687"/>
      <c r="CE332" s="687"/>
      <c r="CF332" s="687"/>
      <c r="CG332" s="687"/>
      <c r="CH332" s="687"/>
    </row>
    <row r="333" spans="1:86" ht="15.75" customHeight="1" outlineLevel="1" x14ac:dyDescent="0.35">
      <c r="A333" s="687"/>
      <c r="B333" s="696"/>
      <c r="C333" s="655" t="s">
        <v>128</v>
      </c>
      <c r="D333" s="766"/>
      <c r="E333" s="1039">
        <v>94.24</v>
      </c>
      <c r="F333" s="871"/>
      <c r="G333" s="758"/>
      <c r="H333" s="687"/>
      <c r="I333" s="687"/>
      <c r="J333" s="687"/>
      <c r="K333" s="687"/>
      <c r="L333" s="687"/>
      <c r="M333" s="687"/>
      <c r="N333" s="687"/>
      <c r="O333" s="687"/>
      <c r="P333" s="687"/>
      <c r="Q333" s="687"/>
      <c r="R333" s="687"/>
      <c r="S333" s="687"/>
      <c r="T333" s="687"/>
      <c r="U333" s="687"/>
      <c r="V333" s="687"/>
      <c r="W333" s="687"/>
      <c r="X333" s="687"/>
      <c r="Y333" s="687"/>
      <c r="Z333" s="687"/>
      <c r="AA333" s="687"/>
      <c r="AB333" s="687"/>
      <c r="AC333" s="687"/>
      <c r="AD333" s="687"/>
      <c r="AE333" s="687"/>
      <c r="AF333" s="687"/>
      <c r="AG333" s="687"/>
      <c r="AH333" s="687"/>
      <c r="AI333" s="687"/>
      <c r="AJ333" s="687"/>
      <c r="AK333" s="687"/>
      <c r="AL333" s="687"/>
      <c r="AM333" s="687"/>
      <c r="AN333" s="687"/>
      <c r="AO333" s="687"/>
      <c r="AP333" s="687"/>
      <c r="AQ333" s="687"/>
      <c r="AR333" s="687"/>
      <c r="AS333" s="687"/>
      <c r="AT333" s="687"/>
      <c r="AU333" s="687"/>
      <c r="AV333" s="687"/>
      <c r="AW333" s="687"/>
      <c r="AX333" s="687"/>
      <c r="AY333" s="687"/>
      <c r="AZ333" s="687"/>
      <c r="BA333" s="687"/>
      <c r="BB333" s="687"/>
      <c r="BC333" s="687"/>
      <c r="BD333" s="687"/>
      <c r="BE333" s="687"/>
      <c r="BF333" s="687"/>
      <c r="BG333" s="687"/>
      <c r="BH333" s="687"/>
      <c r="BI333" s="687"/>
      <c r="BJ333" s="687"/>
      <c r="BK333" s="687"/>
      <c r="BL333" s="687"/>
      <c r="BM333" s="687"/>
      <c r="BN333" s="687"/>
      <c r="BO333" s="687"/>
      <c r="BP333" s="687"/>
      <c r="BQ333" s="687"/>
      <c r="BR333" s="687"/>
      <c r="BS333" s="687"/>
      <c r="BT333" s="687"/>
      <c r="BU333" s="687"/>
      <c r="BV333" s="687"/>
      <c r="BW333" s="687"/>
      <c r="BX333" s="687"/>
      <c r="BY333" s="687"/>
      <c r="BZ333" s="687"/>
      <c r="CA333" s="687"/>
      <c r="CB333" s="687"/>
      <c r="CC333" s="687"/>
      <c r="CD333" s="687"/>
      <c r="CE333" s="687"/>
      <c r="CF333" s="687"/>
      <c r="CG333" s="687"/>
      <c r="CH333" s="687"/>
    </row>
    <row r="334" spans="1:86" ht="15.75" customHeight="1" outlineLevel="1" x14ac:dyDescent="0.35">
      <c r="A334" s="687"/>
      <c r="B334" s="696"/>
      <c r="C334" s="655" t="s">
        <v>129</v>
      </c>
      <c r="D334" s="766"/>
      <c r="E334" s="1039">
        <v>35.96</v>
      </c>
      <c r="F334" s="871"/>
      <c r="G334" s="758"/>
      <c r="H334" s="687"/>
      <c r="I334" s="687"/>
      <c r="J334" s="687"/>
      <c r="K334" s="687"/>
      <c r="L334" s="687"/>
      <c r="M334" s="687"/>
      <c r="N334" s="687"/>
      <c r="O334" s="687"/>
      <c r="P334" s="687"/>
      <c r="Q334" s="687"/>
      <c r="R334" s="687"/>
      <c r="S334" s="687"/>
      <c r="T334" s="687"/>
      <c r="U334" s="687"/>
      <c r="V334" s="687"/>
      <c r="W334" s="687"/>
      <c r="X334" s="687"/>
      <c r="Y334" s="687"/>
      <c r="Z334" s="687"/>
      <c r="AA334" s="687"/>
      <c r="AB334" s="687"/>
      <c r="AC334" s="687"/>
      <c r="AD334" s="687"/>
      <c r="AE334" s="687"/>
      <c r="AF334" s="687"/>
      <c r="AG334" s="687"/>
      <c r="AH334" s="687"/>
      <c r="AI334" s="687"/>
      <c r="AJ334" s="687"/>
      <c r="AK334" s="687"/>
      <c r="AL334" s="687"/>
      <c r="AM334" s="687"/>
      <c r="AN334" s="687"/>
      <c r="AO334" s="687"/>
      <c r="AP334" s="687"/>
      <c r="AQ334" s="687"/>
      <c r="AR334" s="687"/>
      <c r="AS334" s="687"/>
      <c r="AT334" s="687"/>
      <c r="AU334" s="687"/>
      <c r="AV334" s="687"/>
      <c r="AW334" s="687"/>
      <c r="AX334" s="687"/>
      <c r="AY334" s="687"/>
      <c r="AZ334" s="687"/>
      <c r="BA334" s="687"/>
      <c r="BB334" s="687"/>
      <c r="BC334" s="687"/>
      <c r="BD334" s="687"/>
      <c r="BE334" s="687"/>
      <c r="BF334" s="687"/>
      <c r="BG334" s="687"/>
      <c r="BH334" s="687"/>
      <c r="BI334" s="687"/>
      <c r="BJ334" s="687"/>
      <c r="BK334" s="687"/>
      <c r="BL334" s="687"/>
      <c r="BM334" s="687"/>
      <c r="BN334" s="687"/>
      <c r="BO334" s="687"/>
      <c r="BP334" s="687"/>
      <c r="BQ334" s="687"/>
      <c r="BR334" s="687"/>
      <c r="BS334" s="687"/>
      <c r="BT334" s="687"/>
      <c r="BU334" s="687"/>
      <c r="BV334" s="687"/>
      <c r="BW334" s="687"/>
      <c r="BX334" s="687"/>
      <c r="BY334" s="687"/>
      <c r="BZ334" s="687"/>
      <c r="CA334" s="687"/>
      <c r="CB334" s="687"/>
      <c r="CC334" s="687"/>
      <c r="CD334" s="687"/>
      <c r="CE334" s="687"/>
      <c r="CF334" s="687"/>
      <c r="CG334" s="687"/>
      <c r="CH334" s="687"/>
    </row>
    <row r="335" spans="1:86" ht="15.75" customHeight="1" outlineLevel="1" x14ac:dyDescent="0.35">
      <c r="A335" s="687"/>
      <c r="B335" s="696"/>
      <c r="C335" s="655" t="s">
        <v>130</v>
      </c>
      <c r="D335" s="766"/>
      <c r="E335" s="1039">
        <v>0</v>
      </c>
      <c r="F335" s="871"/>
      <c r="G335" s="758"/>
      <c r="H335" s="687"/>
      <c r="I335" s="687"/>
      <c r="J335" s="687"/>
      <c r="K335" s="687"/>
      <c r="L335" s="687"/>
      <c r="M335" s="687"/>
      <c r="N335" s="687"/>
      <c r="O335" s="687"/>
      <c r="P335" s="687"/>
      <c r="Q335" s="687"/>
      <c r="R335" s="687"/>
      <c r="S335" s="687"/>
      <c r="T335" s="687"/>
      <c r="U335" s="687"/>
      <c r="V335" s="687"/>
      <c r="W335" s="687"/>
      <c r="X335" s="687"/>
      <c r="Y335" s="687"/>
      <c r="Z335" s="687"/>
      <c r="AA335" s="687"/>
      <c r="AB335" s="687"/>
      <c r="AC335" s="687"/>
      <c r="AD335" s="687"/>
      <c r="AE335" s="687"/>
      <c r="AF335" s="687"/>
      <c r="AG335" s="687"/>
      <c r="AH335" s="687"/>
      <c r="AI335" s="687"/>
      <c r="AJ335" s="687"/>
      <c r="AK335" s="687"/>
      <c r="AL335" s="687"/>
      <c r="AM335" s="687"/>
      <c r="AN335" s="687"/>
      <c r="AO335" s="687"/>
      <c r="AP335" s="687"/>
      <c r="AQ335" s="687"/>
      <c r="AR335" s="687"/>
      <c r="AS335" s="687"/>
      <c r="AT335" s="687"/>
      <c r="AU335" s="687"/>
      <c r="AV335" s="687"/>
      <c r="AW335" s="687"/>
      <c r="AX335" s="687"/>
      <c r="AY335" s="687"/>
      <c r="AZ335" s="687"/>
      <c r="BA335" s="687"/>
      <c r="BB335" s="687"/>
      <c r="BC335" s="687"/>
      <c r="BD335" s="687"/>
      <c r="BE335" s="687"/>
      <c r="BF335" s="687"/>
      <c r="BG335" s="687"/>
      <c r="BH335" s="687"/>
      <c r="BI335" s="687"/>
      <c r="BJ335" s="687"/>
      <c r="BK335" s="687"/>
      <c r="BL335" s="687"/>
      <c r="BM335" s="687"/>
      <c r="BN335" s="687"/>
      <c r="BO335" s="687"/>
      <c r="BP335" s="687"/>
      <c r="BQ335" s="687"/>
      <c r="BR335" s="687"/>
      <c r="BS335" s="687"/>
      <c r="BT335" s="687"/>
      <c r="BU335" s="687"/>
      <c r="BV335" s="687"/>
      <c r="BW335" s="687"/>
      <c r="BX335" s="687"/>
      <c r="BY335" s="687"/>
      <c r="BZ335" s="687"/>
      <c r="CA335" s="687"/>
      <c r="CB335" s="687"/>
      <c r="CC335" s="687"/>
      <c r="CD335" s="687"/>
      <c r="CE335" s="687"/>
      <c r="CF335" s="687"/>
      <c r="CG335" s="687"/>
      <c r="CH335" s="687"/>
    </row>
    <row r="336" spans="1:86" ht="15.75" customHeight="1" outlineLevel="1" x14ac:dyDescent="0.35">
      <c r="A336" s="687"/>
      <c r="B336" s="696"/>
      <c r="C336" s="655" t="s">
        <v>131</v>
      </c>
      <c r="D336" s="766"/>
      <c r="E336" s="1039">
        <v>0</v>
      </c>
      <c r="F336" s="871"/>
      <c r="G336" s="758"/>
      <c r="H336" s="687"/>
      <c r="I336" s="687"/>
      <c r="J336" s="687"/>
      <c r="K336" s="687"/>
      <c r="L336" s="687"/>
      <c r="M336" s="687"/>
      <c r="N336" s="687"/>
      <c r="O336" s="687"/>
      <c r="P336" s="687"/>
      <c r="Q336" s="687"/>
      <c r="R336" s="687"/>
      <c r="S336" s="687"/>
      <c r="T336" s="687"/>
      <c r="U336" s="687"/>
      <c r="V336" s="687"/>
      <c r="W336" s="687"/>
      <c r="X336" s="687"/>
      <c r="Y336" s="687"/>
      <c r="Z336" s="687"/>
      <c r="AA336" s="687"/>
      <c r="AB336" s="687"/>
      <c r="AC336" s="687"/>
      <c r="AD336" s="687"/>
      <c r="AE336" s="687"/>
      <c r="AF336" s="687"/>
      <c r="AG336" s="687"/>
      <c r="AH336" s="687"/>
      <c r="AI336" s="687"/>
      <c r="AJ336" s="687"/>
      <c r="AK336" s="687"/>
      <c r="AL336" s="687"/>
      <c r="AM336" s="687"/>
      <c r="AN336" s="687"/>
      <c r="AO336" s="687"/>
      <c r="AP336" s="687"/>
      <c r="AQ336" s="687"/>
      <c r="AR336" s="687"/>
      <c r="AS336" s="687"/>
      <c r="AT336" s="687"/>
      <c r="AU336" s="687"/>
      <c r="AV336" s="687"/>
      <c r="AW336" s="687"/>
      <c r="AX336" s="687"/>
      <c r="AY336" s="687"/>
      <c r="AZ336" s="687"/>
      <c r="BA336" s="687"/>
      <c r="BB336" s="687"/>
      <c r="BC336" s="687"/>
      <c r="BD336" s="687"/>
      <c r="BE336" s="687"/>
      <c r="BF336" s="687"/>
      <c r="BG336" s="687"/>
      <c r="BH336" s="687"/>
      <c r="BI336" s="687"/>
      <c r="BJ336" s="687"/>
      <c r="BK336" s="687"/>
      <c r="BL336" s="687"/>
      <c r="BM336" s="687"/>
      <c r="BN336" s="687"/>
      <c r="BO336" s="687"/>
      <c r="BP336" s="687"/>
      <c r="BQ336" s="687"/>
      <c r="BR336" s="687"/>
      <c r="BS336" s="687"/>
      <c r="BT336" s="687"/>
      <c r="BU336" s="687"/>
      <c r="BV336" s="687"/>
      <c r="BW336" s="687"/>
      <c r="BX336" s="687"/>
      <c r="BY336" s="687"/>
      <c r="BZ336" s="687"/>
      <c r="CA336" s="687"/>
      <c r="CB336" s="687"/>
      <c r="CC336" s="687"/>
      <c r="CD336" s="687"/>
      <c r="CE336" s="687"/>
      <c r="CF336" s="687"/>
      <c r="CG336" s="687"/>
      <c r="CH336" s="687"/>
    </row>
    <row r="337" spans="1:86" ht="15.75" customHeight="1" outlineLevel="1" x14ac:dyDescent="0.35">
      <c r="A337" s="687"/>
      <c r="B337" s="696"/>
      <c r="C337" s="655" t="s">
        <v>132</v>
      </c>
      <c r="D337" s="766"/>
      <c r="E337" s="1039">
        <v>3245.4</v>
      </c>
      <c r="F337" s="871"/>
      <c r="G337" s="758"/>
      <c r="H337" s="687"/>
      <c r="I337" s="687"/>
      <c r="J337" s="687"/>
      <c r="K337" s="687"/>
      <c r="L337" s="687"/>
      <c r="M337" s="687"/>
      <c r="N337" s="687"/>
      <c r="O337" s="687"/>
      <c r="P337" s="687"/>
      <c r="Q337" s="687"/>
      <c r="R337" s="687"/>
      <c r="S337" s="687"/>
      <c r="T337" s="687"/>
      <c r="U337" s="687"/>
      <c r="V337" s="687"/>
      <c r="W337" s="687"/>
      <c r="X337" s="687"/>
      <c r="Y337" s="687"/>
      <c r="Z337" s="687"/>
      <c r="AA337" s="687"/>
      <c r="AB337" s="687"/>
      <c r="AC337" s="687"/>
      <c r="AD337" s="687"/>
      <c r="AE337" s="687"/>
      <c r="AF337" s="687"/>
      <c r="AG337" s="687"/>
      <c r="AH337" s="687"/>
      <c r="AI337" s="687"/>
      <c r="AJ337" s="687"/>
      <c r="AK337" s="687"/>
      <c r="AL337" s="687"/>
      <c r="AM337" s="687"/>
      <c r="AN337" s="687"/>
      <c r="AO337" s="687"/>
      <c r="AP337" s="687"/>
      <c r="AQ337" s="687"/>
      <c r="AR337" s="687"/>
      <c r="AS337" s="687"/>
      <c r="AT337" s="687"/>
      <c r="AU337" s="687"/>
      <c r="AV337" s="687"/>
      <c r="AW337" s="687"/>
      <c r="AX337" s="687"/>
      <c r="AY337" s="687"/>
      <c r="AZ337" s="687"/>
      <c r="BA337" s="687"/>
      <c r="BB337" s="687"/>
      <c r="BC337" s="687"/>
      <c r="BD337" s="687"/>
      <c r="BE337" s="687"/>
      <c r="BF337" s="687"/>
      <c r="BG337" s="687"/>
      <c r="BH337" s="687"/>
      <c r="BI337" s="687"/>
      <c r="BJ337" s="687"/>
      <c r="BK337" s="687"/>
      <c r="BL337" s="687"/>
      <c r="BM337" s="687"/>
      <c r="BN337" s="687"/>
      <c r="BO337" s="687"/>
      <c r="BP337" s="687"/>
      <c r="BQ337" s="687"/>
      <c r="BR337" s="687"/>
      <c r="BS337" s="687"/>
      <c r="BT337" s="687"/>
      <c r="BU337" s="687"/>
      <c r="BV337" s="687"/>
      <c r="BW337" s="687"/>
      <c r="BX337" s="687"/>
      <c r="BY337" s="687"/>
      <c r="BZ337" s="687"/>
      <c r="CA337" s="687"/>
      <c r="CB337" s="687"/>
      <c r="CC337" s="687"/>
      <c r="CD337" s="687"/>
      <c r="CE337" s="687"/>
      <c r="CF337" s="687"/>
      <c r="CG337" s="687"/>
      <c r="CH337" s="687"/>
    </row>
    <row r="338" spans="1:86" ht="15.75" customHeight="1" outlineLevel="1" x14ac:dyDescent="0.35">
      <c r="A338" s="687"/>
      <c r="B338" s="696"/>
      <c r="C338" s="655" t="s">
        <v>133</v>
      </c>
      <c r="D338" s="766"/>
      <c r="E338" s="1039">
        <v>24.8</v>
      </c>
      <c r="F338" s="871"/>
      <c r="G338" s="758"/>
      <c r="H338" s="687"/>
      <c r="I338" s="687"/>
      <c r="J338" s="687"/>
      <c r="K338" s="687"/>
      <c r="L338" s="687"/>
      <c r="M338" s="687"/>
      <c r="N338" s="687"/>
      <c r="O338" s="687"/>
      <c r="P338" s="687"/>
      <c r="Q338" s="687"/>
      <c r="R338" s="687"/>
      <c r="S338" s="687"/>
      <c r="T338" s="687"/>
      <c r="U338" s="687"/>
      <c r="V338" s="687"/>
      <c r="W338" s="687"/>
      <c r="X338" s="687"/>
      <c r="Y338" s="687"/>
      <c r="Z338" s="687"/>
      <c r="AA338" s="687"/>
      <c r="AB338" s="687"/>
      <c r="AC338" s="687"/>
      <c r="AD338" s="687"/>
      <c r="AE338" s="687"/>
      <c r="AF338" s="687"/>
      <c r="AG338" s="687"/>
      <c r="AH338" s="687"/>
      <c r="AI338" s="687"/>
      <c r="AJ338" s="687"/>
      <c r="AK338" s="687"/>
      <c r="AL338" s="687"/>
      <c r="AM338" s="687"/>
      <c r="AN338" s="687"/>
      <c r="AO338" s="687"/>
      <c r="AP338" s="687"/>
      <c r="AQ338" s="687"/>
      <c r="AR338" s="687"/>
      <c r="AS338" s="687"/>
      <c r="AT338" s="687"/>
      <c r="AU338" s="687"/>
      <c r="AV338" s="687"/>
      <c r="AW338" s="687"/>
      <c r="AX338" s="687"/>
      <c r="AY338" s="687"/>
      <c r="AZ338" s="687"/>
      <c r="BA338" s="687"/>
      <c r="BB338" s="687"/>
      <c r="BC338" s="687"/>
      <c r="BD338" s="687"/>
      <c r="BE338" s="687"/>
      <c r="BF338" s="687"/>
      <c r="BG338" s="687"/>
      <c r="BH338" s="687"/>
      <c r="BI338" s="687"/>
      <c r="BJ338" s="687"/>
      <c r="BK338" s="687"/>
      <c r="BL338" s="687"/>
      <c r="BM338" s="687"/>
      <c r="BN338" s="687"/>
      <c r="BO338" s="687"/>
      <c r="BP338" s="687"/>
      <c r="BQ338" s="687"/>
      <c r="BR338" s="687"/>
      <c r="BS338" s="687"/>
      <c r="BT338" s="687"/>
      <c r="BU338" s="687"/>
      <c r="BV338" s="687"/>
      <c r="BW338" s="687"/>
      <c r="BX338" s="687"/>
      <c r="BY338" s="687"/>
      <c r="BZ338" s="687"/>
      <c r="CA338" s="687"/>
      <c r="CB338" s="687"/>
      <c r="CC338" s="687"/>
      <c r="CD338" s="687"/>
      <c r="CE338" s="687"/>
      <c r="CF338" s="687"/>
      <c r="CG338" s="687"/>
      <c r="CH338" s="687"/>
    </row>
    <row r="339" spans="1:86" ht="15.75" customHeight="1" outlineLevel="1" x14ac:dyDescent="0.35">
      <c r="A339" s="687"/>
      <c r="B339" s="696"/>
      <c r="C339" s="655" t="s">
        <v>134</v>
      </c>
      <c r="D339" s="766"/>
      <c r="E339" s="1039">
        <v>0</v>
      </c>
      <c r="F339" s="871"/>
      <c r="G339" s="758"/>
      <c r="H339" s="687"/>
      <c r="I339" s="687"/>
      <c r="J339" s="687"/>
      <c r="K339" s="687"/>
      <c r="L339" s="687"/>
      <c r="M339" s="687"/>
      <c r="N339" s="687"/>
      <c r="O339" s="687"/>
      <c r="P339" s="687"/>
      <c r="Q339" s="687"/>
      <c r="R339" s="687"/>
      <c r="S339" s="687"/>
      <c r="T339" s="687"/>
      <c r="U339" s="687"/>
      <c r="V339" s="687"/>
      <c r="W339" s="687"/>
      <c r="X339" s="687"/>
      <c r="Y339" s="687"/>
      <c r="Z339" s="687"/>
      <c r="AA339" s="687"/>
      <c r="AB339" s="687"/>
      <c r="AC339" s="687"/>
      <c r="AD339" s="687"/>
      <c r="AE339" s="687"/>
      <c r="AF339" s="687"/>
      <c r="AG339" s="687"/>
      <c r="AH339" s="687"/>
      <c r="AI339" s="687"/>
      <c r="AJ339" s="687"/>
      <c r="AK339" s="687"/>
      <c r="AL339" s="687"/>
      <c r="AM339" s="687"/>
      <c r="AN339" s="687"/>
      <c r="AO339" s="687"/>
      <c r="AP339" s="687"/>
      <c r="AQ339" s="687"/>
      <c r="AR339" s="687"/>
      <c r="AS339" s="687"/>
      <c r="AT339" s="687"/>
      <c r="AU339" s="687"/>
      <c r="AV339" s="687"/>
      <c r="AW339" s="687"/>
      <c r="AX339" s="687"/>
      <c r="AY339" s="687"/>
      <c r="AZ339" s="687"/>
      <c r="BA339" s="687"/>
      <c r="BB339" s="687"/>
      <c r="BC339" s="687"/>
      <c r="BD339" s="687"/>
      <c r="BE339" s="687"/>
      <c r="BF339" s="687"/>
      <c r="BG339" s="687"/>
      <c r="BH339" s="687"/>
      <c r="BI339" s="687"/>
      <c r="BJ339" s="687"/>
      <c r="BK339" s="687"/>
      <c r="BL339" s="687"/>
      <c r="BM339" s="687"/>
      <c r="BN339" s="687"/>
      <c r="BO339" s="687"/>
      <c r="BP339" s="687"/>
      <c r="BQ339" s="687"/>
      <c r="BR339" s="687"/>
      <c r="BS339" s="687"/>
      <c r="BT339" s="687"/>
      <c r="BU339" s="687"/>
      <c r="BV339" s="687"/>
      <c r="BW339" s="687"/>
      <c r="BX339" s="687"/>
      <c r="BY339" s="687"/>
      <c r="BZ339" s="687"/>
      <c r="CA339" s="687"/>
      <c r="CB339" s="687"/>
      <c r="CC339" s="687"/>
      <c r="CD339" s="687"/>
      <c r="CE339" s="687"/>
      <c r="CF339" s="687"/>
      <c r="CG339" s="687"/>
      <c r="CH339" s="687"/>
    </row>
    <row r="340" spans="1:86" ht="15.75" customHeight="1" outlineLevel="1" x14ac:dyDescent="0.35">
      <c r="A340" s="687"/>
      <c r="B340" s="696"/>
      <c r="C340" s="655" t="s">
        <v>135</v>
      </c>
      <c r="D340" s="766"/>
      <c r="E340" s="1039">
        <v>0</v>
      </c>
      <c r="F340" s="871"/>
      <c r="G340" s="758"/>
      <c r="H340" s="687"/>
      <c r="I340" s="687"/>
      <c r="J340" s="687"/>
      <c r="K340" s="687"/>
      <c r="L340" s="687"/>
      <c r="M340" s="687"/>
      <c r="N340" s="687"/>
      <c r="O340" s="687"/>
      <c r="P340" s="687"/>
      <c r="Q340" s="687"/>
      <c r="R340" s="687"/>
      <c r="S340" s="687"/>
      <c r="T340" s="687"/>
      <c r="U340" s="687"/>
      <c r="V340" s="687"/>
      <c r="W340" s="687"/>
      <c r="X340" s="687"/>
      <c r="Y340" s="687"/>
      <c r="Z340" s="687"/>
      <c r="AA340" s="687"/>
      <c r="AB340" s="687"/>
      <c r="AC340" s="687"/>
      <c r="AD340" s="687"/>
      <c r="AE340" s="687"/>
      <c r="AF340" s="687"/>
      <c r="AG340" s="687"/>
      <c r="AH340" s="687"/>
      <c r="AI340" s="687"/>
      <c r="AJ340" s="687"/>
      <c r="AK340" s="687"/>
      <c r="AL340" s="687"/>
      <c r="AM340" s="687"/>
      <c r="AN340" s="687"/>
      <c r="AO340" s="687"/>
      <c r="AP340" s="687"/>
      <c r="AQ340" s="687"/>
      <c r="AR340" s="687"/>
      <c r="AS340" s="687"/>
      <c r="AT340" s="687"/>
      <c r="AU340" s="687"/>
      <c r="AV340" s="687"/>
      <c r="AW340" s="687"/>
      <c r="AX340" s="687"/>
      <c r="AY340" s="687"/>
      <c r="AZ340" s="687"/>
      <c r="BA340" s="687"/>
      <c r="BB340" s="687"/>
      <c r="BC340" s="687"/>
      <c r="BD340" s="687"/>
      <c r="BE340" s="687"/>
      <c r="BF340" s="687"/>
      <c r="BG340" s="687"/>
      <c r="BH340" s="687"/>
      <c r="BI340" s="687"/>
      <c r="BJ340" s="687"/>
      <c r="BK340" s="687"/>
      <c r="BL340" s="687"/>
      <c r="BM340" s="687"/>
      <c r="BN340" s="687"/>
      <c r="BO340" s="687"/>
      <c r="BP340" s="687"/>
      <c r="BQ340" s="687"/>
      <c r="BR340" s="687"/>
      <c r="BS340" s="687"/>
      <c r="BT340" s="687"/>
      <c r="BU340" s="687"/>
      <c r="BV340" s="687"/>
      <c r="BW340" s="687"/>
      <c r="BX340" s="687"/>
      <c r="BY340" s="687"/>
      <c r="BZ340" s="687"/>
      <c r="CA340" s="687"/>
      <c r="CB340" s="687"/>
      <c r="CC340" s="687"/>
      <c r="CD340" s="687"/>
      <c r="CE340" s="687"/>
      <c r="CF340" s="687"/>
      <c r="CG340" s="687"/>
      <c r="CH340" s="687"/>
    </row>
    <row r="341" spans="1:86" ht="15.75" customHeight="1" outlineLevel="1" x14ac:dyDescent="0.35">
      <c r="A341" s="687"/>
      <c r="B341" s="696"/>
      <c r="C341" s="655" t="s">
        <v>136</v>
      </c>
      <c r="D341" s="766"/>
      <c r="E341" s="1039">
        <v>1805.05</v>
      </c>
      <c r="F341" s="871"/>
      <c r="G341" s="758"/>
      <c r="H341" s="687"/>
      <c r="I341" s="687"/>
      <c r="J341" s="687"/>
      <c r="K341" s="687"/>
      <c r="L341" s="687"/>
      <c r="M341" s="687"/>
      <c r="N341" s="687"/>
      <c r="O341" s="687"/>
      <c r="P341" s="687"/>
      <c r="Q341" s="687"/>
      <c r="R341" s="687"/>
      <c r="S341" s="687"/>
      <c r="T341" s="687"/>
      <c r="U341" s="687"/>
      <c r="V341" s="687"/>
      <c r="W341" s="687"/>
      <c r="X341" s="687"/>
      <c r="Y341" s="687"/>
      <c r="Z341" s="687"/>
      <c r="AA341" s="687"/>
      <c r="AB341" s="687"/>
      <c r="AC341" s="687"/>
      <c r="AD341" s="687"/>
      <c r="AE341" s="687"/>
      <c r="AF341" s="687"/>
      <c r="AG341" s="687"/>
      <c r="AH341" s="687"/>
      <c r="AI341" s="687"/>
      <c r="AJ341" s="687"/>
      <c r="AK341" s="687"/>
      <c r="AL341" s="687"/>
      <c r="AM341" s="687"/>
      <c r="AN341" s="687"/>
      <c r="AO341" s="687"/>
      <c r="AP341" s="687"/>
      <c r="AQ341" s="687"/>
      <c r="AR341" s="687"/>
      <c r="AS341" s="687"/>
      <c r="AT341" s="687"/>
      <c r="AU341" s="687"/>
      <c r="AV341" s="687"/>
      <c r="AW341" s="687"/>
      <c r="AX341" s="687"/>
      <c r="AY341" s="687"/>
      <c r="AZ341" s="687"/>
      <c r="BA341" s="687"/>
      <c r="BB341" s="687"/>
      <c r="BC341" s="687"/>
      <c r="BD341" s="687"/>
      <c r="BE341" s="687"/>
      <c r="BF341" s="687"/>
      <c r="BG341" s="687"/>
      <c r="BH341" s="687"/>
      <c r="BI341" s="687"/>
      <c r="BJ341" s="687"/>
      <c r="BK341" s="687"/>
      <c r="BL341" s="687"/>
      <c r="BM341" s="687"/>
      <c r="BN341" s="687"/>
      <c r="BO341" s="687"/>
      <c r="BP341" s="687"/>
      <c r="BQ341" s="687"/>
      <c r="BR341" s="687"/>
      <c r="BS341" s="687"/>
      <c r="BT341" s="687"/>
      <c r="BU341" s="687"/>
      <c r="BV341" s="687"/>
      <c r="BW341" s="687"/>
      <c r="BX341" s="687"/>
      <c r="BY341" s="687"/>
      <c r="BZ341" s="687"/>
      <c r="CA341" s="687"/>
      <c r="CB341" s="687"/>
      <c r="CC341" s="687"/>
      <c r="CD341" s="687"/>
      <c r="CE341" s="687"/>
      <c r="CF341" s="687"/>
      <c r="CG341" s="687"/>
      <c r="CH341" s="687"/>
    </row>
    <row r="342" spans="1:86" ht="15.75" customHeight="1" outlineLevel="1" x14ac:dyDescent="0.35">
      <c r="A342" s="687"/>
      <c r="B342" s="696"/>
      <c r="C342" s="655" t="s">
        <v>137</v>
      </c>
      <c r="D342" s="766"/>
      <c r="E342" s="1039">
        <v>2264.4349999999999</v>
      </c>
      <c r="F342" s="871"/>
      <c r="G342" s="758"/>
      <c r="H342" s="687"/>
      <c r="I342" s="687"/>
      <c r="J342" s="687"/>
      <c r="K342" s="687"/>
      <c r="L342" s="687"/>
      <c r="M342" s="687"/>
      <c r="N342" s="687"/>
      <c r="O342" s="687"/>
      <c r="P342" s="687"/>
      <c r="Q342" s="687"/>
      <c r="R342" s="687"/>
      <c r="S342" s="687"/>
      <c r="T342" s="687"/>
      <c r="U342" s="687"/>
      <c r="V342" s="687"/>
      <c r="W342" s="687"/>
      <c r="X342" s="687"/>
      <c r="Y342" s="687"/>
      <c r="Z342" s="687"/>
      <c r="AA342" s="687"/>
      <c r="AB342" s="687"/>
      <c r="AC342" s="687"/>
      <c r="AD342" s="687"/>
      <c r="AE342" s="687"/>
      <c r="AF342" s="687"/>
      <c r="AG342" s="687"/>
      <c r="AH342" s="687"/>
      <c r="AI342" s="687"/>
      <c r="AJ342" s="687"/>
      <c r="AK342" s="687"/>
      <c r="AL342" s="687"/>
      <c r="AM342" s="687"/>
      <c r="AN342" s="687"/>
      <c r="AO342" s="687"/>
      <c r="AP342" s="687"/>
      <c r="AQ342" s="687"/>
      <c r="AR342" s="687"/>
      <c r="AS342" s="687"/>
      <c r="AT342" s="687"/>
      <c r="AU342" s="687"/>
      <c r="AV342" s="687"/>
      <c r="AW342" s="687"/>
      <c r="AX342" s="687"/>
      <c r="AY342" s="687"/>
      <c r="AZ342" s="687"/>
      <c r="BA342" s="687"/>
      <c r="BB342" s="687"/>
      <c r="BC342" s="687"/>
      <c r="BD342" s="687"/>
      <c r="BE342" s="687"/>
      <c r="BF342" s="687"/>
      <c r="BG342" s="687"/>
      <c r="BH342" s="687"/>
      <c r="BI342" s="687"/>
      <c r="BJ342" s="687"/>
      <c r="BK342" s="687"/>
      <c r="BL342" s="687"/>
      <c r="BM342" s="687"/>
      <c r="BN342" s="687"/>
      <c r="BO342" s="687"/>
      <c r="BP342" s="687"/>
      <c r="BQ342" s="687"/>
      <c r="BR342" s="687"/>
      <c r="BS342" s="687"/>
      <c r="BT342" s="687"/>
      <c r="BU342" s="687"/>
      <c r="BV342" s="687"/>
      <c r="BW342" s="687"/>
      <c r="BX342" s="687"/>
      <c r="BY342" s="687"/>
      <c r="BZ342" s="687"/>
      <c r="CA342" s="687"/>
      <c r="CB342" s="687"/>
      <c r="CC342" s="687"/>
      <c r="CD342" s="687"/>
      <c r="CE342" s="687"/>
      <c r="CF342" s="687"/>
      <c r="CG342" s="687"/>
      <c r="CH342" s="687"/>
    </row>
    <row r="343" spans="1:86" ht="15.75" customHeight="1" outlineLevel="1" x14ac:dyDescent="0.35">
      <c r="A343" s="687"/>
      <c r="B343" s="696"/>
      <c r="C343" s="655" t="s">
        <v>138</v>
      </c>
      <c r="D343" s="766"/>
      <c r="E343" s="1039">
        <v>1982.5</v>
      </c>
      <c r="F343" s="871"/>
      <c r="G343" s="758"/>
      <c r="H343" s="687"/>
      <c r="I343" s="687"/>
      <c r="J343" s="687"/>
      <c r="K343" s="687"/>
      <c r="L343" s="687"/>
      <c r="M343" s="687"/>
      <c r="N343" s="687"/>
      <c r="O343" s="687"/>
      <c r="P343" s="687"/>
      <c r="Q343" s="687"/>
      <c r="R343" s="687"/>
      <c r="S343" s="687"/>
      <c r="T343" s="687"/>
      <c r="U343" s="687"/>
      <c r="V343" s="687"/>
      <c r="W343" s="687"/>
      <c r="X343" s="687"/>
      <c r="Y343" s="687"/>
      <c r="Z343" s="687"/>
      <c r="AA343" s="687"/>
      <c r="AB343" s="687"/>
      <c r="AC343" s="687"/>
      <c r="AD343" s="687"/>
      <c r="AE343" s="687"/>
      <c r="AF343" s="687"/>
      <c r="AG343" s="687"/>
      <c r="AH343" s="687"/>
      <c r="AI343" s="687"/>
      <c r="AJ343" s="687"/>
      <c r="AK343" s="687"/>
      <c r="AL343" s="687"/>
      <c r="AM343" s="687"/>
      <c r="AN343" s="687"/>
      <c r="AO343" s="687"/>
      <c r="AP343" s="687"/>
      <c r="AQ343" s="687"/>
      <c r="AR343" s="687"/>
      <c r="AS343" s="687"/>
      <c r="AT343" s="687"/>
      <c r="AU343" s="687"/>
      <c r="AV343" s="687"/>
      <c r="AW343" s="687"/>
      <c r="AX343" s="687"/>
      <c r="AY343" s="687"/>
      <c r="AZ343" s="687"/>
      <c r="BA343" s="687"/>
      <c r="BB343" s="687"/>
      <c r="BC343" s="687"/>
      <c r="BD343" s="687"/>
      <c r="BE343" s="687"/>
      <c r="BF343" s="687"/>
      <c r="BG343" s="687"/>
      <c r="BH343" s="687"/>
      <c r="BI343" s="687"/>
      <c r="BJ343" s="687"/>
      <c r="BK343" s="687"/>
      <c r="BL343" s="687"/>
      <c r="BM343" s="687"/>
      <c r="BN343" s="687"/>
      <c r="BO343" s="687"/>
      <c r="BP343" s="687"/>
      <c r="BQ343" s="687"/>
      <c r="BR343" s="687"/>
      <c r="BS343" s="687"/>
      <c r="BT343" s="687"/>
      <c r="BU343" s="687"/>
      <c r="BV343" s="687"/>
      <c r="BW343" s="687"/>
      <c r="BX343" s="687"/>
      <c r="BY343" s="687"/>
      <c r="BZ343" s="687"/>
      <c r="CA343" s="687"/>
      <c r="CB343" s="687"/>
      <c r="CC343" s="687"/>
      <c r="CD343" s="687"/>
      <c r="CE343" s="687"/>
      <c r="CF343" s="687"/>
      <c r="CG343" s="687"/>
      <c r="CH343" s="687"/>
    </row>
    <row r="344" spans="1:86" ht="15.75" customHeight="1" outlineLevel="1" x14ac:dyDescent="0.35">
      <c r="A344" s="687"/>
      <c r="B344" s="696"/>
      <c r="C344" s="655" t="s">
        <v>139</v>
      </c>
      <c r="D344" s="766"/>
      <c r="E344" s="1039">
        <v>144.15199999999999</v>
      </c>
      <c r="F344" s="871"/>
      <c r="G344" s="758"/>
      <c r="H344" s="687"/>
      <c r="I344" s="687"/>
      <c r="J344" s="687"/>
      <c r="K344" s="687"/>
      <c r="L344" s="687"/>
      <c r="M344" s="687"/>
      <c r="N344" s="687"/>
      <c r="O344" s="687"/>
      <c r="P344" s="687"/>
      <c r="Q344" s="687"/>
      <c r="R344" s="687"/>
      <c r="S344" s="687"/>
      <c r="T344" s="687"/>
      <c r="U344" s="687"/>
      <c r="V344" s="687"/>
      <c r="W344" s="687"/>
      <c r="X344" s="687"/>
      <c r="Y344" s="687"/>
      <c r="Z344" s="687"/>
      <c r="AA344" s="687"/>
      <c r="AB344" s="687"/>
      <c r="AC344" s="687"/>
      <c r="AD344" s="687"/>
      <c r="AE344" s="687"/>
      <c r="AF344" s="687"/>
      <c r="AG344" s="687"/>
      <c r="AH344" s="687"/>
      <c r="AI344" s="687"/>
      <c r="AJ344" s="687"/>
      <c r="AK344" s="687"/>
      <c r="AL344" s="687"/>
      <c r="AM344" s="687"/>
      <c r="AN344" s="687"/>
      <c r="AO344" s="687"/>
      <c r="AP344" s="687"/>
      <c r="AQ344" s="687"/>
      <c r="AR344" s="687"/>
      <c r="AS344" s="687"/>
      <c r="AT344" s="687"/>
      <c r="AU344" s="687"/>
      <c r="AV344" s="687"/>
      <c r="AW344" s="687"/>
      <c r="AX344" s="687"/>
      <c r="AY344" s="687"/>
      <c r="AZ344" s="687"/>
      <c r="BA344" s="687"/>
      <c r="BB344" s="687"/>
      <c r="BC344" s="687"/>
      <c r="BD344" s="687"/>
      <c r="BE344" s="687"/>
      <c r="BF344" s="687"/>
      <c r="BG344" s="687"/>
      <c r="BH344" s="687"/>
      <c r="BI344" s="687"/>
      <c r="BJ344" s="687"/>
      <c r="BK344" s="687"/>
      <c r="BL344" s="687"/>
      <c r="BM344" s="687"/>
      <c r="BN344" s="687"/>
      <c r="BO344" s="687"/>
      <c r="BP344" s="687"/>
      <c r="BQ344" s="687"/>
      <c r="BR344" s="687"/>
      <c r="BS344" s="687"/>
      <c r="BT344" s="687"/>
      <c r="BU344" s="687"/>
      <c r="BV344" s="687"/>
      <c r="BW344" s="687"/>
      <c r="BX344" s="687"/>
      <c r="BY344" s="687"/>
      <c r="BZ344" s="687"/>
      <c r="CA344" s="687"/>
      <c r="CB344" s="687"/>
      <c r="CC344" s="687"/>
      <c r="CD344" s="687"/>
      <c r="CE344" s="687"/>
      <c r="CF344" s="687"/>
      <c r="CG344" s="687"/>
      <c r="CH344" s="687"/>
    </row>
    <row r="345" spans="1:86" ht="15.75" customHeight="1" outlineLevel="1" x14ac:dyDescent="0.35">
      <c r="A345" s="687"/>
      <c r="B345" s="696"/>
      <c r="C345" s="655" t="s">
        <v>140</v>
      </c>
      <c r="D345" s="766"/>
      <c r="E345" s="1039">
        <v>0</v>
      </c>
      <c r="F345" s="871"/>
      <c r="G345" s="758"/>
      <c r="H345" s="687"/>
      <c r="I345" s="687"/>
      <c r="J345" s="687"/>
      <c r="K345" s="687"/>
      <c r="L345" s="687"/>
      <c r="M345" s="687"/>
      <c r="N345" s="687"/>
      <c r="O345" s="687"/>
      <c r="P345" s="687"/>
      <c r="Q345" s="687"/>
      <c r="R345" s="687"/>
      <c r="S345" s="687"/>
      <c r="T345" s="687"/>
      <c r="U345" s="687"/>
      <c r="V345" s="687"/>
      <c r="W345" s="687"/>
      <c r="X345" s="687"/>
      <c r="Y345" s="687"/>
      <c r="Z345" s="687"/>
      <c r="AA345" s="687"/>
      <c r="AB345" s="687"/>
      <c r="AC345" s="687"/>
      <c r="AD345" s="687"/>
      <c r="AE345" s="687"/>
      <c r="AF345" s="687"/>
      <c r="AG345" s="687"/>
      <c r="AH345" s="687"/>
      <c r="AI345" s="687"/>
      <c r="AJ345" s="687"/>
      <c r="AK345" s="687"/>
      <c r="AL345" s="687"/>
      <c r="AM345" s="687"/>
      <c r="AN345" s="687"/>
      <c r="AO345" s="687"/>
      <c r="AP345" s="687"/>
      <c r="AQ345" s="687"/>
      <c r="AR345" s="687"/>
      <c r="AS345" s="687"/>
      <c r="AT345" s="687"/>
      <c r="AU345" s="687"/>
      <c r="AV345" s="687"/>
      <c r="AW345" s="687"/>
      <c r="AX345" s="687"/>
      <c r="AY345" s="687"/>
      <c r="AZ345" s="687"/>
      <c r="BA345" s="687"/>
      <c r="BB345" s="687"/>
      <c r="BC345" s="687"/>
      <c r="BD345" s="687"/>
      <c r="BE345" s="687"/>
      <c r="BF345" s="687"/>
      <c r="BG345" s="687"/>
      <c r="BH345" s="687"/>
      <c r="BI345" s="687"/>
      <c r="BJ345" s="687"/>
      <c r="BK345" s="687"/>
      <c r="BL345" s="687"/>
      <c r="BM345" s="687"/>
      <c r="BN345" s="687"/>
      <c r="BO345" s="687"/>
      <c r="BP345" s="687"/>
      <c r="BQ345" s="687"/>
      <c r="BR345" s="687"/>
      <c r="BS345" s="687"/>
      <c r="BT345" s="687"/>
      <c r="BU345" s="687"/>
      <c r="BV345" s="687"/>
      <c r="BW345" s="687"/>
      <c r="BX345" s="687"/>
      <c r="BY345" s="687"/>
      <c r="BZ345" s="687"/>
      <c r="CA345" s="687"/>
      <c r="CB345" s="687"/>
      <c r="CC345" s="687"/>
      <c r="CD345" s="687"/>
      <c r="CE345" s="687"/>
      <c r="CF345" s="687"/>
      <c r="CG345" s="687"/>
      <c r="CH345" s="687"/>
    </row>
    <row r="346" spans="1:86" ht="15.75" customHeight="1" outlineLevel="1" x14ac:dyDescent="0.35">
      <c r="A346" s="687"/>
      <c r="B346" s="696"/>
      <c r="C346" s="655" t="s">
        <v>141</v>
      </c>
      <c r="D346" s="766"/>
      <c r="E346" s="1039">
        <v>1887.97</v>
      </c>
      <c r="F346" s="871"/>
      <c r="G346" s="758"/>
      <c r="H346" s="687"/>
      <c r="I346" s="687"/>
      <c r="J346" s="687"/>
      <c r="K346" s="687"/>
      <c r="L346" s="687"/>
      <c r="M346" s="687"/>
      <c r="N346" s="687"/>
      <c r="O346" s="687"/>
      <c r="P346" s="687"/>
      <c r="Q346" s="687"/>
      <c r="R346" s="687"/>
      <c r="S346" s="687"/>
      <c r="T346" s="687"/>
      <c r="U346" s="687"/>
      <c r="V346" s="687"/>
      <c r="W346" s="687"/>
      <c r="X346" s="687"/>
      <c r="Y346" s="687"/>
      <c r="Z346" s="687"/>
      <c r="AA346" s="687"/>
      <c r="AB346" s="687"/>
      <c r="AC346" s="687"/>
      <c r="AD346" s="687"/>
      <c r="AE346" s="687"/>
      <c r="AF346" s="687"/>
      <c r="AG346" s="687"/>
      <c r="AH346" s="687"/>
      <c r="AI346" s="687"/>
      <c r="AJ346" s="687"/>
      <c r="AK346" s="687"/>
      <c r="AL346" s="687"/>
      <c r="AM346" s="687"/>
      <c r="AN346" s="687"/>
      <c r="AO346" s="687"/>
      <c r="AP346" s="687"/>
      <c r="AQ346" s="687"/>
      <c r="AR346" s="687"/>
      <c r="AS346" s="687"/>
      <c r="AT346" s="687"/>
      <c r="AU346" s="687"/>
      <c r="AV346" s="687"/>
      <c r="AW346" s="687"/>
      <c r="AX346" s="687"/>
      <c r="AY346" s="687"/>
      <c r="AZ346" s="687"/>
      <c r="BA346" s="687"/>
      <c r="BB346" s="687"/>
      <c r="BC346" s="687"/>
      <c r="BD346" s="687"/>
      <c r="BE346" s="687"/>
      <c r="BF346" s="687"/>
      <c r="BG346" s="687"/>
      <c r="BH346" s="687"/>
      <c r="BI346" s="687"/>
      <c r="BJ346" s="687"/>
      <c r="BK346" s="687"/>
      <c r="BL346" s="687"/>
      <c r="BM346" s="687"/>
      <c r="BN346" s="687"/>
      <c r="BO346" s="687"/>
      <c r="BP346" s="687"/>
      <c r="BQ346" s="687"/>
      <c r="BR346" s="687"/>
      <c r="BS346" s="687"/>
      <c r="BT346" s="687"/>
      <c r="BU346" s="687"/>
      <c r="BV346" s="687"/>
      <c r="BW346" s="687"/>
      <c r="BX346" s="687"/>
      <c r="BY346" s="687"/>
      <c r="BZ346" s="687"/>
      <c r="CA346" s="687"/>
      <c r="CB346" s="687"/>
      <c r="CC346" s="687"/>
      <c r="CD346" s="687"/>
      <c r="CE346" s="687"/>
      <c r="CF346" s="687"/>
      <c r="CG346" s="687"/>
      <c r="CH346" s="687"/>
    </row>
    <row r="347" spans="1:86" ht="15.75" customHeight="1" outlineLevel="1" x14ac:dyDescent="0.35">
      <c r="A347" s="687"/>
      <c r="B347" s="696"/>
      <c r="C347" s="655" t="s">
        <v>142</v>
      </c>
      <c r="D347" s="766"/>
      <c r="E347" s="1039">
        <v>0</v>
      </c>
      <c r="F347" s="871"/>
      <c r="G347" s="758"/>
      <c r="H347" s="687"/>
      <c r="I347" s="687"/>
      <c r="J347" s="687"/>
      <c r="K347" s="687"/>
      <c r="L347" s="687"/>
      <c r="M347" s="687"/>
      <c r="N347" s="687"/>
      <c r="O347" s="687"/>
      <c r="P347" s="687"/>
      <c r="Q347" s="687"/>
      <c r="R347" s="687"/>
      <c r="S347" s="687"/>
      <c r="T347" s="687"/>
      <c r="U347" s="687"/>
      <c r="V347" s="687"/>
      <c r="W347" s="687"/>
      <c r="X347" s="687"/>
      <c r="Y347" s="687"/>
      <c r="Z347" s="687"/>
      <c r="AA347" s="687"/>
      <c r="AB347" s="687"/>
      <c r="AC347" s="687"/>
      <c r="AD347" s="687"/>
      <c r="AE347" s="687"/>
      <c r="AF347" s="687"/>
      <c r="AG347" s="687"/>
      <c r="AH347" s="687"/>
      <c r="AI347" s="687"/>
      <c r="AJ347" s="687"/>
      <c r="AK347" s="687"/>
      <c r="AL347" s="687"/>
      <c r="AM347" s="687"/>
      <c r="AN347" s="687"/>
      <c r="AO347" s="687"/>
      <c r="AP347" s="687"/>
      <c r="AQ347" s="687"/>
      <c r="AR347" s="687"/>
      <c r="AS347" s="687"/>
      <c r="AT347" s="687"/>
      <c r="AU347" s="687"/>
      <c r="AV347" s="687"/>
      <c r="AW347" s="687"/>
      <c r="AX347" s="687"/>
      <c r="AY347" s="687"/>
      <c r="AZ347" s="687"/>
      <c r="BA347" s="687"/>
      <c r="BB347" s="687"/>
      <c r="BC347" s="687"/>
      <c r="BD347" s="687"/>
      <c r="BE347" s="687"/>
      <c r="BF347" s="687"/>
      <c r="BG347" s="687"/>
      <c r="BH347" s="687"/>
      <c r="BI347" s="687"/>
      <c r="BJ347" s="687"/>
      <c r="BK347" s="687"/>
      <c r="BL347" s="687"/>
      <c r="BM347" s="687"/>
      <c r="BN347" s="687"/>
      <c r="BO347" s="687"/>
      <c r="BP347" s="687"/>
      <c r="BQ347" s="687"/>
      <c r="BR347" s="687"/>
      <c r="BS347" s="687"/>
      <c r="BT347" s="687"/>
      <c r="BU347" s="687"/>
      <c r="BV347" s="687"/>
      <c r="BW347" s="687"/>
      <c r="BX347" s="687"/>
      <c r="BY347" s="687"/>
      <c r="BZ347" s="687"/>
      <c r="CA347" s="687"/>
      <c r="CB347" s="687"/>
      <c r="CC347" s="687"/>
      <c r="CD347" s="687"/>
      <c r="CE347" s="687"/>
      <c r="CF347" s="687"/>
      <c r="CG347" s="687"/>
      <c r="CH347" s="687"/>
    </row>
    <row r="348" spans="1:86" ht="15.75" customHeight="1" outlineLevel="1" x14ac:dyDescent="0.35">
      <c r="A348" s="687"/>
      <c r="B348" s="696"/>
      <c r="C348" s="655" t="s">
        <v>143</v>
      </c>
      <c r="D348" s="766"/>
      <c r="E348" s="1039">
        <v>87.2</v>
      </c>
      <c r="F348" s="871"/>
      <c r="G348" s="758"/>
      <c r="H348" s="687"/>
      <c r="I348" s="687"/>
      <c r="J348" s="687"/>
      <c r="K348" s="687"/>
      <c r="L348" s="687"/>
      <c r="M348" s="687"/>
      <c r="N348" s="687"/>
      <c r="O348" s="687"/>
      <c r="P348" s="687"/>
      <c r="Q348" s="687"/>
      <c r="R348" s="687"/>
      <c r="S348" s="687"/>
      <c r="T348" s="687"/>
      <c r="U348" s="687"/>
      <c r="V348" s="687"/>
      <c r="W348" s="687"/>
      <c r="X348" s="687"/>
      <c r="Y348" s="687"/>
      <c r="Z348" s="687"/>
      <c r="AA348" s="687"/>
      <c r="AB348" s="687"/>
      <c r="AC348" s="687"/>
      <c r="AD348" s="687"/>
      <c r="AE348" s="687"/>
      <c r="AF348" s="687"/>
      <c r="AG348" s="687"/>
      <c r="AH348" s="687"/>
      <c r="AI348" s="687"/>
      <c r="AJ348" s="687"/>
      <c r="AK348" s="687"/>
      <c r="AL348" s="687"/>
      <c r="AM348" s="687"/>
      <c r="AN348" s="687"/>
      <c r="AO348" s="687"/>
      <c r="AP348" s="687"/>
      <c r="AQ348" s="687"/>
      <c r="AR348" s="687"/>
      <c r="AS348" s="687"/>
      <c r="AT348" s="687"/>
      <c r="AU348" s="687"/>
      <c r="AV348" s="687"/>
      <c r="AW348" s="687"/>
      <c r="AX348" s="687"/>
      <c r="AY348" s="687"/>
      <c r="AZ348" s="687"/>
      <c r="BA348" s="687"/>
      <c r="BB348" s="687"/>
      <c r="BC348" s="687"/>
      <c r="BD348" s="687"/>
      <c r="BE348" s="687"/>
      <c r="BF348" s="687"/>
      <c r="BG348" s="687"/>
      <c r="BH348" s="687"/>
      <c r="BI348" s="687"/>
      <c r="BJ348" s="687"/>
      <c r="BK348" s="687"/>
      <c r="BL348" s="687"/>
      <c r="BM348" s="687"/>
      <c r="BN348" s="687"/>
      <c r="BO348" s="687"/>
      <c r="BP348" s="687"/>
      <c r="BQ348" s="687"/>
      <c r="BR348" s="687"/>
      <c r="BS348" s="687"/>
      <c r="BT348" s="687"/>
      <c r="BU348" s="687"/>
      <c r="BV348" s="687"/>
      <c r="BW348" s="687"/>
      <c r="BX348" s="687"/>
      <c r="BY348" s="687"/>
      <c r="BZ348" s="687"/>
      <c r="CA348" s="687"/>
      <c r="CB348" s="687"/>
      <c r="CC348" s="687"/>
      <c r="CD348" s="687"/>
      <c r="CE348" s="687"/>
      <c r="CF348" s="687"/>
      <c r="CG348" s="687"/>
      <c r="CH348" s="687"/>
    </row>
    <row r="349" spans="1:86" ht="15.75" customHeight="1" outlineLevel="1" x14ac:dyDescent="0.35">
      <c r="A349" s="687"/>
      <c r="B349" s="696"/>
      <c r="C349" s="655" t="s">
        <v>144</v>
      </c>
      <c r="D349" s="766"/>
      <c r="E349" s="1039">
        <v>128.69999999999999</v>
      </c>
      <c r="F349" s="871"/>
      <c r="G349" s="758"/>
      <c r="H349" s="687"/>
      <c r="I349" s="687"/>
      <c r="J349" s="687"/>
      <c r="K349" s="687"/>
      <c r="L349" s="687"/>
      <c r="M349" s="687"/>
      <c r="N349" s="687"/>
      <c r="O349" s="687"/>
      <c r="P349" s="687"/>
      <c r="Q349" s="687"/>
      <c r="R349" s="687"/>
      <c r="S349" s="687"/>
      <c r="T349" s="687"/>
      <c r="U349" s="687"/>
      <c r="V349" s="687"/>
      <c r="W349" s="687"/>
      <c r="X349" s="687"/>
      <c r="Y349" s="687"/>
      <c r="Z349" s="687"/>
      <c r="AA349" s="687"/>
      <c r="AB349" s="687"/>
      <c r="AC349" s="687"/>
      <c r="AD349" s="687"/>
      <c r="AE349" s="687"/>
      <c r="AF349" s="687"/>
      <c r="AG349" s="687"/>
      <c r="AH349" s="687"/>
      <c r="AI349" s="687"/>
      <c r="AJ349" s="687"/>
      <c r="AK349" s="687"/>
      <c r="AL349" s="687"/>
      <c r="AM349" s="687"/>
      <c r="AN349" s="687"/>
      <c r="AO349" s="687"/>
      <c r="AP349" s="687"/>
      <c r="AQ349" s="687"/>
      <c r="AR349" s="687"/>
      <c r="AS349" s="687"/>
      <c r="AT349" s="687"/>
      <c r="AU349" s="687"/>
      <c r="AV349" s="687"/>
      <c r="AW349" s="687"/>
      <c r="AX349" s="687"/>
      <c r="AY349" s="687"/>
      <c r="AZ349" s="687"/>
      <c r="BA349" s="687"/>
      <c r="BB349" s="687"/>
      <c r="BC349" s="687"/>
      <c r="BD349" s="687"/>
      <c r="BE349" s="687"/>
      <c r="BF349" s="687"/>
      <c r="BG349" s="687"/>
      <c r="BH349" s="687"/>
      <c r="BI349" s="687"/>
      <c r="BJ349" s="687"/>
      <c r="BK349" s="687"/>
      <c r="BL349" s="687"/>
      <c r="BM349" s="687"/>
      <c r="BN349" s="687"/>
      <c r="BO349" s="687"/>
      <c r="BP349" s="687"/>
      <c r="BQ349" s="687"/>
      <c r="BR349" s="687"/>
      <c r="BS349" s="687"/>
      <c r="BT349" s="687"/>
      <c r="BU349" s="687"/>
      <c r="BV349" s="687"/>
      <c r="BW349" s="687"/>
      <c r="BX349" s="687"/>
      <c r="BY349" s="687"/>
      <c r="BZ349" s="687"/>
      <c r="CA349" s="687"/>
      <c r="CB349" s="687"/>
      <c r="CC349" s="687"/>
      <c r="CD349" s="687"/>
      <c r="CE349" s="687"/>
      <c r="CF349" s="687"/>
      <c r="CG349" s="687"/>
      <c r="CH349" s="687"/>
    </row>
    <row r="350" spans="1:86" ht="15.75" customHeight="1" outlineLevel="1" x14ac:dyDescent="0.35">
      <c r="A350" s="687"/>
      <c r="B350" s="696"/>
      <c r="C350" s="655" t="s">
        <v>145</v>
      </c>
      <c r="D350" s="766"/>
      <c r="E350" s="1039">
        <v>32.488</v>
      </c>
      <c r="F350" s="871"/>
      <c r="G350" s="758"/>
      <c r="H350" s="687"/>
      <c r="I350" s="687"/>
      <c r="J350" s="687"/>
      <c r="K350" s="687"/>
      <c r="L350" s="687"/>
      <c r="M350" s="687"/>
      <c r="N350" s="687"/>
      <c r="O350" s="687"/>
      <c r="P350" s="687"/>
      <c r="Q350" s="687"/>
      <c r="R350" s="687"/>
      <c r="S350" s="687"/>
      <c r="T350" s="687"/>
      <c r="U350" s="687"/>
      <c r="V350" s="687"/>
      <c r="W350" s="687"/>
      <c r="X350" s="687"/>
      <c r="Y350" s="687"/>
      <c r="Z350" s="687"/>
      <c r="AA350" s="687"/>
      <c r="AB350" s="687"/>
      <c r="AC350" s="687"/>
      <c r="AD350" s="687"/>
      <c r="AE350" s="687"/>
      <c r="AF350" s="687"/>
      <c r="AG350" s="687"/>
      <c r="AH350" s="687"/>
      <c r="AI350" s="687"/>
      <c r="AJ350" s="687"/>
      <c r="AK350" s="687"/>
      <c r="AL350" s="687"/>
      <c r="AM350" s="687"/>
      <c r="AN350" s="687"/>
      <c r="AO350" s="687"/>
      <c r="AP350" s="687"/>
      <c r="AQ350" s="687"/>
      <c r="AR350" s="687"/>
      <c r="AS350" s="687"/>
      <c r="AT350" s="687"/>
      <c r="AU350" s="687"/>
      <c r="AV350" s="687"/>
      <c r="AW350" s="687"/>
      <c r="AX350" s="687"/>
      <c r="AY350" s="687"/>
      <c r="AZ350" s="687"/>
      <c r="BA350" s="687"/>
      <c r="BB350" s="687"/>
      <c r="BC350" s="687"/>
      <c r="BD350" s="687"/>
      <c r="BE350" s="687"/>
      <c r="BF350" s="687"/>
      <c r="BG350" s="687"/>
      <c r="BH350" s="687"/>
      <c r="BI350" s="687"/>
      <c r="BJ350" s="687"/>
      <c r="BK350" s="687"/>
      <c r="BL350" s="687"/>
      <c r="BM350" s="687"/>
      <c r="BN350" s="687"/>
      <c r="BO350" s="687"/>
      <c r="BP350" s="687"/>
      <c r="BQ350" s="687"/>
      <c r="BR350" s="687"/>
      <c r="BS350" s="687"/>
      <c r="BT350" s="687"/>
      <c r="BU350" s="687"/>
      <c r="BV350" s="687"/>
      <c r="BW350" s="687"/>
      <c r="BX350" s="687"/>
      <c r="BY350" s="687"/>
      <c r="BZ350" s="687"/>
      <c r="CA350" s="687"/>
      <c r="CB350" s="687"/>
      <c r="CC350" s="687"/>
      <c r="CD350" s="687"/>
      <c r="CE350" s="687"/>
      <c r="CF350" s="687"/>
      <c r="CG350" s="687"/>
      <c r="CH350" s="687"/>
    </row>
    <row r="351" spans="1:86" ht="15.75" customHeight="1" outlineLevel="1" x14ac:dyDescent="0.35">
      <c r="A351" s="687"/>
      <c r="B351" s="696"/>
      <c r="C351" s="655" t="s">
        <v>146</v>
      </c>
      <c r="D351" s="766"/>
      <c r="E351" s="1039">
        <v>0</v>
      </c>
      <c r="F351" s="871"/>
      <c r="G351" s="758"/>
      <c r="H351" s="687"/>
      <c r="I351" s="687"/>
      <c r="J351" s="687"/>
      <c r="K351" s="687"/>
      <c r="L351" s="687"/>
      <c r="M351" s="687"/>
      <c r="N351" s="687"/>
      <c r="O351" s="687"/>
      <c r="P351" s="687"/>
      <c r="Q351" s="687"/>
      <c r="R351" s="687"/>
      <c r="S351" s="687"/>
      <c r="T351" s="687"/>
      <c r="U351" s="687"/>
      <c r="V351" s="687"/>
      <c r="W351" s="687"/>
      <c r="X351" s="687"/>
      <c r="Y351" s="687"/>
      <c r="Z351" s="687"/>
      <c r="AA351" s="687"/>
      <c r="AB351" s="687"/>
      <c r="AC351" s="687"/>
      <c r="AD351" s="687"/>
      <c r="AE351" s="687"/>
      <c r="AF351" s="687"/>
      <c r="AG351" s="687"/>
      <c r="AH351" s="687"/>
      <c r="AI351" s="687"/>
      <c r="AJ351" s="687"/>
      <c r="AK351" s="687"/>
      <c r="AL351" s="687"/>
      <c r="AM351" s="687"/>
      <c r="AN351" s="687"/>
      <c r="AO351" s="687"/>
      <c r="AP351" s="687"/>
      <c r="AQ351" s="687"/>
      <c r="AR351" s="687"/>
      <c r="AS351" s="687"/>
      <c r="AT351" s="687"/>
      <c r="AU351" s="687"/>
      <c r="AV351" s="687"/>
      <c r="AW351" s="687"/>
      <c r="AX351" s="687"/>
      <c r="AY351" s="687"/>
      <c r="AZ351" s="687"/>
      <c r="BA351" s="687"/>
      <c r="BB351" s="687"/>
      <c r="BC351" s="687"/>
      <c r="BD351" s="687"/>
      <c r="BE351" s="687"/>
      <c r="BF351" s="687"/>
      <c r="BG351" s="687"/>
      <c r="BH351" s="687"/>
      <c r="BI351" s="687"/>
      <c r="BJ351" s="687"/>
      <c r="BK351" s="687"/>
      <c r="BL351" s="687"/>
      <c r="BM351" s="687"/>
      <c r="BN351" s="687"/>
      <c r="BO351" s="687"/>
      <c r="BP351" s="687"/>
      <c r="BQ351" s="687"/>
      <c r="BR351" s="687"/>
      <c r="BS351" s="687"/>
      <c r="BT351" s="687"/>
      <c r="BU351" s="687"/>
      <c r="BV351" s="687"/>
      <c r="BW351" s="687"/>
      <c r="BX351" s="687"/>
      <c r="BY351" s="687"/>
      <c r="BZ351" s="687"/>
      <c r="CA351" s="687"/>
      <c r="CB351" s="687"/>
      <c r="CC351" s="687"/>
      <c r="CD351" s="687"/>
      <c r="CE351" s="687"/>
      <c r="CF351" s="687"/>
      <c r="CG351" s="687"/>
      <c r="CH351" s="687"/>
    </row>
    <row r="352" spans="1:86" ht="15.75" customHeight="1" outlineLevel="1" x14ac:dyDescent="0.35">
      <c r="A352" s="687"/>
      <c r="B352" s="696"/>
      <c r="C352" s="655" t="s">
        <v>147</v>
      </c>
      <c r="D352" s="766"/>
      <c r="E352" s="1039">
        <v>0</v>
      </c>
      <c r="F352" s="871"/>
      <c r="G352" s="758"/>
      <c r="H352" s="687"/>
      <c r="I352" s="687"/>
      <c r="J352" s="687"/>
      <c r="K352" s="687"/>
      <c r="L352" s="687"/>
      <c r="M352" s="687"/>
      <c r="N352" s="687"/>
      <c r="O352" s="687"/>
      <c r="P352" s="687"/>
      <c r="Q352" s="687"/>
      <c r="R352" s="687"/>
      <c r="S352" s="687"/>
      <c r="T352" s="687"/>
      <c r="U352" s="687"/>
      <c r="V352" s="687"/>
      <c r="W352" s="687"/>
      <c r="X352" s="687"/>
      <c r="Y352" s="687"/>
      <c r="Z352" s="687"/>
      <c r="AA352" s="687"/>
      <c r="AB352" s="687"/>
      <c r="AC352" s="687"/>
      <c r="AD352" s="687"/>
      <c r="AE352" s="687"/>
      <c r="AF352" s="687"/>
      <c r="AG352" s="687"/>
      <c r="AH352" s="687"/>
      <c r="AI352" s="687"/>
      <c r="AJ352" s="687"/>
      <c r="AK352" s="687"/>
      <c r="AL352" s="687"/>
      <c r="AM352" s="687"/>
      <c r="AN352" s="687"/>
      <c r="AO352" s="687"/>
      <c r="AP352" s="687"/>
      <c r="AQ352" s="687"/>
      <c r="AR352" s="687"/>
      <c r="AS352" s="687"/>
      <c r="AT352" s="687"/>
      <c r="AU352" s="687"/>
      <c r="AV352" s="687"/>
      <c r="AW352" s="687"/>
      <c r="AX352" s="687"/>
      <c r="AY352" s="687"/>
      <c r="AZ352" s="687"/>
      <c r="BA352" s="687"/>
      <c r="BB352" s="687"/>
      <c r="BC352" s="687"/>
      <c r="BD352" s="687"/>
      <c r="BE352" s="687"/>
      <c r="BF352" s="687"/>
      <c r="BG352" s="687"/>
      <c r="BH352" s="687"/>
      <c r="BI352" s="687"/>
      <c r="BJ352" s="687"/>
      <c r="BK352" s="687"/>
      <c r="BL352" s="687"/>
      <c r="BM352" s="687"/>
      <c r="BN352" s="687"/>
      <c r="BO352" s="687"/>
      <c r="BP352" s="687"/>
      <c r="BQ352" s="687"/>
      <c r="BR352" s="687"/>
      <c r="BS352" s="687"/>
      <c r="BT352" s="687"/>
      <c r="BU352" s="687"/>
      <c r="BV352" s="687"/>
      <c r="BW352" s="687"/>
      <c r="BX352" s="687"/>
      <c r="BY352" s="687"/>
      <c r="BZ352" s="687"/>
      <c r="CA352" s="687"/>
      <c r="CB352" s="687"/>
      <c r="CC352" s="687"/>
      <c r="CD352" s="687"/>
      <c r="CE352" s="687"/>
      <c r="CF352" s="687"/>
      <c r="CG352" s="687"/>
      <c r="CH352" s="687"/>
    </row>
    <row r="353" spans="1:86" ht="15.75" customHeight="1" outlineLevel="1" x14ac:dyDescent="0.35">
      <c r="A353" s="687"/>
      <c r="B353" s="696"/>
      <c r="C353" s="655" t="s">
        <v>148</v>
      </c>
      <c r="D353" s="766"/>
      <c r="E353" s="1039">
        <v>5934.8</v>
      </c>
      <c r="F353" s="871"/>
      <c r="G353" s="758"/>
      <c r="H353" s="687"/>
      <c r="I353" s="687"/>
      <c r="J353" s="687"/>
      <c r="K353" s="687"/>
      <c r="L353" s="687"/>
      <c r="M353" s="687"/>
      <c r="N353" s="687"/>
      <c r="O353" s="687"/>
      <c r="P353" s="687"/>
      <c r="Q353" s="687"/>
      <c r="R353" s="687"/>
      <c r="S353" s="687"/>
      <c r="T353" s="687"/>
      <c r="U353" s="687"/>
      <c r="V353" s="687"/>
      <c r="W353" s="687"/>
      <c r="X353" s="687"/>
      <c r="Y353" s="687"/>
      <c r="Z353" s="687"/>
      <c r="AA353" s="687"/>
      <c r="AB353" s="687"/>
      <c r="AC353" s="687"/>
      <c r="AD353" s="687"/>
      <c r="AE353" s="687"/>
      <c r="AF353" s="687"/>
      <c r="AG353" s="687"/>
      <c r="AH353" s="687"/>
      <c r="AI353" s="687"/>
      <c r="AJ353" s="687"/>
      <c r="AK353" s="687"/>
      <c r="AL353" s="687"/>
      <c r="AM353" s="687"/>
      <c r="AN353" s="687"/>
      <c r="AO353" s="687"/>
      <c r="AP353" s="687"/>
      <c r="AQ353" s="687"/>
      <c r="AR353" s="687"/>
      <c r="AS353" s="687"/>
      <c r="AT353" s="687"/>
      <c r="AU353" s="687"/>
      <c r="AV353" s="687"/>
      <c r="AW353" s="687"/>
      <c r="AX353" s="687"/>
      <c r="AY353" s="687"/>
      <c r="AZ353" s="687"/>
      <c r="BA353" s="687"/>
      <c r="BB353" s="687"/>
      <c r="BC353" s="687"/>
      <c r="BD353" s="687"/>
      <c r="BE353" s="687"/>
      <c r="BF353" s="687"/>
      <c r="BG353" s="687"/>
      <c r="BH353" s="687"/>
      <c r="BI353" s="687"/>
      <c r="BJ353" s="687"/>
      <c r="BK353" s="687"/>
      <c r="BL353" s="687"/>
      <c r="BM353" s="687"/>
      <c r="BN353" s="687"/>
      <c r="BO353" s="687"/>
      <c r="BP353" s="687"/>
      <c r="BQ353" s="687"/>
      <c r="BR353" s="687"/>
      <c r="BS353" s="687"/>
      <c r="BT353" s="687"/>
      <c r="BU353" s="687"/>
      <c r="BV353" s="687"/>
      <c r="BW353" s="687"/>
      <c r="BX353" s="687"/>
      <c r="BY353" s="687"/>
      <c r="BZ353" s="687"/>
      <c r="CA353" s="687"/>
      <c r="CB353" s="687"/>
      <c r="CC353" s="687"/>
      <c r="CD353" s="687"/>
      <c r="CE353" s="687"/>
      <c r="CF353" s="687"/>
      <c r="CG353" s="687"/>
      <c r="CH353" s="687"/>
    </row>
    <row r="354" spans="1:86" ht="15.75" customHeight="1" outlineLevel="1" x14ac:dyDescent="0.35">
      <c r="A354" s="687"/>
      <c r="B354" s="696"/>
      <c r="C354" s="655" t="s">
        <v>149</v>
      </c>
      <c r="D354" s="766"/>
      <c r="E354" s="1039">
        <v>325.34999999999997</v>
      </c>
      <c r="F354" s="871"/>
      <c r="G354" s="758"/>
      <c r="H354" s="687"/>
      <c r="I354" s="687"/>
      <c r="J354" s="687"/>
      <c r="K354" s="687"/>
      <c r="L354" s="687"/>
      <c r="M354" s="687"/>
      <c r="N354" s="687"/>
      <c r="O354" s="687"/>
      <c r="P354" s="687"/>
      <c r="Q354" s="687"/>
      <c r="R354" s="687"/>
      <c r="S354" s="687"/>
      <c r="T354" s="687"/>
      <c r="U354" s="687"/>
      <c r="V354" s="687"/>
      <c r="W354" s="687"/>
      <c r="X354" s="687"/>
      <c r="Y354" s="687"/>
      <c r="Z354" s="687"/>
      <c r="AA354" s="687"/>
      <c r="AB354" s="687"/>
      <c r="AC354" s="687"/>
      <c r="AD354" s="687"/>
      <c r="AE354" s="687"/>
      <c r="AF354" s="687"/>
      <c r="AG354" s="687"/>
      <c r="AH354" s="687"/>
      <c r="AI354" s="687"/>
      <c r="AJ354" s="687"/>
      <c r="AK354" s="687"/>
      <c r="AL354" s="687"/>
      <c r="AM354" s="687"/>
      <c r="AN354" s="687"/>
      <c r="AO354" s="687"/>
      <c r="AP354" s="687"/>
      <c r="AQ354" s="687"/>
      <c r="AR354" s="687"/>
      <c r="AS354" s="687"/>
      <c r="AT354" s="687"/>
      <c r="AU354" s="687"/>
      <c r="AV354" s="687"/>
      <c r="AW354" s="687"/>
      <c r="AX354" s="687"/>
      <c r="AY354" s="687"/>
      <c r="AZ354" s="687"/>
      <c r="BA354" s="687"/>
      <c r="BB354" s="687"/>
      <c r="BC354" s="687"/>
      <c r="BD354" s="687"/>
      <c r="BE354" s="687"/>
      <c r="BF354" s="687"/>
      <c r="BG354" s="687"/>
      <c r="BH354" s="687"/>
      <c r="BI354" s="687"/>
      <c r="BJ354" s="687"/>
      <c r="BK354" s="687"/>
      <c r="BL354" s="687"/>
      <c r="BM354" s="687"/>
      <c r="BN354" s="687"/>
      <c r="BO354" s="687"/>
      <c r="BP354" s="687"/>
      <c r="BQ354" s="687"/>
      <c r="BR354" s="687"/>
      <c r="BS354" s="687"/>
      <c r="BT354" s="687"/>
      <c r="BU354" s="687"/>
      <c r="BV354" s="687"/>
      <c r="BW354" s="687"/>
      <c r="BX354" s="687"/>
      <c r="BY354" s="687"/>
      <c r="BZ354" s="687"/>
      <c r="CA354" s="687"/>
      <c r="CB354" s="687"/>
      <c r="CC354" s="687"/>
      <c r="CD354" s="687"/>
      <c r="CE354" s="687"/>
      <c r="CF354" s="687"/>
      <c r="CG354" s="687"/>
      <c r="CH354" s="687"/>
    </row>
    <row r="355" spans="1:86" ht="15.75" customHeight="1" outlineLevel="1" x14ac:dyDescent="0.35">
      <c r="A355" s="687"/>
      <c r="B355" s="696"/>
      <c r="C355" s="655" t="s">
        <v>150</v>
      </c>
      <c r="D355" s="766"/>
      <c r="E355" s="1039">
        <v>0</v>
      </c>
      <c r="F355" s="871"/>
      <c r="G355" s="758"/>
      <c r="H355" s="687"/>
      <c r="I355" s="687"/>
      <c r="J355" s="687"/>
      <c r="K355" s="687"/>
      <c r="L355" s="687"/>
      <c r="M355" s="687"/>
      <c r="N355" s="687"/>
      <c r="O355" s="687"/>
      <c r="P355" s="687"/>
      <c r="Q355" s="687"/>
      <c r="R355" s="687"/>
      <c r="S355" s="687"/>
      <c r="T355" s="687"/>
      <c r="U355" s="687"/>
      <c r="V355" s="687"/>
      <c r="W355" s="687"/>
      <c r="X355" s="687"/>
      <c r="Y355" s="687"/>
      <c r="Z355" s="687"/>
      <c r="AA355" s="687"/>
      <c r="AB355" s="687"/>
      <c r="AC355" s="687"/>
      <c r="AD355" s="687"/>
      <c r="AE355" s="687"/>
      <c r="AF355" s="687"/>
      <c r="AG355" s="687"/>
      <c r="AH355" s="687"/>
      <c r="AI355" s="687"/>
      <c r="AJ355" s="687"/>
      <c r="AK355" s="687"/>
      <c r="AL355" s="687"/>
      <c r="AM355" s="687"/>
      <c r="AN355" s="687"/>
      <c r="AO355" s="687"/>
      <c r="AP355" s="687"/>
      <c r="AQ355" s="687"/>
      <c r="AR355" s="687"/>
      <c r="AS355" s="687"/>
      <c r="AT355" s="687"/>
      <c r="AU355" s="687"/>
      <c r="AV355" s="687"/>
      <c r="AW355" s="687"/>
      <c r="AX355" s="687"/>
      <c r="AY355" s="687"/>
      <c r="AZ355" s="687"/>
      <c r="BA355" s="687"/>
      <c r="BB355" s="687"/>
      <c r="BC355" s="687"/>
      <c r="BD355" s="687"/>
      <c r="BE355" s="687"/>
      <c r="BF355" s="687"/>
      <c r="BG355" s="687"/>
      <c r="BH355" s="687"/>
      <c r="BI355" s="687"/>
      <c r="BJ355" s="687"/>
      <c r="BK355" s="687"/>
      <c r="BL355" s="687"/>
      <c r="BM355" s="687"/>
      <c r="BN355" s="687"/>
      <c r="BO355" s="687"/>
      <c r="BP355" s="687"/>
      <c r="BQ355" s="687"/>
      <c r="BR355" s="687"/>
      <c r="BS355" s="687"/>
      <c r="BT355" s="687"/>
      <c r="BU355" s="687"/>
      <c r="BV355" s="687"/>
      <c r="BW355" s="687"/>
      <c r="BX355" s="687"/>
      <c r="BY355" s="687"/>
      <c r="BZ355" s="687"/>
      <c r="CA355" s="687"/>
      <c r="CB355" s="687"/>
      <c r="CC355" s="687"/>
      <c r="CD355" s="687"/>
      <c r="CE355" s="687"/>
      <c r="CF355" s="687"/>
      <c r="CG355" s="687"/>
      <c r="CH355" s="687"/>
    </row>
    <row r="356" spans="1:86" ht="15.75" customHeight="1" outlineLevel="1" x14ac:dyDescent="0.35">
      <c r="A356" s="687"/>
      <c r="B356" s="696"/>
      <c r="C356" s="655" t="s">
        <v>151</v>
      </c>
      <c r="D356" s="766"/>
      <c r="E356" s="1039">
        <v>0</v>
      </c>
      <c r="F356" s="871"/>
      <c r="G356" s="758"/>
      <c r="H356" s="687"/>
      <c r="I356" s="687"/>
      <c r="J356" s="687"/>
      <c r="K356" s="687"/>
      <c r="L356" s="687"/>
      <c r="M356" s="687"/>
      <c r="N356" s="687"/>
      <c r="O356" s="687"/>
      <c r="P356" s="687"/>
      <c r="Q356" s="687"/>
      <c r="R356" s="687"/>
      <c r="S356" s="687"/>
      <c r="T356" s="687"/>
      <c r="U356" s="687"/>
      <c r="V356" s="687"/>
      <c r="W356" s="687"/>
      <c r="X356" s="687"/>
      <c r="Y356" s="687"/>
      <c r="Z356" s="687"/>
      <c r="AA356" s="687"/>
      <c r="AB356" s="687"/>
      <c r="AC356" s="687"/>
      <c r="AD356" s="687"/>
      <c r="AE356" s="687"/>
      <c r="AF356" s="687"/>
      <c r="AG356" s="687"/>
      <c r="AH356" s="687"/>
      <c r="AI356" s="687"/>
      <c r="AJ356" s="687"/>
      <c r="AK356" s="687"/>
      <c r="AL356" s="687"/>
      <c r="AM356" s="687"/>
      <c r="AN356" s="687"/>
      <c r="AO356" s="687"/>
      <c r="AP356" s="687"/>
      <c r="AQ356" s="687"/>
      <c r="AR356" s="687"/>
      <c r="AS356" s="687"/>
      <c r="AT356" s="687"/>
      <c r="AU356" s="687"/>
      <c r="AV356" s="687"/>
      <c r="AW356" s="687"/>
      <c r="AX356" s="687"/>
      <c r="AY356" s="687"/>
      <c r="AZ356" s="687"/>
      <c r="BA356" s="687"/>
      <c r="BB356" s="687"/>
      <c r="BC356" s="687"/>
      <c r="BD356" s="687"/>
      <c r="BE356" s="687"/>
      <c r="BF356" s="687"/>
      <c r="BG356" s="687"/>
      <c r="BH356" s="687"/>
      <c r="BI356" s="687"/>
      <c r="BJ356" s="687"/>
      <c r="BK356" s="687"/>
      <c r="BL356" s="687"/>
      <c r="BM356" s="687"/>
      <c r="BN356" s="687"/>
      <c r="BO356" s="687"/>
      <c r="BP356" s="687"/>
      <c r="BQ356" s="687"/>
      <c r="BR356" s="687"/>
      <c r="BS356" s="687"/>
      <c r="BT356" s="687"/>
      <c r="BU356" s="687"/>
      <c r="BV356" s="687"/>
      <c r="BW356" s="687"/>
      <c r="BX356" s="687"/>
      <c r="BY356" s="687"/>
      <c r="BZ356" s="687"/>
      <c r="CA356" s="687"/>
      <c r="CB356" s="687"/>
      <c r="CC356" s="687"/>
      <c r="CD356" s="687"/>
      <c r="CE356" s="687"/>
      <c r="CF356" s="687"/>
      <c r="CG356" s="687"/>
      <c r="CH356" s="687"/>
    </row>
    <row r="357" spans="1:86" ht="15.75" customHeight="1" outlineLevel="1" x14ac:dyDescent="0.35">
      <c r="A357" s="687"/>
      <c r="B357" s="696"/>
      <c r="C357" s="655" t="s">
        <v>152</v>
      </c>
      <c r="D357" s="766"/>
      <c r="E357" s="1039">
        <v>3985</v>
      </c>
      <c r="F357" s="871"/>
      <c r="G357" s="758"/>
      <c r="H357" s="687"/>
      <c r="I357" s="687"/>
      <c r="J357" s="687"/>
      <c r="K357" s="687"/>
      <c r="L357" s="687"/>
      <c r="M357" s="687"/>
      <c r="N357" s="687"/>
      <c r="O357" s="687"/>
      <c r="P357" s="687"/>
      <c r="Q357" s="687"/>
      <c r="R357" s="687"/>
      <c r="S357" s="687"/>
      <c r="T357" s="687"/>
      <c r="U357" s="687"/>
      <c r="V357" s="687"/>
      <c r="W357" s="687"/>
      <c r="X357" s="687"/>
      <c r="Y357" s="687"/>
      <c r="Z357" s="687"/>
      <c r="AA357" s="687"/>
      <c r="AB357" s="687"/>
      <c r="AC357" s="687"/>
      <c r="AD357" s="687"/>
      <c r="AE357" s="687"/>
      <c r="AF357" s="687"/>
      <c r="AG357" s="687"/>
      <c r="AH357" s="687"/>
      <c r="AI357" s="687"/>
      <c r="AJ357" s="687"/>
      <c r="AK357" s="687"/>
      <c r="AL357" s="687"/>
      <c r="AM357" s="687"/>
      <c r="AN357" s="687"/>
      <c r="AO357" s="687"/>
      <c r="AP357" s="687"/>
      <c r="AQ357" s="687"/>
      <c r="AR357" s="687"/>
      <c r="AS357" s="687"/>
      <c r="AT357" s="687"/>
      <c r="AU357" s="687"/>
      <c r="AV357" s="687"/>
      <c r="AW357" s="687"/>
      <c r="AX357" s="687"/>
      <c r="AY357" s="687"/>
      <c r="AZ357" s="687"/>
      <c r="BA357" s="687"/>
      <c r="BB357" s="687"/>
      <c r="BC357" s="687"/>
      <c r="BD357" s="687"/>
      <c r="BE357" s="687"/>
      <c r="BF357" s="687"/>
      <c r="BG357" s="687"/>
      <c r="BH357" s="687"/>
      <c r="BI357" s="687"/>
      <c r="BJ357" s="687"/>
      <c r="BK357" s="687"/>
      <c r="BL357" s="687"/>
      <c r="BM357" s="687"/>
      <c r="BN357" s="687"/>
      <c r="BO357" s="687"/>
      <c r="BP357" s="687"/>
      <c r="BQ357" s="687"/>
      <c r="BR357" s="687"/>
      <c r="BS357" s="687"/>
      <c r="BT357" s="687"/>
      <c r="BU357" s="687"/>
      <c r="BV357" s="687"/>
      <c r="BW357" s="687"/>
      <c r="BX357" s="687"/>
      <c r="BY357" s="687"/>
      <c r="BZ357" s="687"/>
      <c r="CA357" s="687"/>
      <c r="CB357" s="687"/>
      <c r="CC357" s="687"/>
      <c r="CD357" s="687"/>
      <c r="CE357" s="687"/>
      <c r="CF357" s="687"/>
      <c r="CG357" s="687"/>
      <c r="CH357" s="687"/>
    </row>
    <row r="358" spans="1:86" ht="15.75" customHeight="1" outlineLevel="1" x14ac:dyDescent="0.35">
      <c r="A358" s="687"/>
      <c r="B358" s="696"/>
      <c r="C358" s="655" t="s">
        <v>153</v>
      </c>
      <c r="D358" s="766"/>
      <c r="E358" s="1039">
        <v>13214</v>
      </c>
      <c r="F358" s="871"/>
      <c r="G358" s="758"/>
      <c r="H358" s="687"/>
      <c r="I358" s="687"/>
      <c r="J358" s="687"/>
      <c r="K358" s="687"/>
      <c r="L358" s="687"/>
      <c r="M358" s="687"/>
      <c r="N358" s="687"/>
      <c r="O358" s="687"/>
      <c r="P358" s="687"/>
      <c r="Q358" s="687"/>
      <c r="R358" s="687"/>
      <c r="S358" s="687"/>
      <c r="T358" s="687"/>
      <c r="U358" s="687"/>
      <c r="V358" s="687"/>
      <c r="W358" s="687"/>
      <c r="X358" s="687"/>
      <c r="Y358" s="687"/>
      <c r="Z358" s="687"/>
      <c r="AA358" s="687"/>
      <c r="AB358" s="687"/>
      <c r="AC358" s="687"/>
      <c r="AD358" s="687"/>
      <c r="AE358" s="687"/>
      <c r="AF358" s="687"/>
      <c r="AG358" s="687"/>
      <c r="AH358" s="687"/>
      <c r="AI358" s="687"/>
      <c r="AJ358" s="687"/>
      <c r="AK358" s="687"/>
      <c r="AL358" s="687"/>
      <c r="AM358" s="687"/>
      <c r="AN358" s="687"/>
      <c r="AO358" s="687"/>
      <c r="AP358" s="687"/>
      <c r="AQ358" s="687"/>
      <c r="AR358" s="687"/>
      <c r="AS358" s="687"/>
      <c r="AT358" s="687"/>
      <c r="AU358" s="687"/>
      <c r="AV358" s="687"/>
      <c r="AW358" s="687"/>
      <c r="AX358" s="687"/>
      <c r="AY358" s="687"/>
      <c r="AZ358" s="687"/>
      <c r="BA358" s="687"/>
      <c r="BB358" s="687"/>
      <c r="BC358" s="687"/>
      <c r="BD358" s="687"/>
      <c r="BE358" s="687"/>
      <c r="BF358" s="687"/>
      <c r="BG358" s="687"/>
      <c r="BH358" s="687"/>
      <c r="BI358" s="687"/>
      <c r="BJ358" s="687"/>
      <c r="BK358" s="687"/>
      <c r="BL358" s="687"/>
      <c r="BM358" s="687"/>
      <c r="BN358" s="687"/>
      <c r="BO358" s="687"/>
      <c r="BP358" s="687"/>
      <c r="BQ358" s="687"/>
      <c r="BR358" s="687"/>
      <c r="BS358" s="687"/>
      <c r="BT358" s="687"/>
      <c r="BU358" s="687"/>
      <c r="BV358" s="687"/>
      <c r="BW358" s="687"/>
      <c r="BX358" s="687"/>
      <c r="BY358" s="687"/>
      <c r="BZ358" s="687"/>
      <c r="CA358" s="687"/>
      <c r="CB358" s="687"/>
      <c r="CC358" s="687"/>
      <c r="CD358" s="687"/>
      <c r="CE358" s="687"/>
      <c r="CF358" s="687"/>
      <c r="CG358" s="687"/>
      <c r="CH358" s="687"/>
    </row>
    <row r="359" spans="1:86" ht="15.75" customHeight="1" outlineLevel="1" x14ac:dyDescent="0.35">
      <c r="A359" s="687"/>
      <c r="B359" s="696"/>
      <c r="C359" s="655" t="s">
        <v>154</v>
      </c>
      <c r="D359" s="766"/>
      <c r="E359" s="1039">
        <v>13396</v>
      </c>
      <c r="F359" s="871"/>
      <c r="G359" s="758"/>
      <c r="H359" s="687"/>
      <c r="I359" s="687"/>
      <c r="J359" s="687"/>
      <c r="K359" s="687"/>
      <c r="L359" s="687"/>
      <c r="M359" s="687"/>
      <c r="N359" s="687"/>
      <c r="O359" s="687"/>
      <c r="P359" s="687"/>
      <c r="Q359" s="687"/>
      <c r="R359" s="687"/>
      <c r="S359" s="687"/>
      <c r="T359" s="687"/>
      <c r="U359" s="687"/>
      <c r="V359" s="687"/>
      <c r="W359" s="687"/>
      <c r="X359" s="687"/>
      <c r="Y359" s="687"/>
      <c r="Z359" s="687"/>
      <c r="AA359" s="687"/>
      <c r="AB359" s="687"/>
      <c r="AC359" s="687"/>
      <c r="AD359" s="687"/>
      <c r="AE359" s="687"/>
      <c r="AF359" s="687"/>
      <c r="AG359" s="687"/>
      <c r="AH359" s="687"/>
      <c r="AI359" s="687"/>
      <c r="AJ359" s="687"/>
      <c r="AK359" s="687"/>
      <c r="AL359" s="687"/>
      <c r="AM359" s="687"/>
      <c r="AN359" s="687"/>
      <c r="AO359" s="687"/>
      <c r="AP359" s="687"/>
      <c r="AQ359" s="687"/>
      <c r="AR359" s="687"/>
      <c r="AS359" s="687"/>
      <c r="AT359" s="687"/>
      <c r="AU359" s="687"/>
      <c r="AV359" s="687"/>
      <c r="AW359" s="687"/>
      <c r="AX359" s="687"/>
      <c r="AY359" s="687"/>
      <c r="AZ359" s="687"/>
      <c r="BA359" s="687"/>
      <c r="BB359" s="687"/>
      <c r="BC359" s="687"/>
      <c r="BD359" s="687"/>
      <c r="BE359" s="687"/>
      <c r="BF359" s="687"/>
      <c r="BG359" s="687"/>
      <c r="BH359" s="687"/>
      <c r="BI359" s="687"/>
      <c r="BJ359" s="687"/>
      <c r="BK359" s="687"/>
      <c r="BL359" s="687"/>
      <c r="BM359" s="687"/>
      <c r="BN359" s="687"/>
      <c r="BO359" s="687"/>
      <c r="BP359" s="687"/>
      <c r="BQ359" s="687"/>
      <c r="BR359" s="687"/>
      <c r="BS359" s="687"/>
      <c r="BT359" s="687"/>
      <c r="BU359" s="687"/>
      <c r="BV359" s="687"/>
      <c r="BW359" s="687"/>
      <c r="BX359" s="687"/>
      <c r="BY359" s="687"/>
      <c r="BZ359" s="687"/>
      <c r="CA359" s="687"/>
      <c r="CB359" s="687"/>
      <c r="CC359" s="687"/>
      <c r="CD359" s="687"/>
      <c r="CE359" s="687"/>
      <c r="CF359" s="687"/>
      <c r="CG359" s="687"/>
      <c r="CH359" s="687"/>
    </row>
    <row r="360" spans="1:86" ht="15.75" customHeight="1" outlineLevel="1" x14ac:dyDescent="0.35">
      <c r="A360" s="687"/>
      <c r="B360" s="696"/>
      <c r="C360" s="655" t="s">
        <v>155</v>
      </c>
      <c r="D360" s="766"/>
      <c r="E360" s="1039">
        <v>4944.8</v>
      </c>
      <c r="F360" s="871"/>
      <c r="G360" s="758"/>
      <c r="H360" s="687"/>
      <c r="I360" s="687"/>
      <c r="J360" s="687"/>
      <c r="K360" s="687"/>
      <c r="L360" s="687"/>
      <c r="M360" s="687"/>
      <c r="N360" s="687"/>
      <c r="O360" s="687"/>
      <c r="P360" s="687"/>
      <c r="Q360" s="687"/>
      <c r="R360" s="687"/>
      <c r="S360" s="687"/>
      <c r="T360" s="687"/>
      <c r="U360" s="687"/>
      <c r="V360" s="687"/>
      <c r="W360" s="687"/>
      <c r="X360" s="687"/>
      <c r="Y360" s="687"/>
      <c r="Z360" s="687"/>
      <c r="AA360" s="687"/>
      <c r="AB360" s="687"/>
      <c r="AC360" s="687"/>
      <c r="AD360" s="687"/>
      <c r="AE360" s="687"/>
      <c r="AF360" s="687"/>
      <c r="AG360" s="687"/>
      <c r="AH360" s="687"/>
      <c r="AI360" s="687"/>
      <c r="AJ360" s="687"/>
      <c r="AK360" s="687"/>
      <c r="AL360" s="687"/>
      <c r="AM360" s="687"/>
      <c r="AN360" s="687"/>
      <c r="AO360" s="687"/>
      <c r="AP360" s="687"/>
      <c r="AQ360" s="687"/>
      <c r="AR360" s="687"/>
      <c r="AS360" s="687"/>
      <c r="AT360" s="687"/>
      <c r="AU360" s="687"/>
      <c r="AV360" s="687"/>
      <c r="AW360" s="687"/>
      <c r="AX360" s="687"/>
      <c r="AY360" s="687"/>
      <c r="AZ360" s="687"/>
      <c r="BA360" s="687"/>
      <c r="BB360" s="687"/>
      <c r="BC360" s="687"/>
      <c r="BD360" s="687"/>
      <c r="BE360" s="687"/>
      <c r="BF360" s="687"/>
      <c r="BG360" s="687"/>
      <c r="BH360" s="687"/>
      <c r="BI360" s="687"/>
      <c r="BJ360" s="687"/>
      <c r="BK360" s="687"/>
      <c r="BL360" s="687"/>
      <c r="BM360" s="687"/>
      <c r="BN360" s="687"/>
      <c r="BO360" s="687"/>
      <c r="BP360" s="687"/>
      <c r="BQ360" s="687"/>
      <c r="BR360" s="687"/>
      <c r="BS360" s="687"/>
      <c r="BT360" s="687"/>
      <c r="BU360" s="687"/>
      <c r="BV360" s="687"/>
      <c r="BW360" s="687"/>
      <c r="BX360" s="687"/>
      <c r="BY360" s="687"/>
      <c r="BZ360" s="687"/>
      <c r="CA360" s="687"/>
      <c r="CB360" s="687"/>
      <c r="CC360" s="687"/>
      <c r="CD360" s="687"/>
      <c r="CE360" s="687"/>
      <c r="CF360" s="687"/>
      <c r="CG360" s="687"/>
      <c r="CH360" s="687"/>
    </row>
    <row r="361" spans="1:86" ht="15.75" customHeight="1" outlineLevel="1" x14ac:dyDescent="0.35">
      <c r="A361" s="687"/>
      <c r="B361" s="696"/>
      <c r="C361" s="655" t="s">
        <v>156</v>
      </c>
      <c r="D361" s="766"/>
      <c r="E361" s="1039">
        <v>0</v>
      </c>
      <c r="F361" s="871"/>
      <c r="G361" s="758"/>
      <c r="H361" s="687"/>
      <c r="I361" s="687"/>
      <c r="J361" s="687"/>
      <c r="K361" s="687"/>
      <c r="L361" s="687"/>
      <c r="M361" s="687"/>
      <c r="N361" s="687"/>
      <c r="O361" s="687"/>
      <c r="P361" s="687"/>
      <c r="Q361" s="687"/>
      <c r="R361" s="687"/>
      <c r="S361" s="687"/>
      <c r="T361" s="687"/>
      <c r="U361" s="687"/>
      <c r="V361" s="687"/>
      <c r="W361" s="687"/>
      <c r="X361" s="687"/>
      <c r="Y361" s="687"/>
      <c r="Z361" s="687"/>
      <c r="AA361" s="687"/>
      <c r="AB361" s="687"/>
      <c r="AC361" s="687"/>
      <c r="AD361" s="687"/>
      <c r="AE361" s="687"/>
      <c r="AF361" s="687"/>
      <c r="AG361" s="687"/>
      <c r="AH361" s="687"/>
      <c r="AI361" s="687"/>
      <c r="AJ361" s="687"/>
      <c r="AK361" s="687"/>
      <c r="AL361" s="687"/>
      <c r="AM361" s="687"/>
      <c r="AN361" s="687"/>
      <c r="AO361" s="687"/>
      <c r="AP361" s="687"/>
      <c r="AQ361" s="687"/>
      <c r="AR361" s="687"/>
      <c r="AS361" s="687"/>
      <c r="AT361" s="687"/>
      <c r="AU361" s="687"/>
      <c r="AV361" s="687"/>
      <c r="AW361" s="687"/>
      <c r="AX361" s="687"/>
      <c r="AY361" s="687"/>
      <c r="AZ361" s="687"/>
      <c r="BA361" s="687"/>
      <c r="BB361" s="687"/>
      <c r="BC361" s="687"/>
      <c r="BD361" s="687"/>
      <c r="BE361" s="687"/>
      <c r="BF361" s="687"/>
      <c r="BG361" s="687"/>
      <c r="BH361" s="687"/>
      <c r="BI361" s="687"/>
      <c r="BJ361" s="687"/>
      <c r="BK361" s="687"/>
      <c r="BL361" s="687"/>
      <c r="BM361" s="687"/>
      <c r="BN361" s="687"/>
      <c r="BO361" s="687"/>
      <c r="BP361" s="687"/>
      <c r="BQ361" s="687"/>
      <c r="BR361" s="687"/>
      <c r="BS361" s="687"/>
      <c r="BT361" s="687"/>
      <c r="BU361" s="687"/>
      <c r="BV361" s="687"/>
      <c r="BW361" s="687"/>
      <c r="BX361" s="687"/>
      <c r="BY361" s="687"/>
      <c r="BZ361" s="687"/>
      <c r="CA361" s="687"/>
      <c r="CB361" s="687"/>
      <c r="CC361" s="687"/>
      <c r="CD361" s="687"/>
      <c r="CE361" s="687"/>
      <c r="CF361" s="687"/>
      <c r="CG361" s="687"/>
      <c r="CH361" s="687"/>
    </row>
    <row r="362" spans="1:86" ht="15.75" customHeight="1" outlineLevel="1" x14ac:dyDescent="0.35">
      <c r="A362" s="687"/>
      <c r="B362" s="696"/>
      <c r="C362" s="655" t="s">
        <v>157</v>
      </c>
      <c r="D362" s="766"/>
      <c r="E362" s="1039">
        <v>0</v>
      </c>
      <c r="F362" s="871"/>
      <c r="G362" s="758"/>
      <c r="H362" s="687"/>
      <c r="I362" s="687"/>
      <c r="J362" s="687"/>
      <c r="K362" s="687"/>
      <c r="L362" s="687"/>
      <c r="M362" s="687"/>
      <c r="N362" s="687"/>
      <c r="O362" s="687"/>
      <c r="P362" s="687"/>
      <c r="Q362" s="687"/>
      <c r="R362" s="687"/>
      <c r="S362" s="687"/>
      <c r="T362" s="687"/>
      <c r="U362" s="687"/>
      <c r="V362" s="687"/>
      <c r="W362" s="687"/>
      <c r="X362" s="687"/>
      <c r="Y362" s="687"/>
      <c r="Z362" s="687"/>
      <c r="AA362" s="687"/>
      <c r="AB362" s="687"/>
      <c r="AC362" s="687"/>
      <c r="AD362" s="687"/>
      <c r="AE362" s="687"/>
      <c r="AF362" s="687"/>
      <c r="AG362" s="687"/>
      <c r="AH362" s="687"/>
      <c r="AI362" s="687"/>
      <c r="AJ362" s="687"/>
      <c r="AK362" s="687"/>
      <c r="AL362" s="687"/>
      <c r="AM362" s="687"/>
      <c r="AN362" s="687"/>
      <c r="AO362" s="687"/>
      <c r="AP362" s="687"/>
      <c r="AQ362" s="687"/>
      <c r="AR362" s="687"/>
      <c r="AS362" s="687"/>
      <c r="AT362" s="687"/>
      <c r="AU362" s="687"/>
      <c r="AV362" s="687"/>
      <c r="AW362" s="687"/>
      <c r="AX362" s="687"/>
      <c r="AY362" s="687"/>
      <c r="AZ362" s="687"/>
      <c r="BA362" s="687"/>
      <c r="BB362" s="687"/>
      <c r="BC362" s="687"/>
      <c r="BD362" s="687"/>
      <c r="BE362" s="687"/>
      <c r="BF362" s="687"/>
      <c r="BG362" s="687"/>
      <c r="BH362" s="687"/>
      <c r="BI362" s="687"/>
      <c r="BJ362" s="687"/>
      <c r="BK362" s="687"/>
      <c r="BL362" s="687"/>
      <c r="BM362" s="687"/>
      <c r="BN362" s="687"/>
      <c r="BO362" s="687"/>
      <c r="BP362" s="687"/>
      <c r="BQ362" s="687"/>
      <c r="BR362" s="687"/>
      <c r="BS362" s="687"/>
      <c r="BT362" s="687"/>
      <c r="BU362" s="687"/>
      <c r="BV362" s="687"/>
      <c r="BW362" s="687"/>
      <c r="BX362" s="687"/>
      <c r="BY362" s="687"/>
      <c r="BZ362" s="687"/>
      <c r="CA362" s="687"/>
      <c r="CB362" s="687"/>
      <c r="CC362" s="687"/>
      <c r="CD362" s="687"/>
      <c r="CE362" s="687"/>
      <c r="CF362" s="687"/>
      <c r="CG362" s="687"/>
      <c r="CH362" s="687"/>
    </row>
    <row r="363" spans="1:86" ht="15.65" customHeight="1" outlineLevel="1" x14ac:dyDescent="0.35">
      <c r="A363" s="687"/>
      <c r="B363" s="696"/>
      <c r="C363" s="655" t="s">
        <v>158</v>
      </c>
      <c r="D363" s="773"/>
      <c r="E363" s="1039">
        <v>189.3</v>
      </c>
      <c r="F363" s="871"/>
      <c r="G363" s="758"/>
      <c r="H363" s="687"/>
      <c r="I363" s="687"/>
      <c r="J363" s="687"/>
      <c r="K363" s="687"/>
      <c r="L363" s="687"/>
      <c r="M363" s="687"/>
      <c r="N363" s="687"/>
      <c r="O363" s="687"/>
      <c r="P363" s="687"/>
      <c r="Q363" s="687"/>
      <c r="R363" s="687"/>
      <c r="S363" s="687"/>
      <c r="T363" s="687"/>
      <c r="U363" s="687"/>
      <c r="V363" s="687"/>
      <c r="W363" s="687"/>
      <c r="X363" s="687"/>
      <c r="Y363" s="687"/>
      <c r="Z363" s="687"/>
      <c r="AA363" s="687"/>
      <c r="AB363" s="687"/>
      <c r="AC363" s="687"/>
      <c r="AD363" s="687"/>
      <c r="AE363" s="687"/>
      <c r="AF363" s="687"/>
      <c r="AG363" s="687"/>
      <c r="AH363" s="687"/>
      <c r="AI363" s="687"/>
      <c r="AJ363" s="687"/>
      <c r="AK363" s="687"/>
      <c r="AL363" s="687"/>
      <c r="AM363" s="687"/>
      <c r="AN363" s="687"/>
      <c r="AO363" s="687"/>
      <c r="AP363" s="687"/>
      <c r="AQ363" s="687"/>
      <c r="AR363" s="687"/>
      <c r="AS363" s="687"/>
      <c r="AT363" s="687"/>
      <c r="AU363" s="687"/>
      <c r="AV363" s="687"/>
      <c r="AW363" s="687"/>
      <c r="AX363" s="687"/>
      <c r="AY363" s="687"/>
      <c r="AZ363" s="687"/>
      <c r="BA363" s="687"/>
      <c r="BB363" s="687"/>
      <c r="BC363" s="687"/>
      <c r="BD363" s="687"/>
      <c r="BE363" s="687"/>
      <c r="BF363" s="687"/>
      <c r="BG363" s="687"/>
      <c r="BH363" s="687"/>
      <c r="BI363" s="687"/>
      <c r="BJ363" s="687"/>
      <c r="BK363" s="687"/>
      <c r="BL363" s="687"/>
      <c r="BM363" s="687"/>
      <c r="BN363" s="687"/>
      <c r="BO363" s="687"/>
      <c r="BP363" s="687"/>
      <c r="BQ363" s="687"/>
      <c r="BR363" s="687"/>
      <c r="BS363" s="687"/>
      <c r="BT363" s="687"/>
      <c r="BU363" s="687"/>
      <c r="BV363" s="687"/>
      <c r="BW363" s="687"/>
      <c r="BX363" s="687"/>
      <c r="BY363" s="687"/>
      <c r="BZ363" s="687"/>
      <c r="CA363" s="687"/>
      <c r="CB363" s="687"/>
      <c r="CC363" s="687"/>
      <c r="CD363" s="687"/>
      <c r="CE363" s="687"/>
      <c r="CF363" s="687"/>
      <c r="CG363" s="687"/>
      <c r="CH363" s="687"/>
    </row>
    <row r="364" spans="1:86" ht="23.5" customHeight="1" outlineLevel="1" x14ac:dyDescent="0.35">
      <c r="A364" s="687"/>
      <c r="B364" s="696"/>
      <c r="C364" s="655" t="s">
        <v>607</v>
      </c>
      <c r="D364" s="655"/>
      <c r="E364" s="1039">
        <v>28</v>
      </c>
      <c r="F364" s="872"/>
      <c r="G364" s="758"/>
      <c r="H364" s="687"/>
      <c r="I364" s="687"/>
      <c r="J364" s="687"/>
      <c r="K364" s="687"/>
      <c r="L364" s="687"/>
      <c r="M364" s="687"/>
      <c r="N364" s="687"/>
      <c r="O364" s="687"/>
      <c r="P364" s="687"/>
      <c r="Q364" s="687"/>
      <c r="R364" s="687"/>
      <c r="S364" s="687"/>
      <c r="T364" s="687"/>
      <c r="U364" s="687"/>
      <c r="V364" s="687"/>
      <c r="W364" s="687"/>
      <c r="X364" s="687"/>
      <c r="Y364" s="687"/>
      <c r="Z364" s="687"/>
      <c r="AA364" s="687"/>
      <c r="AB364" s="687"/>
      <c r="AC364" s="687"/>
      <c r="AD364" s="687"/>
      <c r="AE364" s="687"/>
      <c r="AF364" s="687"/>
      <c r="AG364" s="687"/>
      <c r="AH364" s="687"/>
      <c r="AI364" s="687"/>
      <c r="AJ364" s="687"/>
      <c r="AK364" s="687"/>
      <c r="AL364" s="687"/>
      <c r="AM364" s="687"/>
      <c r="AN364" s="687"/>
      <c r="AO364" s="687"/>
      <c r="AP364" s="687"/>
      <c r="AQ364" s="687"/>
      <c r="AR364" s="687"/>
      <c r="AS364" s="687"/>
      <c r="AT364" s="687"/>
      <c r="AU364" s="687"/>
      <c r="AV364" s="687"/>
      <c r="AW364" s="687"/>
      <c r="AX364" s="687"/>
      <c r="AY364" s="687"/>
      <c r="AZ364" s="687"/>
      <c r="BA364" s="687"/>
      <c r="BB364" s="687"/>
      <c r="BC364" s="687"/>
      <c r="BD364" s="687"/>
      <c r="BE364" s="687"/>
      <c r="BF364" s="687"/>
      <c r="BG364" s="687"/>
      <c r="BH364" s="687"/>
      <c r="BI364" s="687"/>
      <c r="BJ364" s="687"/>
      <c r="BK364" s="687"/>
      <c r="BL364" s="687"/>
      <c r="BM364" s="687"/>
      <c r="BN364" s="687"/>
      <c r="BO364" s="687"/>
      <c r="BP364" s="687"/>
      <c r="BQ364" s="687"/>
      <c r="BR364" s="687"/>
      <c r="BS364" s="687"/>
      <c r="BT364" s="687"/>
      <c r="BU364" s="687"/>
      <c r="BV364" s="687"/>
      <c r="BW364" s="687"/>
      <c r="BX364" s="687"/>
      <c r="BY364" s="687"/>
      <c r="BZ364" s="687"/>
      <c r="CA364" s="687"/>
      <c r="CB364" s="687"/>
      <c r="CC364" s="687"/>
      <c r="CD364" s="687"/>
      <c r="CE364" s="687"/>
      <c r="CF364" s="687"/>
      <c r="CG364" s="687"/>
      <c r="CH364" s="687"/>
    </row>
    <row r="365" spans="1:86" ht="15.75" customHeight="1" outlineLevel="1" x14ac:dyDescent="0.35">
      <c r="A365" s="687"/>
      <c r="B365" s="687"/>
      <c r="C365" s="778" t="s">
        <v>247</v>
      </c>
      <c r="D365" s="779"/>
      <c r="E365" s="311"/>
      <c r="F365" s="682"/>
      <c r="G365" s="687"/>
      <c r="H365" s="687"/>
      <c r="I365" s="687"/>
      <c r="J365" s="687"/>
      <c r="K365" s="687"/>
      <c r="L365" s="687"/>
      <c r="M365" s="687"/>
      <c r="N365" s="687"/>
      <c r="O365" s="687"/>
      <c r="P365" s="687"/>
      <c r="Q365" s="687"/>
      <c r="R365" s="687"/>
      <c r="S365" s="687"/>
      <c r="T365" s="687"/>
      <c r="U365" s="687"/>
      <c r="V365" s="687"/>
      <c r="W365" s="687"/>
      <c r="X365" s="687"/>
      <c r="Y365" s="687"/>
      <c r="Z365" s="687"/>
      <c r="AA365" s="687"/>
      <c r="AB365" s="687"/>
      <c r="AC365" s="687"/>
      <c r="AD365" s="687"/>
      <c r="AE365" s="687"/>
      <c r="AF365" s="687"/>
      <c r="AG365" s="687"/>
      <c r="AH365" s="687"/>
      <c r="AI365" s="687"/>
      <c r="AJ365" s="687"/>
      <c r="AK365" s="687"/>
      <c r="AL365" s="687"/>
      <c r="AM365" s="687"/>
      <c r="AN365" s="687"/>
      <c r="AO365" s="687"/>
      <c r="AP365" s="687"/>
      <c r="AQ365" s="687"/>
      <c r="AR365" s="687"/>
      <c r="AS365" s="687"/>
      <c r="AT365" s="687"/>
      <c r="AU365" s="687"/>
      <c r="AV365" s="687"/>
      <c r="AW365" s="687"/>
      <c r="AX365" s="687"/>
      <c r="AY365" s="687"/>
      <c r="AZ365" s="687"/>
      <c r="BA365" s="687"/>
      <c r="BB365" s="687"/>
      <c r="BC365" s="687"/>
      <c r="BD365" s="687"/>
      <c r="BE365" s="687"/>
      <c r="BF365" s="687"/>
      <c r="BG365" s="687"/>
      <c r="BH365" s="687"/>
      <c r="BI365" s="687"/>
      <c r="BJ365" s="687"/>
      <c r="BK365" s="687"/>
      <c r="BL365" s="687"/>
      <c r="BM365" s="687"/>
      <c r="BN365" s="687"/>
      <c r="BO365" s="687"/>
      <c r="BP365" s="687"/>
      <c r="BQ365" s="687"/>
      <c r="BR365" s="687"/>
      <c r="BS365" s="687"/>
      <c r="BT365" s="687"/>
      <c r="BU365" s="687"/>
      <c r="BV365" s="687"/>
      <c r="BW365" s="687"/>
      <c r="BX365" s="687"/>
      <c r="BY365" s="687"/>
      <c r="BZ365" s="687"/>
      <c r="CA365" s="687"/>
      <c r="CB365" s="687"/>
      <c r="CC365" s="687"/>
      <c r="CD365" s="687"/>
      <c r="CE365" s="687"/>
      <c r="CF365" s="687"/>
      <c r="CG365" s="687"/>
      <c r="CH365" s="687"/>
    </row>
    <row r="366" spans="1:86" ht="21.4" customHeight="1" x14ac:dyDescent="0.35">
      <c r="A366" s="687"/>
      <c r="B366" s="687"/>
      <c r="C366" s="780"/>
      <c r="D366" s="682"/>
      <c r="E366" s="682"/>
      <c r="F366" s="687"/>
      <c r="G366" s="687"/>
      <c r="H366" s="687"/>
      <c r="I366" s="687"/>
      <c r="J366" s="687"/>
      <c r="K366" s="687"/>
      <c r="L366" s="687"/>
      <c r="M366" s="687"/>
      <c r="N366" s="687"/>
      <c r="O366" s="687"/>
      <c r="P366" s="687"/>
      <c r="Q366" s="687"/>
      <c r="R366" s="687"/>
      <c r="S366" s="687"/>
      <c r="T366" s="687"/>
      <c r="U366" s="687"/>
      <c r="V366" s="687"/>
      <c r="W366" s="687"/>
      <c r="X366" s="687"/>
      <c r="Y366" s="687"/>
      <c r="Z366" s="687"/>
      <c r="AA366" s="687"/>
      <c r="AB366" s="687"/>
      <c r="AC366" s="687"/>
      <c r="AD366" s="687"/>
      <c r="AE366" s="687"/>
      <c r="AF366" s="687"/>
      <c r="AG366" s="687"/>
      <c r="AH366" s="687"/>
      <c r="AI366" s="687"/>
      <c r="AJ366" s="687"/>
      <c r="AK366" s="687"/>
      <c r="AL366" s="687"/>
      <c r="AM366" s="687"/>
      <c r="AN366" s="687"/>
      <c r="AO366" s="687"/>
      <c r="AP366" s="687"/>
      <c r="AQ366" s="687"/>
      <c r="AR366" s="687"/>
      <c r="AS366" s="687"/>
      <c r="AT366" s="687"/>
      <c r="AU366" s="687"/>
      <c r="AV366" s="687"/>
      <c r="AW366" s="687"/>
      <c r="AX366" s="687"/>
      <c r="AY366" s="687"/>
      <c r="AZ366" s="687"/>
      <c r="BA366" s="687"/>
      <c r="BB366" s="687"/>
      <c r="BC366" s="687"/>
      <c r="BD366" s="687"/>
      <c r="BE366" s="687"/>
      <c r="BF366" s="687"/>
      <c r="BG366" s="687"/>
      <c r="BH366" s="687"/>
      <c r="BI366" s="687"/>
      <c r="BJ366" s="687"/>
      <c r="BK366" s="687"/>
      <c r="BL366" s="687"/>
      <c r="BM366" s="687"/>
      <c r="BN366" s="687"/>
      <c r="BO366" s="687"/>
      <c r="BP366" s="687"/>
      <c r="BQ366" s="687"/>
      <c r="BR366" s="687"/>
      <c r="BS366" s="687"/>
      <c r="BT366" s="687"/>
      <c r="BU366" s="687"/>
      <c r="BV366" s="687"/>
      <c r="BW366" s="690"/>
      <c r="BX366" s="690"/>
      <c r="BY366" s="690"/>
      <c r="BZ366" s="690"/>
      <c r="CA366" s="690"/>
      <c r="CB366" s="687"/>
      <c r="CC366" s="687"/>
      <c r="CD366" s="687"/>
      <c r="CE366" s="687"/>
      <c r="CF366" s="687"/>
      <c r="CG366" s="687"/>
      <c r="CH366" s="687"/>
    </row>
    <row r="367" spans="1:86" s="673" customFormat="1" ht="30" customHeight="1" x14ac:dyDescent="0.35">
      <c r="A367" s="668"/>
      <c r="B367" s="634" t="s">
        <v>1519</v>
      </c>
      <c r="C367" s="669"/>
      <c r="D367" s="670"/>
      <c r="E367" s="670"/>
      <c r="F367" s="670"/>
      <c r="G367" s="670"/>
      <c r="H367" s="670"/>
      <c r="I367" s="670"/>
      <c r="J367" s="670"/>
      <c r="K367" s="670"/>
      <c r="L367" s="670"/>
      <c r="M367" s="670"/>
      <c r="N367" s="670"/>
      <c r="O367" s="670"/>
      <c r="P367" s="670"/>
      <c r="Q367" s="670"/>
      <c r="R367" s="670"/>
      <c r="S367" s="670"/>
      <c r="T367" s="670"/>
      <c r="U367" s="670"/>
      <c r="V367" s="670"/>
      <c r="W367" s="670"/>
      <c r="X367" s="670"/>
      <c r="Y367" s="670"/>
      <c r="Z367" s="670"/>
      <c r="AA367" s="670"/>
      <c r="AB367" s="670"/>
      <c r="AC367" s="670"/>
      <c r="AD367" s="670"/>
      <c r="AE367" s="670"/>
      <c r="AF367" s="670"/>
      <c r="AG367" s="670"/>
      <c r="AH367" s="670"/>
      <c r="AI367" s="670"/>
      <c r="AJ367" s="670"/>
      <c r="AK367" s="670"/>
      <c r="AL367" s="670"/>
      <c r="AM367" s="670"/>
      <c r="AN367" s="670"/>
      <c r="AO367" s="670"/>
      <c r="AP367" s="670"/>
      <c r="AQ367" s="670"/>
      <c r="AR367" s="670"/>
      <c r="AS367" s="670"/>
      <c r="AT367" s="670"/>
      <c r="AU367" s="670"/>
      <c r="AV367" s="670"/>
      <c r="AW367" s="670"/>
      <c r="AX367" s="670"/>
      <c r="AY367" s="670"/>
      <c r="AZ367" s="670"/>
      <c r="BA367" s="670"/>
      <c r="BB367" s="670"/>
      <c r="BC367" s="670"/>
      <c r="BD367" s="670"/>
      <c r="BE367" s="670"/>
      <c r="BF367" s="670"/>
      <c r="BG367" s="670"/>
      <c r="BH367" s="670"/>
      <c r="BI367" s="670"/>
      <c r="BJ367" s="670"/>
      <c r="BK367" s="670"/>
      <c r="BL367" s="670"/>
      <c r="BM367" s="670"/>
      <c r="BN367" s="670"/>
      <c r="BO367" s="670"/>
      <c r="BP367" s="670"/>
      <c r="BQ367" s="670"/>
      <c r="BR367" s="670"/>
      <c r="BS367" s="670"/>
      <c r="BT367" s="670"/>
      <c r="BU367" s="670"/>
      <c r="BV367" s="670"/>
      <c r="BW367" s="670"/>
      <c r="BX367" s="671"/>
      <c r="BY367" s="671"/>
      <c r="BZ367" s="671"/>
      <c r="CA367" s="672"/>
    </row>
    <row r="368" spans="1:86" ht="21.4" customHeight="1" outlineLevel="1" x14ac:dyDescent="0.35">
      <c r="A368" s="176"/>
      <c r="B368" s="176"/>
      <c r="C368" s="713"/>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c r="AB368" s="176"/>
      <c r="AC368" s="176"/>
      <c r="AD368" s="176"/>
      <c r="AE368" s="176"/>
      <c r="AF368" s="176"/>
      <c r="AG368" s="176"/>
      <c r="AH368" s="176"/>
      <c r="AI368" s="176"/>
      <c r="AJ368" s="176"/>
      <c r="AK368" s="176"/>
      <c r="AL368" s="176"/>
      <c r="AM368" s="176"/>
      <c r="AN368" s="176"/>
      <c r="AO368" s="176"/>
      <c r="AP368" s="176"/>
      <c r="AQ368" s="176"/>
      <c r="AR368" s="176"/>
      <c r="AS368" s="176"/>
      <c r="AT368" s="176"/>
      <c r="AU368" s="176"/>
      <c r="AV368" s="176"/>
      <c r="AW368" s="176"/>
      <c r="AX368" s="176"/>
      <c r="AY368" s="176"/>
      <c r="AZ368" s="176"/>
      <c r="BA368" s="176"/>
      <c r="BB368" s="176"/>
      <c r="BC368" s="176"/>
      <c r="BD368" s="176"/>
      <c r="BE368" s="176"/>
      <c r="BF368" s="176"/>
      <c r="BG368" s="176"/>
      <c r="BH368" s="176"/>
      <c r="BI368" s="176"/>
      <c r="BJ368" s="176"/>
      <c r="BK368" s="176"/>
      <c r="BL368" s="176"/>
      <c r="BM368" s="176"/>
      <c r="BN368" s="176"/>
      <c r="BO368" s="176"/>
      <c r="BP368" s="176"/>
      <c r="BQ368" s="176"/>
      <c r="BR368" s="176"/>
      <c r="BS368" s="176"/>
      <c r="BT368" s="176"/>
      <c r="BU368" s="176"/>
      <c r="BV368" s="176"/>
      <c r="BW368" s="176"/>
      <c r="BX368" s="176"/>
      <c r="BY368" s="176"/>
      <c r="BZ368" s="176"/>
      <c r="CA368" s="176"/>
      <c r="CB368" s="176"/>
      <c r="CC368" s="176"/>
      <c r="CD368" s="176"/>
      <c r="CE368" s="176"/>
      <c r="CF368" s="176"/>
      <c r="CG368" s="176"/>
      <c r="CH368" s="176"/>
    </row>
    <row r="369" spans="2:8" s="176" customFormat="1" ht="21.4" customHeight="1" outlineLevel="1" x14ac:dyDescent="0.35">
      <c r="B369" s="365">
        <v>2023</v>
      </c>
      <c r="C369" s="365">
        <v>2025</v>
      </c>
      <c r="D369" s="365">
        <v>2030</v>
      </c>
    </row>
    <row r="370" spans="2:8" s="176" customFormat="1" ht="33.4" customHeight="1" outlineLevel="1" x14ac:dyDescent="0.35">
      <c r="B370" s="392" t="s">
        <v>517</v>
      </c>
      <c r="C370" s="392" t="s">
        <v>1613</v>
      </c>
      <c r="D370" s="392" t="s">
        <v>1612</v>
      </c>
    </row>
    <row r="371" spans="2:8" s="176" customFormat="1" ht="22.5" customHeight="1" outlineLevel="1" x14ac:dyDescent="0.35">
      <c r="B371" s="392" t="s">
        <v>1614</v>
      </c>
      <c r="C371" s="392" t="s">
        <v>1610</v>
      </c>
      <c r="D371" s="392" t="s">
        <v>1611</v>
      </c>
    </row>
    <row r="372" spans="2:8" s="176" customFormat="1" ht="21.4" customHeight="1" outlineLevel="1" x14ac:dyDescent="0.35"/>
    <row r="373" spans="2:8" s="176" customFormat="1" ht="46.5" outlineLevel="1" x14ac:dyDescent="0.35">
      <c r="B373" s="781" t="s">
        <v>262</v>
      </c>
      <c r="C373" s="781" t="s">
        <v>518</v>
      </c>
      <c r="D373" s="781" t="s">
        <v>1413</v>
      </c>
      <c r="E373" s="781" t="s">
        <v>519</v>
      </c>
      <c r="F373" s="781" t="s">
        <v>1414</v>
      </c>
      <c r="G373" s="781" t="s">
        <v>529</v>
      </c>
      <c r="H373" s="782"/>
    </row>
    <row r="374" spans="2:8" s="176" customFormat="1" outlineLevel="1" x14ac:dyDescent="0.35">
      <c r="B374" s="783">
        <v>2021</v>
      </c>
      <c r="C374" s="783">
        <v>0.153</v>
      </c>
      <c r="D374" s="784">
        <f>29693/49469</f>
        <v>0.60023449028684628</v>
      </c>
      <c r="E374" s="786">
        <f t="shared" ref="E374" si="10">C374/1000</f>
        <v>1.5300000000000001E-4</v>
      </c>
      <c r="F374" s="655">
        <f>C374</f>
        <v>0.153</v>
      </c>
      <c r="G374" s="1020">
        <f>D374</f>
        <v>0.60023449028684628</v>
      </c>
      <c r="H374" s="782"/>
    </row>
    <row r="375" spans="2:8" s="176" customFormat="1" ht="21.4" customHeight="1" outlineLevel="1" x14ac:dyDescent="0.35">
      <c r="B375" s="783">
        <v>2022</v>
      </c>
      <c r="C375" s="783">
        <v>0.158</v>
      </c>
      <c r="D375" s="1018">
        <f>25176/50363</f>
        <v>0.49989079284395288</v>
      </c>
      <c r="E375" s="786">
        <f>C375/1000</f>
        <v>1.5799999999999999E-4</v>
      </c>
      <c r="F375" s="785">
        <f>F374+(C375-C374)</f>
        <v>0.158</v>
      </c>
      <c r="G375" s="1020">
        <f>D375</f>
        <v>0.49989079284395288</v>
      </c>
      <c r="H375" s="782"/>
    </row>
    <row r="376" spans="2:8" s="176" customFormat="1" ht="16.899999999999999" customHeight="1" outlineLevel="1" x14ac:dyDescent="0.35">
      <c r="B376" s="783">
        <v>2023</v>
      </c>
      <c r="C376" s="783">
        <v>0.107</v>
      </c>
      <c r="D376" s="1018">
        <f>31180/50703</f>
        <v>0.61495375027118715</v>
      </c>
      <c r="E376" s="786">
        <f t="shared" ref="E376:E382" si="11">C376/1000</f>
        <v>1.07E-4</v>
      </c>
      <c r="F376" s="785">
        <f t="shared" ref="F376:F384" si="12">F375+(C376-C375)</f>
        <v>0.107</v>
      </c>
      <c r="G376" s="787">
        <f>F376*D376/C376</f>
        <v>0.61495375027118726</v>
      </c>
      <c r="H376" s="782"/>
    </row>
    <row r="377" spans="2:8" s="176" customFormat="1" ht="16.899999999999999" customHeight="1" outlineLevel="1" x14ac:dyDescent="0.35">
      <c r="B377" s="655">
        <v>2024</v>
      </c>
      <c r="C377" s="785">
        <f>(C376/(1-D376)*(1-D377))</f>
        <v>7.9274647393547698E-2</v>
      </c>
      <c r="D377" s="1018">
        <f>36709/51361</f>
        <v>0.71472518058449019</v>
      </c>
      <c r="E377" s="786">
        <f t="shared" si="11"/>
        <v>7.9274647393547693E-5</v>
      </c>
      <c r="F377" s="785">
        <f t="shared" si="12"/>
        <v>7.9274647393547698E-2</v>
      </c>
      <c r="G377" s="787">
        <f t="shared" ref="G377:G384" si="13">F377*D377/C377</f>
        <v>0.71472518058449019</v>
      </c>
    </row>
    <row r="378" spans="2:8" s="176" customFormat="1" ht="21.4" customHeight="1" outlineLevel="1" x14ac:dyDescent="0.35">
      <c r="B378" s="783">
        <v>2025</v>
      </c>
      <c r="C378" s="785">
        <f t="shared" ref="C378:C403" si="14">(C377/(1-D377)*(1-D378))</f>
        <v>3.8904417353890289E-2</v>
      </c>
      <c r="D378" s="1018">
        <v>0.86</v>
      </c>
      <c r="E378" s="786">
        <f t="shared" si="11"/>
        <v>3.890441735389029E-5</v>
      </c>
      <c r="F378" s="785">
        <f t="shared" si="12"/>
        <v>3.8904417353890289E-2</v>
      </c>
      <c r="G378" s="787">
        <f t="shared" si="13"/>
        <v>0.85999999999999988</v>
      </c>
    </row>
    <row r="379" spans="2:8" s="176" customFormat="1" ht="21.4" customHeight="1" outlineLevel="1" x14ac:dyDescent="0.35">
      <c r="B379" s="655">
        <v>2026</v>
      </c>
      <c r="C379" s="785">
        <f t="shared" si="14"/>
        <v>3.501397561850126E-2</v>
      </c>
      <c r="D379" s="1019">
        <f>D378+($D$383-D378)*((B379-B378)/($B$383-B378))</f>
        <v>0.874</v>
      </c>
      <c r="E379" s="786">
        <f t="shared" si="11"/>
        <v>3.5013975618501261E-5</v>
      </c>
      <c r="F379" s="785">
        <f t="shared" si="12"/>
        <v>3.501397561850126E-2</v>
      </c>
      <c r="G379" s="787">
        <f t="shared" si="13"/>
        <v>0.874</v>
      </c>
    </row>
    <row r="380" spans="2:8" s="176" customFormat="1" ht="30.4" customHeight="1" outlineLevel="1" x14ac:dyDescent="0.35">
      <c r="B380" s="655">
        <v>2027</v>
      </c>
      <c r="C380" s="785">
        <f t="shared" si="14"/>
        <v>3.1123533883112224E-2</v>
      </c>
      <c r="D380" s="1019">
        <f t="shared" ref="D380:D382" si="15">D379+($D$383-D379)*((B380-B379)/($B$383-B379))</f>
        <v>0.88800000000000001</v>
      </c>
      <c r="E380" s="786">
        <f t="shared" si="11"/>
        <v>3.1123533883112226E-5</v>
      </c>
      <c r="F380" s="785">
        <f t="shared" si="12"/>
        <v>3.1123533883112224E-2</v>
      </c>
      <c r="G380" s="787">
        <f t="shared" si="13"/>
        <v>0.88800000000000001</v>
      </c>
    </row>
    <row r="381" spans="2:8" s="176" customFormat="1" ht="30.4" customHeight="1" outlineLevel="1" x14ac:dyDescent="0.35">
      <c r="B381" s="655">
        <v>2028</v>
      </c>
      <c r="C381" s="785">
        <f t="shared" si="14"/>
        <v>2.7233092147723192E-2</v>
      </c>
      <c r="D381" s="1019">
        <f t="shared" si="15"/>
        <v>0.90200000000000002</v>
      </c>
      <c r="E381" s="786">
        <f t="shared" si="11"/>
        <v>2.7233092147723193E-5</v>
      </c>
      <c r="F381" s="785">
        <f t="shared" si="12"/>
        <v>2.7233092147723192E-2</v>
      </c>
      <c r="G381" s="787">
        <f t="shared" si="13"/>
        <v>0.90200000000000002</v>
      </c>
    </row>
    <row r="382" spans="2:8" s="176" customFormat="1" ht="30.4" customHeight="1" outlineLevel="1" x14ac:dyDescent="0.35">
      <c r="B382" s="655">
        <v>2029</v>
      </c>
      <c r="C382" s="785">
        <f t="shared" si="14"/>
        <v>2.3342650412334159E-2</v>
      </c>
      <c r="D382" s="1019">
        <f t="shared" si="15"/>
        <v>0.91600000000000004</v>
      </c>
      <c r="E382" s="786">
        <f t="shared" si="11"/>
        <v>2.3342650412334161E-5</v>
      </c>
      <c r="F382" s="785">
        <f t="shared" si="12"/>
        <v>2.3342650412334159E-2</v>
      </c>
      <c r="G382" s="787">
        <f t="shared" si="13"/>
        <v>0.91600000000000015</v>
      </c>
    </row>
    <row r="383" spans="2:8" s="176" customFormat="1" ht="30.4" customHeight="1" outlineLevel="1" x14ac:dyDescent="0.35">
      <c r="B383" s="783">
        <v>2030</v>
      </c>
      <c r="C383" s="785">
        <f t="shared" si="14"/>
        <v>1.9452208676945131E-2</v>
      </c>
      <c r="D383" s="1018">
        <v>0.93</v>
      </c>
      <c r="E383" s="786">
        <f>C383/1000</f>
        <v>1.9452208676945132E-5</v>
      </c>
      <c r="F383" s="785">
        <f t="shared" si="12"/>
        <v>1.9452208676945131E-2</v>
      </c>
      <c r="G383" s="787">
        <f t="shared" si="13"/>
        <v>0.93</v>
      </c>
    </row>
    <row r="384" spans="2:8" s="176" customFormat="1" ht="30.4" customHeight="1" outlineLevel="1" x14ac:dyDescent="0.35">
      <c r="B384" s="655">
        <v>2031</v>
      </c>
      <c r="C384" s="785">
        <f t="shared" si="14"/>
        <v>1.9452208676945131E-2</v>
      </c>
      <c r="D384" s="1019">
        <v>0.93</v>
      </c>
      <c r="E384" s="786">
        <f t="shared" ref="E384" si="16">C384/1000</f>
        <v>1.9452208676945132E-5</v>
      </c>
      <c r="F384" s="785">
        <f t="shared" si="12"/>
        <v>1.9452208676945131E-2</v>
      </c>
      <c r="G384" s="787">
        <f t="shared" si="13"/>
        <v>0.93</v>
      </c>
    </row>
    <row r="385" spans="2:7" s="176" customFormat="1" ht="30.4" customHeight="1" outlineLevel="1" x14ac:dyDescent="0.35">
      <c r="B385" s="655">
        <v>2032</v>
      </c>
      <c r="C385" s="785">
        <f t="shared" si="14"/>
        <v>1.9452208676945131E-2</v>
      </c>
      <c r="D385" s="1019">
        <v>0.93</v>
      </c>
      <c r="E385" s="786">
        <f t="shared" ref="E385:E388" si="17">C385/1000</f>
        <v>1.9452208676945132E-5</v>
      </c>
      <c r="F385" s="785">
        <f t="shared" ref="F385:F388" si="18">F384+(C385-C384)</f>
        <v>1.9452208676945131E-2</v>
      </c>
      <c r="G385" s="787">
        <f t="shared" ref="G385:G388" si="19">F385*D385/C385</f>
        <v>0.93</v>
      </c>
    </row>
    <row r="386" spans="2:7" s="176" customFormat="1" ht="30.4" customHeight="1" outlineLevel="1" x14ac:dyDescent="0.35">
      <c r="B386" s="655">
        <v>2033</v>
      </c>
      <c r="C386" s="785">
        <f t="shared" si="14"/>
        <v>1.9452208676945131E-2</v>
      </c>
      <c r="D386" s="1019">
        <v>0.93</v>
      </c>
      <c r="E386" s="786">
        <f t="shared" si="17"/>
        <v>1.9452208676945132E-5</v>
      </c>
      <c r="F386" s="785">
        <f t="shared" si="18"/>
        <v>1.9452208676945131E-2</v>
      </c>
      <c r="G386" s="787">
        <f t="shared" si="19"/>
        <v>0.93</v>
      </c>
    </row>
    <row r="387" spans="2:7" s="176" customFormat="1" ht="30.4" customHeight="1" outlineLevel="1" x14ac:dyDescent="0.35">
      <c r="B387" s="655">
        <v>2034</v>
      </c>
      <c r="C387" s="785">
        <f t="shared" si="14"/>
        <v>1.9452208676945131E-2</v>
      </c>
      <c r="D387" s="1019">
        <v>0.93</v>
      </c>
      <c r="E387" s="786">
        <f t="shared" si="17"/>
        <v>1.9452208676945132E-5</v>
      </c>
      <c r="F387" s="785">
        <f t="shared" si="18"/>
        <v>1.9452208676945131E-2</v>
      </c>
      <c r="G387" s="787">
        <f t="shared" si="19"/>
        <v>0.93</v>
      </c>
    </row>
    <row r="388" spans="2:7" s="176" customFormat="1" ht="30.4" customHeight="1" outlineLevel="1" x14ac:dyDescent="0.35">
      <c r="B388" s="655">
        <v>2035</v>
      </c>
      <c r="C388" s="785">
        <f t="shared" si="14"/>
        <v>1.9452208676945131E-2</v>
      </c>
      <c r="D388" s="1019">
        <v>0.93</v>
      </c>
      <c r="E388" s="786">
        <f t="shared" si="17"/>
        <v>1.9452208676945132E-5</v>
      </c>
      <c r="F388" s="785">
        <f t="shared" si="18"/>
        <v>1.9452208676945131E-2</v>
      </c>
      <c r="G388" s="787">
        <f t="shared" si="19"/>
        <v>0.93</v>
      </c>
    </row>
    <row r="389" spans="2:7" s="176" customFormat="1" ht="30.4" customHeight="1" outlineLevel="1" x14ac:dyDescent="0.35">
      <c r="B389" s="655">
        <v>2036</v>
      </c>
      <c r="C389" s="785">
        <f t="shared" si="14"/>
        <v>1.9452208676945131E-2</v>
      </c>
      <c r="D389" s="1019">
        <v>0.93</v>
      </c>
      <c r="E389" s="786">
        <f t="shared" ref="E389:E399" si="20">C389/1000</f>
        <v>1.9452208676945132E-5</v>
      </c>
      <c r="F389" s="785">
        <f t="shared" ref="F389:F399" si="21">F388+(C389-C388)</f>
        <v>1.9452208676945131E-2</v>
      </c>
      <c r="G389" s="787">
        <f t="shared" ref="G389:G399" si="22">F389*D389/C389</f>
        <v>0.93</v>
      </c>
    </row>
    <row r="390" spans="2:7" s="176" customFormat="1" ht="30.4" customHeight="1" outlineLevel="1" x14ac:dyDescent="0.35">
      <c r="B390" s="655">
        <v>2037</v>
      </c>
      <c r="C390" s="785">
        <f t="shared" si="14"/>
        <v>1.9452208676945131E-2</v>
      </c>
      <c r="D390" s="1019">
        <v>0.93</v>
      </c>
      <c r="E390" s="786">
        <f t="shared" si="20"/>
        <v>1.9452208676945132E-5</v>
      </c>
      <c r="F390" s="785">
        <f t="shared" si="21"/>
        <v>1.9452208676945131E-2</v>
      </c>
      <c r="G390" s="787">
        <f t="shared" si="22"/>
        <v>0.93</v>
      </c>
    </row>
    <row r="391" spans="2:7" s="176" customFormat="1" ht="30.4" customHeight="1" outlineLevel="1" x14ac:dyDescent="0.35">
      <c r="B391" s="655">
        <v>2038</v>
      </c>
      <c r="C391" s="785">
        <f t="shared" si="14"/>
        <v>1.9452208676945131E-2</v>
      </c>
      <c r="D391" s="1019">
        <v>0.93</v>
      </c>
      <c r="E391" s="786">
        <f t="shared" si="20"/>
        <v>1.9452208676945132E-5</v>
      </c>
      <c r="F391" s="785">
        <f t="shared" si="21"/>
        <v>1.9452208676945131E-2</v>
      </c>
      <c r="G391" s="787">
        <f t="shared" si="22"/>
        <v>0.93</v>
      </c>
    </row>
    <row r="392" spans="2:7" s="176" customFormat="1" ht="30.4" customHeight="1" outlineLevel="1" x14ac:dyDescent="0.35">
      <c r="B392" s="655">
        <v>2039</v>
      </c>
      <c r="C392" s="785">
        <f t="shared" si="14"/>
        <v>1.9452208676945131E-2</v>
      </c>
      <c r="D392" s="1019">
        <v>0.93</v>
      </c>
      <c r="E392" s="786">
        <f t="shared" si="20"/>
        <v>1.9452208676945132E-5</v>
      </c>
      <c r="F392" s="785">
        <f t="shared" si="21"/>
        <v>1.9452208676945131E-2</v>
      </c>
      <c r="G392" s="787">
        <f t="shared" si="22"/>
        <v>0.93</v>
      </c>
    </row>
    <row r="393" spans="2:7" s="176" customFormat="1" ht="30.4" customHeight="1" outlineLevel="1" x14ac:dyDescent="0.35">
      <c r="B393" s="655">
        <v>2040</v>
      </c>
      <c r="C393" s="785">
        <f t="shared" si="14"/>
        <v>1.9452208676945131E-2</v>
      </c>
      <c r="D393" s="1019">
        <v>0.93</v>
      </c>
      <c r="E393" s="786">
        <f t="shared" si="20"/>
        <v>1.9452208676945132E-5</v>
      </c>
      <c r="F393" s="785">
        <f t="shared" si="21"/>
        <v>1.9452208676945131E-2</v>
      </c>
      <c r="G393" s="787">
        <f t="shared" si="22"/>
        <v>0.93</v>
      </c>
    </row>
    <row r="394" spans="2:7" s="176" customFormat="1" ht="30.4" customHeight="1" outlineLevel="1" x14ac:dyDescent="0.35">
      <c r="B394" s="655">
        <v>2041</v>
      </c>
      <c r="C394" s="785">
        <f t="shared" si="14"/>
        <v>1.9452208676945131E-2</v>
      </c>
      <c r="D394" s="1019">
        <v>0.93</v>
      </c>
      <c r="E394" s="786">
        <f t="shared" si="20"/>
        <v>1.9452208676945132E-5</v>
      </c>
      <c r="F394" s="785">
        <f t="shared" si="21"/>
        <v>1.9452208676945131E-2</v>
      </c>
      <c r="G394" s="787">
        <f t="shared" si="22"/>
        <v>0.93</v>
      </c>
    </row>
    <row r="395" spans="2:7" s="176" customFormat="1" ht="30.4" customHeight="1" outlineLevel="1" x14ac:dyDescent="0.35">
      <c r="B395" s="655">
        <v>2042</v>
      </c>
      <c r="C395" s="785">
        <f t="shared" si="14"/>
        <v>1.9452208676945131E-2</v>
      </c>
      <c r="D395" s="1019">
        <v>0.93</v>
      </c>
      <c r="E395" s="786">
        <f t="shared" si="20"/>
        <v>1.9452208676945132E-5</v>
      </c>
      <c r="F395" s="785">
        <f t="shared" si="21"/>
        <v>1.9452208676945131E-2</v>
      </c>
      <c r="G395" s="787">
        <f t="shared" si="22"/>
        <v>0.93</v>
      </c>
    </row>
    <row r="396" spans="2:7" s="176" customFormat="1" ht="30.4" customHeight="1" outlineLevel="1" x14ac:dyDescent="0.35">
      <c r="B396" s="655">
        <v>2043</v>
      </c>
      <c r="C396" s="785">
        <f t="shared" si="14"/>
        <v>1.9452208676945131E-2</v>
      </c>
      <c r="D396" s="1019">
        <v>0.93</v>
      </c>
      <c r="E396" s="786">
        <f t="shared" si="20"/>
        <v>1.9452208676945132E-5</v>
      </c>
      <c r="F396" s="785">
        <f t="shared" si="21"/>
        <v>1.9452208676945131E-2</v>
      </c>
      <c r="G396" s="787">
        <f t="shared" si="22"/>
        <v>0.93</v>
      </c>
    </row>
    <row r="397" spans="2:7" s="176" customFormat="1" ht="30.4" customHeight="1" outlineLevel="1" x14ac:dyDescent="0.35">
      <c r="B397" s="655">
        <v>2044</v>
      </c>
      <c r="C397" s="785">
        <f t="shared" si="14"/>
        <v>1.9452208676945131E-2</v>
      </c>
      <c r="D397" s="1019">
        <v>0.93</v>
      </c>
      <c r="E397" s="786">
        <f t="shared" si="20"/>
        <v>1.9452208676945132E-5</v>
      </c>
      <c r="F397" s="785">
        <f t="shared" si="21"/>
        <v>1.9452208676945131E-2</v>
      </c>
      <c r="G397" s="787">
        <f t="shared" si="22"/>
        <v>0.93</v>
      </c>
    </row>
    <row r="398" spans="2:7" s="176" customFormat="1" ht="30.4" customHeight="1" outlineLevel="1" x14ac:dyDescent="0.35">
      <c r="B398" s="655">
        <v>2045</v>
      </c>
      <c r="C398" s="785">
        <f t="shared" si="14"/>
        <v>1.9452208676945131E-2</v>
      </c>
      <c r="D398" s="1019">
        <v>0.93</v>
      </c>
      <c r="E398" s="786">
        <f t="shared" si="20"/>
        <v>1.9452208676945132E-5</v>
      </c>
      <c r="F398" s="785">
        <f t="shared" si="21"/>
        <v>1.9452208676945131E-2</v>
      </c>
      <c r="G398" s="787">
        <f t="shared" si="22"/>
        <v>0.93</v>
      </c>
    </row>
    <row r="399" spans="2:7" s="176" customFormat="1" ht="30.4" customHeight="1" outlineLevel="1" x14ac:dyDescent="0.35">
      <c r="B399" s="655">
        <v>2046</v>
      </c>
      <c r="C399" s="785">
        <f t="shared" si="14"/>
        <v>1.9452208676945131E-2</v>
      </c>
      <c r="D399" s="1019">
        <v>0.93</v>
      </c>
      <c r="E399" s="786">
        <f t="shared" si="20"/>
        <v>1.9452208676945132E-5</v>
      </c>
      <c r="F399" s="785">
        <f t="shared" si="21"/>
        <v>1.9452208676945131E-2</v>
      </c>
      <c r="G399" s="787">
        <f t="shared" si="22"/>
        <v>0.93</v>
      </c>
    </row>
    <row r="400" spans="2:7" s="176" customFormat="1" ht="30.4" customHeight="1" outlineLevel="1" x14ac:dyDescent="0.35">
      <c r="B400" s="655">
        <v>2047</v>
      </c>
      <c r="C400" s="785">
        <f t="shared" si="14"/>
        <v>1.9452208676945131E-2</v>
      </c>
      <c r="D400" s="1019">
        <v>0.93</v>
      </c>
      <c r="E400" s="786">
        <f t="shared" ref="E400:E403" si="23">C400/1000</f>
        <v>1.9452208676945132E-5</v>
      </c>
      <c r="F400" s="785">
        <f t="shared" ref="F400:F403" si="24">F399+(C400-C399)</f>
        <v>1.9452208676945131E-2</v>
      </c>
      <c r="G400" s="787">
        <f t="shared" ref="G400:G403" si="25">F400*D400/C400</f>
        <v>0.93</v>
      </c>
    </row>
    <row r="401" spans="1:86" s="176" customFormat="1" ht="30.4" customHeight="1" outlineLevel="1" x14ac:dyDescent="0.35">
      <c r="B401" s="655">
        <v>2048</v>
      </c>
      <c r="C401" s="785">
        <f t="shared" si="14"/>
        <v>1.9452208676945131E-2</v>
      </c>
      <c r="D401" s="1019">
        <v>0.93</v>
      </c>
      <c r="E401" s="786">
        <f t="shared" si="23"/>
        <v>1.9452208676945132E-5</v>
      </c>
      <c r="F401" s="785">
        <f t="shared" si="24"/>
        <v>1.9452208676945131E-2</v>
      </c>
      <c r="G401" s="787">
        <f t="shared" si="25"/>
        <v>0.93</v>
      </c>
    </row>
    <row r="402" spans="1:86" s="176" customFormat="1" ht="30.4" customHeight="1" outlineLevel="1" x14ac:dyDescent="0.35">
      <c r="B402" s="655">
        <v>2049</v>
      </c>
      <c r="C402" s="785">
        <f t="shared" si="14"/>
        <v>1.9452208676945131E-2</v>
      </c>
      <c r="D402" s="1019">
        <v>0.93</v>
      </c>
      <c r="E402" s="786">
        <f t="shared" si="23"/>
        <v>1.9452208676945132E-5</v>
      </c>
      <c r="F402" s="785">
        <f t="shared" si="24"/>
        <v>1.9452208676945131E-2</v>
      </c>
      <c r="G402" s="787">
        <f t="shared" si="25"/>
        <v>0.93</v>
      </c>
    </row>
    <row r="403" spans="1:86" s="176" customFormat="1" ht="30.4" customHeight="1" outlineLevel="1" x14ac:dyDescent="0.35">
      <c r="B403" s="655">
        <v>2050</v>
      </c>
      <c r="C403" s="785">
        <f t="shared" si="14"/>
        <v>1.9452208676945131E-2</v>
      </c>
      <c r="D403" s="1019">
        <v>0.93</v>
      </c>
      <c r="E403" s="786">
        <f t="shared" si="23"/>
        <v>1.9452208676945132E-5</v>
      </c>
      <c r="F403" s="785">
        <f t="shared" si="24"/>
        <v>1.9452208676945131E-2</v>
      </c>
      <c r="G403" s="787">
        <f t="shared" si="25"/>
        <v>0.93</v>
      </c>
    </row>
    <row r="404" spans="1:86" s="176" customFormat="1" ht="30.4" customHeight="1" outlineLevel="1" x14ac:dyDescent="0.35">
      <c r="B404" s="655"/>
      <c r="C404" s="785"/>
      <c r="D404" s="788"/>
      <c r="E404" s="786"/>
      <c r="F404" s="785"/>
      <c r="G404" s="787"/>
    </row>
    <row r="405" spans="1:86" s="176" customFormat="1" ht="30.4" customHeight="1" outlineLevel="1" x14ac:dyDescent="0.35">
      <c r="B405" s="655"/>
      <c r="C405" s="785"/>
      <c r="D405" s="788"/>
      <c r="E405" s="786"/>
      <c r="F405" s="785"/>
      <c r="G405" s="787"/>
    </row>
    <row r="406" spans="1:86" s="176" customFormat="1" ht="30.4" customHeight="1" outlineLevel="1" x14ac:dyDescent="0.35">
      <c r="B406" s="663"/>
      <c r="C406" s="789"/>
      <c r="D406" s="790"/>
      <c r="E406" s="791"/>
      <c r="F406" s="792"/>
      <c r="G406" s="793"/>
    </row>
    <row r="407" spans="1:86" ht="21.4" customHeight="1" x14ac:dyDescent="0.35">
      <c r="A407" s="176"/>
      <c r="B407" s="176"/>
      <c r="C407" s="713"/>
      <c r="D407" s="176"/>
      <c r="E407" s="176"/>
      <c r="F407" s="176"/>
      <c r="G407" s="176"/>
      <c r="H407" s="176"/>
      <c r="I407" s="176"/>
      <c r="J407" s="176"/>
      <c r="K407" s="176"/>
      <c r="L407" s="176"/>
      <c r="M407" s="176"/>
      <c r="N407" s="176"/>
      <c r="O407" s="176"/>
      <c r="P407" s="176"/>
      <c r="Q407" s="176"/>
      <c r="R407" s="176"/>
      <c r="S407" s="176"/>
      <c r="T407" s="176"/>
      <c r="U407" s="176"/>
      <c r="V407" s="176"/>
      <c r="W407" s="176"/>
      <c r="X407" s="176"/>
      <c r="Y407" s="176"/>
      <c r="Z407" s="176"/>
      <c r="AA407" s="176"/>
      <c r="AB407" s="176"/>
      <c r="AC407" s="176"/>
      <c r="AD407" s="176"/>
      <c r="AE407" s="176"/>
      <c r="AF407" s="176"/>
      <c r="AG407" s="176"/>
      <c r="AH407" s="176"/>
      <c r="AI407" s="176"/>
      <c r="AJ407" s="176"/>
      <c r="AK407" s="176"/>
      <c r="AL407" s="176"/>
      <c r="AM407" s="176"/>
      <c r="AN407" s="176"/>
      <c r="AO407" s="176"/>
      <c r="AP407" s="176"/>
      <c r="AQ407" s="176"/>
      <c r="AR407" s="176"/>
      <c r="AS407" s="176"/>
      <c r="AT407" s="176"/>
      <c r="AU407" s="176"/>
      <c r="AV407" s="176"/>
      <c r="AW407" s="176"/>
      <c r="AX407" s="176"/>
      <c r="AY407" s="176"/>
      <c r="AZ407" s="176"/>
      <c r="BA407" s="176"/>
      <c r="BB407" s="176"/>
      <c r="BC407" s="176"/>
      <c r="BD407" s="176"/>
      <c r="BE407" s="176"/>
      <c r="BF407" s="176"/>
      <c r="BG407" s="176"/>
      <c r="BH407" s="176"/>
      <c r="BI407" s="176"/>
      <c r="BJ407" s="176"/>
      <c r="BK407" s="176"/>
      <c r="BL407" s="176"/>
      <c r="BM407" s="176"/>
      <c r="BN407" s="176"/>
      <c r="BO407" s="176"/>
      <c r="BP407" s="176"/>
      <c r="BQ407" s="176"/>
      <c r="BR407" s="176"/>
      <c r="BS407" s="176"/>
      <c r="BT407" s="176"/>
      <c r="BU407" s="176"/>
      <c r="BV407" s="176"/>
      <c r="BW407" s="176"/>
      <c r="BX407" s="176"/>
      <c r="BY407" s="176"/>
      <c r="BZ407" s="176"/>
      <c r="CA407" s="176"/>
      <c r="CB407" s="176"/>
      <c r="CC407" s="176"/>
      <c r="CD407" s="176"/>
      <c r="CE407" s="176"/>
      <c r="CF407" s="176"/>
      <c r="CG407" s="176"/>
      <c r="CH407" s="176"/>
    </row>
    <row r="408" spans="1:86" s="673" customFormat="1" ht="30" customHeight="1" x14ac:dyDescent="0.35">
      <c r="A408" s="668"/>
      <c r="B408" s="634" t="s">
        <v>1520</v>
      </c>
      <c r="C408" s="669"/>
      <c r="D408" s="670"/>
      <c r="E408" s="670"/>
      <c r="F408" s="670"/>
      <c r="G408" s="670"/>
      <c r="H408" s="670"/>
      <c r="I408" s="670"/>
      <c r="J408" s="670"/>
      <c r="K408" s="670"/>
      <c r="L408" s="670"/>
      <c r="M408" s="670"/>
      <c r="N408" s="670"/>
      <c r="O408" s="670"/>
      <c r="P408" s="670"/>
      <c r="Q408" s="670"/>
      <c r="R408" s="670"/>
      <c r="S408" s="670"/>
      <c r="T408" s="670"/>
      <c r="U408" s="670"/>
      <c r="V408" s="670"/>
      <c r="W408" s="670"/>
      <c r="X408" s="670"/>
      <c r="Y408" s="670"/>
      <c r="Z408" s="670"/>
      <c r="AA408" s="670"/>
      <c r="AB408" s="670"/>
      <c r="AC408" s="670"/>
      <c r="AD408" s="670"/>
      <c r="AE408" s="670"/>
      <c r="AF408" s="670"/>
      <c r="AG408" s="670"/>
      <c r="AH408" s="670"/>
      <c r="AI408" s="670"/>
      <c r="AJ408" s="670"/>
      <c r="AK408" s="670"/>
      <c r="AL408" s="670"/>
      <c r="AM408" s="670"/>
      <c r="AN408" s="670"/>
      <c r="AO408" s="670"/>
      <c r="AP408" s="670"/>
      <c r="AQ408" s="670"/>
      <c r="AR408" s="670"/>
      <c r="AS408" s="670"/>
      <c r="AT408" s="670"/>
      <c r="AU408" s="670"/>
      <c r="AV408" s="670"/>
      <c r="AW408" s="670"/>
      <c r="AX408" s="670"/>
      <c r="AY408" s="670"/>
      <c r="AZ408" s="670"/>
      <c r="BA408" s="670"/>
      <c r="BB408" s="670"/>
      <c r="BC408" s="670"/>
      <c r="BD408" s="670"/>
      <c r="BE408" s="670"/>
      <c r="BF408" s="670"/>
      <c r="BG408" s="670"/>
      <c r="BH408" s="670"/>
      <c r="BI408" s="670"/>
      <c r="BJ408" s="670"/>
      <c r="BK408" s="670"/>
      <c r="BL408" s="670"/>
      <c r="BM408" s="670"/>
      <c r="BN408" s="670"/>
      <c r="BO408" s="670"/>
      <c r="BP408" s="670"/>
      <c r="BQ408" s="670"/>
      <c r="BR408" s="670"/>
      <c r="BS408" s="670"/>
      <c r="BT408" s="670"/>
      <c r="BU408" s="670"/>
      <c r="BV408" s="670"/>
      <c r="BW408" s="670"/>
      <c r="BX408" s="671"/>
      <c r="BY408" s="671"/>
      <c r="BZ408" s="671"/>
      <c r="CA408" s="672"/>
    </row>
    <row r="409" spans="1:86" ht="21.4" customHeight="1" outlineLevel="1" x14ac:dyDescent="0.35">
      <c r="A409" s="176"/>
      <c r="B409" s="176"/>
      <c r="C409" s="713"/>
      <c r="D409" s="176"/>
      <c r="E409" s="176"/>
      <c r="F409" s="176"/>
      <c r="G409" s="176"/>
      <c r="H409" s="176"/>
      <c r="I409" s="176"/>
      <c r="J409" s="176"/>
      <c r="K409" s="176"/>
      <c r="L409" s="176"/>
      <c r="M409" s="176"/>
      <c r="N409" s="176"/>
      <c r="O409" s="176"/>
      <c r="P409" s="176"/>
      <c r="Q409" s="176"/>
      <c r="R409" s="176"/>
      <c r="S409" s="176"/>
      <c r="T409" s="176"/>
      <c r="U409" s="176"/>
      <c r="V409" s="176"/>
      <c r="W409" s="176"/>
      <c r="X409" s="176"/>
      <c r="Y409" s="176"/>
      <c r="Z409" s="176"/>
      <c r="AA409" s="176"/>
      <c r="AB409" s="176"/>
      <c r="AC409" s="176"/>
      <c r="AD409" s="176"/>
      <c r="AE409" s="176"/>
      <c r="AF409" s="176"/>
      <c r="AG409" s="176"/>
      <c r="AH409" s="176"/>
      <c r="AI409" s="176"/>
      <c r="AJ409" s="176"/>
      <c r="AK409" s="176"/>
      <c r="AL409" s="176"/>
      <c r="AM409" s="176"/>
      <c r="AN409" s="176"/>
      <c r="AO409" s="176"/>
      <c r="AP409" s="176"/>
      <c r="AQ409" s="176"/>
      <c r="AR409" s="176"/>
      <c r="AS409" s="176"/>
      <c r="AT409" s="176"/>
      <c r="AU409" s="176"/>
      <c r="AV409" s="176"/>
      <c r="AW409" s="176"/>
      <c r="AX409" s="176"/>
      <c r="AY409" s="176"/>
      <c r="AZ409" s="176"/>
      <c r="BA409" s="176"/>
      <c r="BB409" s="176"/>
      <c r="BC409" s="176"/>
      <c r="BD409" s="176"/>
      <c r="BE409" s="176"/>
      <c r="BF409" s="176"/>
      <c r="BG409" s="176"/>
      <c r="BH409" s="176"/>
      <c r="BI409" s="176"/>
      <c r="BJ409" s="176"/>
      <c r="BK409" s="176"/>
      <c r="BL409" s="176"/>
      <c r="BM409" s="176"/>
      <c r="BN409" s="176"/>
      <c r="BO409" s="176"/>
      <c r="BP409" s="176"/>
      <c r="BQ409" s="176"/>
      <c r="BR409" s="176"/>
      <c r="BS409" s="176"/>
      <c r="BT409" s="176"/>
      <c r="BU409" s="176"/>
      <c r="BV409" s="176"/>
      <c r="BW409" s="176"/>
      <c r="BX409" s="176"/>
      <c r="BY409" s="176"/>
      <c r="BZ409" s="176"/>
      <c r="CA409" s="176"/>
      <c r="CB409" s="176"/>
      <c r="CC409" s="176"/>
      <c r="CD409" s="176"/>
      <c r="CE409" s="176"/>
      <c r="CF409" s="176"/>
      <c r="CG409" s="176"/>
      <c r="CH409" s="176"/>
    </row>
    <row r="410" spans="1:86" ht="21.4" customHeight="1" outlineLevel="1" x14ac:dyDescent="0.35">
      <c r="A410" s="176"/>
      <c r="B410" s="777" t="s">
        <v>1562</v>
      </c>
      <c r="C410" s="713"/>
      <c r="D410" s="176"/>
      <c r="E410" s="176"/>
      <c r="F410" s="176"/>
      <c r="G410" s="176"/>
      <c r="H410" s="176"/>
      <c r="I410" s="176"/>
      <c r="J410" s="176"/>
      <c r="K410" s="176"/>
      <c r="L410" s="176"/>
      <c r="M410" s="176"/>
      <c r="N410" s="176"/>
      <c r="O410" s="176"/>
      <c r="P410" s="176"/>
      <c r="Q410" s="176"/>
      <c r="R410" s="176"/>
      <c r="S410" s="176"/>
      <c r="T410" s="176"/>
      <c r="U410" s="176"/>
      <c r="V410" s="176"/>
      <c r="W410" s="176"/>
      <c r="X410" s="176"/>
      <c r="Y410" s="176"/>
      <c r="Z410" s="176"/>
      <c r="AA410" s="176"/>
      <c r="AB410" s="176"/>
      <c r="AC410" s="176"/>
      <c r="AD410" s="176"/>
      <c r="AE410" s="176"/>
      <c r="AF410" s="176"/>
      <c r="AG410" s="176"/>
      <c r="AH410" s="176"/>
      <c r="AI410" s="176"/>
      <c r="AJ410" s="176"/>
      <c r="AK410" s="176"/>
      <c r="AL410" s="176"/>
      <c r="AM410" s="176"/>
      <c r="AN410" s="176"/>
      <c r="AO410" s="176"/>
      <c r="AP410" s="176"/>
      <c r="AQ410" s="176"/>
      <c r="AR410" s="176"/>
      <c r="AS410" s="176"/>
      <c r="AT410" s="176"/>
      <c r="AU410" s="176"/>
      <c r="AV410" s="176"/>
      <c r="AW410" s="176"/>
      <c r="AX410" s="176"/>
      <c r="AY410" s="176"/>
      <c r="AZ410" s="176"/>
      <c r="BA410" s="176"/>
      <c r="BB410" s="176"/>
      <c r="BC410" s="176"/>
      <c r="BD410" s="176"/>
      <c r="BE410" s="176"/>
      <c r="BF410" s="176"/>
      <c r="BG410" s="176"/>
      <c r="BH410" s="176"/>
      <c r="BI410" s="176"/>
      <c r="BJ410" s="176"/>
      <c r="BK410" s="176"/>
      <c r="BL410" s="176"/>
      <c r="BM410" s="176"/>
      <c r="BN410" s="176"/>
      <c r="BO410" s="176"/>
      <c r="BP410" s="176"/>
      <c r="BQ410" s="176"/>
      <c r="BR410" s="176"/>
      <c r="BS410" s="176"/>
      <c r="BT410" s="176"/>
      <c r="BU410" s="176"/>
      <c r="BV410" s="176"/>
      <c r="BW410" s="176"/>
      <c r="BX410" s="176"/>
      <c r="BY410" s="176"/>
      <c r="BZ410" s="176"/>
      <c r="CA410" s="176"/>
      <c r="CB410" s="176"/>
      <c r="CC410" s="176"/>
      <c r="CD410" s="176"/>
      <c r="CE410" s="176"/>
      <c r="CF410" s="176"/>
      <c r="CG410" s="176"/>
      <c r="CH410" s="176"/>
    </row>
    <row r="411" spans="1:86" s="314" customFormat="1" ht="21.4" customHeight="1" outlineLevel="1" x14ac:dyDescent="0.35">
      <c r="A411" s="663"/>
      <c r="B411" s="371" t="s">
        <v>502</v>
      </c>
      <c r="C411" s="371" t="s">
        <v>1561</v>
      </c>
      <c r="D411" s="663"/>
      <c r="E411" s="663"/>
      <c r="F411" s="663"/>
      <c r="G411" s="663"/>
      <c r="H411" s="663"/>
      <c r="I411" s="663"/>
      <c r="J411" s="663"/>
      <c r="K411" s="663"/>
      <c r="L411" s="663"/>
      <c r="M411" s="663"/>
      <c r="N411" s="663"/>
      <c r="O411" s="663"/>
      <c r="P411" s="663"/>
      <c r="Q411" s="663"/>
      <c r="R411" s="663"/>
      <c r="S411" s="663"/>
      <c r="T411" s="663"/>
      <c r="U411" s="663"/>
      <c r="V411" s="663"/>
      <c r="W411" s="663"/>
      <c r="X411" s="663"/>
      <c r="Y411" s="663"/>
      <c r="Z411" s="663"/>
      <c r="AA411" s="663"/>
      <c r="AB411" s="663"/>
      <c r="AC411" s="663"/>
      <c r="AD411" s="663"/>
      <c r="AE411" s="663"/>
      <c r="AF411" s="663"/>
      <c r="AG411" s="663"/>
      <c r="AH411" s="663"/>
      <c r="AI411" s="663"/>
      <c r="AJ411" s="663"/>
      <c r="AK411" s="663"/>
      <c r="AL411" s="663"/>
      <c r="AM411" s="663"/>
      <c r="AN411" s="663"/>
      <c r="AO411" s="663"/>
      <c r="AP411" s="663"/>
      <c r="AQ411" s="663"/>
      <c r="AR411" s="663"/>
      <c r="AS411" s="663"/>
      <c r="AT411" s="663"/>
      <c r="AU411" s="663"/>
      <c r="AV411" s="663"/>
      <c r="AW411" s="663"/>
      <c r="AX411" s="663"/>
      <c r="AY411" s="663"/>
      <c r="AZ411" s="663"/>
      <c r="BA411" s="663"/>
      <c r="BB411" s="663"/>
      <c r="BC411" s="663"/>
      <c r="BD411" s="663"/>
      <c r="BE411" s="663"/>
      <c r="BF411" s="663"/>
      <c r="BG411" s="663"/>
      <c r="BH411" s="663"/>
      <c r="BI411" s="663"/>
      <c r="BJ411" s="663"/>
      <c r="BK411" s="663"/>
      <c r="BL411" s="663"/>
      <c r="BM411" s="663"/>
      <c r="BN411" s="663"/>
      <c r="BO411" s="663"/>
      <c r="BP411" s="663"/>
      <c r="BQ411" s="663"/>
      <c r="BR411" s="663"/>
      <c r="BS411" s="663"/>
      <c r="BT411" s="663"/>
      <c r="BU411" s="663"/>
      <c r="BV411" s="663"/>
      <c r="BW411" s="663"/>
      <c r="BX411" s="663"/>
      <c r="BY411" s="663"/>
      <c r="BZ411" s="663"/>
      <c r="CA411" s="663"/>
      <c r="CB411" s="663"/>
      <c r="CC411" s="663"/>
      <c r="CD411" s="663"/>
      <c r="CE411" s="663"/>
      <c r="CF411" s="663"/>
      <c r="CG411" s="663"/>
      <c r="CH411" s="663"/>
    </row>
    <row r="412" spans="1:86" s="314" customFormat="1" ht="21.4" customHeight="1" outlineLevel="1" x14ac:dyDescent="0.35">
      <c r="A412" s="663"/>
      <c r="B412" s="392" t="s">
        <v>503</v>
      </c>
      <c r="C412" s="366">
        <v>119</v>
      </c>
      <c r="D412" s="663"/>
      <c r="E412" s="663"/>
      <c r="F412" s="663"/>
      <c r="G412" s="663"/>
      <c r="H412" s="663"/>
      <c r="I412" s="663"/>
      <c r="J412" s="663"/>
      <c r="K412" s="663"/>
      <c r="L412" s="663"/>
      <c r="M412" s="663"/>
      <c r="N412" s="663"/>
      <c r="O412" s="663"/>
      <c r="P412" s="663"/>
      <c r="Q412" s="663"/>
      <c r="R412" s="663"/>
      <c r="S412" s="663"/>
      <c r="T412" s="663"/>
      <c r="U412" s="663"/>
      <c r="V412" s="663"/>
      <c r="W412" s="663"/>
      <c r="X412" s="663"/>
      <c r="Y412" s="663"/>
      <c r="Z412" s="663"/>
      <c r="AA412" s="663"/>
      <c r="AB412" s="663"/>
      <c r="AC412" s="663"/>
      <c r="AD412" s="663"/>
      <c r="AE412" s="663"/>
      <c r="AF412" s="663"/>
      <c r="AG412" s="663"/>
      <c r="AH412" s="663"/>
      <c r="AI412" s="663"/>
      <c r="AJ412" s="663"/>
      <c r="AK412" s="663"/>
      <c r="AL412" s="663"/>
      <c r="AM412" s="663"/>
      <c r="AN412" s="663"/>
      <c r="AO412" s="663"/>
      <c r="AP412" s="663"/>
      <c r="AQ412" s="663"/>
      <c r="AR412" s="663"/>
      <c r="AS412" s="663"/>
      <c r="AT412" s="663"/>
      <c r="AU412" s="663"/>
      <c r="AV412" s="663"/>
      <c r="AW412" s="663"/>
      <c r="AX412" s="663"/>
      <c r="AY412" s="663"/>
      <c r="AZ412" s="663"/>
      <c r="BA412" s="663"/>
      <c r="BB412" s="663"/>
      <c r="BC412" s="663"/>
      <c r="BD412" s="663"/>
      <c r="BE412" s="663"/>
      <c r="BF412" s="663"/>
      <c r="BG412" s="663"/>
      <c r="BH412" s="663"/>
      <c r="BI412" s="663"/>
      <c r="BJ412" s="663"/>
      <c r="BK412" s="663"/>
      <c r="BL412" s="663"/>
      <c r="BM412" s="663"/>
      <c r="BN412" s="663"/>
      <c r="BO412" s="663"/>
      <c r="BP412" s="663"/>
      <c r="BQ412" s="663"/>
      <c r="BR412" s="663"/>
      <c r="BS412" s="663"/>
      <c r="BT412" s="663"/>
      <c r="BU412" s="663"/>
      <c r="BV412" s="663"/>
      <c r="BW412" s="663"/>
      <c r="BX412" s="663"/>
      <c r="BY412" s="663"/>
      <c r="BZ412" s="663"/>
      <c r="CA412" s="663"/>
      <c r="CB412" s="663"/>
      <c r="CC412" s="663"/>
      <c r="CD412" s="663"/>
      <c r="CE412" s="663"/>
      <c r="CF412" s="663"/>
      <c r="CG412" s="663"/>
      <c r="CH412" s="663"/>
    </row>
    <row r="413" spans="1:86" s="314" customFormat="1" ht="21.4" customHeight="1" outlineLevel="1" x14ac:dyDescent="0.35">
      <c r="A413" s="663"/>
      <c r="B413" s="392" t="s">
        <v>1563</v>
      </c>
      <c r="C413" s="366">
        <v>72</v>
      </c>
      <c r="D413" s="663"/>
      <c r="E413" s="663"/>
      <c r="F413" s="663"/>
      <c r="G413" s="663"/>
      <c r="H413" s="663"/>
      <c r="I413" s="663"/>
      <c r="J413" s="663"/>
      <c r="K413" s="663"/>
      <c r="L413" s="663"/>
      <c r="M413" s="663"/>
      <c r="N413" s="663"/>
      <c r="O413" s="663"/>
      <c r="P413" s="663"/>
      <c r="Q413" s="663"/>
      <c r="R413" s="663"/>
      <c r="S413" s="663"/>
      <c r="T413" s="663"/>
      <c r="U413" s="663"/>
      <c r="V413" s="663"/>
      <c r="W413" s="663"/>
      <c r="X413" s="663"/>
      <c r="Y413" s="663"/>
      <c r="Z413" s="663"/>
      <c r="AA413" s="663"/>
      <c r="AB413" s="663"/>
      <c r="AC413" s="663"/>
      <c r="AD413" s="663"/>
      <c r="AE413" s="663"/>
      <c r="AF413" s="663"/>
      <c r="AG413" s="663"/>
      <c r="AH413" s="663"/>
      <c r="AI413" s="663"/>
      <c r="AJ413" s="663"/>
      <c r="AK413" s="663"/>
      <c r="AL413" s="663"/>
      <c r="AM413" s="663"/>
      <c r="AN413" s="663"/>
      <c r="AO413" s="663"/>
      <c r="AP413" s="663"/>
      <c r="AQ413" s="663"/>
      <c r="AR413" s="663"/>
      <c r="AS413" s="663"/>
      <c r="AT413" s="663"/>
      <c r="AU413" s="663"/>
      <c r="AV413" s="663"/>
      <c r="AW413" s="663"/>
      <c r="AX413" s="663"/>
      <c r="AY413" s="663"/>
      <c r="AZ413" s="663"/>
      <c r="BA413" s="663"/>
      <c r="BB413" s="663"/>
      <c r="BC413" s="663"/>
      <c r="BD413" s="663"/>
      <c r="BE413" s="663"/>
      <c r="BF413" s="663"/>
      <c r="BG413" s="663"/>
      <c r="BH413" s="663"/>
      <c r="BI413" s="663"/>
      <c r="BJ413" s="663"/>
      <c r="BK413" s="663"/>
      <c r="BL413" s="663"/>
      <c r="BM413" s="663"/>
      <c r="BN413" s="663"/>
      <c r="BO413" s="663"/>
      <c r="BP413" s="663"/>
      <c r="BQ413" s="663"/>
      <c r="BR413" s="663"/>
      <c r="BS413" s="663"/>
      <c r="BT413" s="663"/>
      <c r="BU413" s="663"/>
      <c r="BV413" s="663"/>
      <c r="BW413" s="663"/>
      <c r="BX413" s="663"/>
      <c r="BY413" s="663"/>
      <c r="BZ413" s="663"/>
      <c r="CA413" s="663"/>
      <c r="CB413" s="663"/>
      <c r="CC413" s="663"/>
      <c r="CD413" s="663"/>
      <c r="CE413" s="663"/>
      <c r="CF413" s="663"/>
      <c r="CG413" s="663"/>
      <c r="CH413" s="663"/>
    </row>
    <row r="414" spans="1:86" s="314" customFormat="1" ht="21.4" customHeight="1" outlineLevel="1" x14ac:dyDescent="0.35">
      <c r="A414" s="663"/>
      <c r="B414" s="392" t="s">
        <v>504</v>
      </c>
      <c r="C414" s="366">
        <v>79</v>
      </c>
      <c r="D414" s="663"/>
      <c r="E414" s="663"/>
      <c r="F414" s="663"/>
      <c r="G414" s="663"/>
      <c r="H414" s="663"/>
      <c r="I414" s="663"/>
      <c r="J414" s="663"/>
      <c r="K414" s="663"/>
      <c r="L414" s="663"/>
      <c r="M414" s="663"/>
      <c r="N414" s="663"/>
      <c r="O414" s="663"/>
      <c r="P414" s="663"/>
      <c r="Q414" s="663"/>
      <c r="R414" s="663"/>
      <c r="S414" s="663"/>
      <c r="T414" s="663"/>
      <c r="U414" s="663"/>
      <c r="V414" s="663"/>
      <c r="W414" s="663"/>
      <c r="X414" s="663"/>
      <c r="Y414" s="663"/>
      <c r="Z414" s="663"/>
      <c r="AA414" s="663"/>
      <c r="AB414" s="663"/>
      <c r="AC414" s="663"/>
      <c r="AD414" s="663"/>
      <c r="AE414" s="663"/>
      <c r="AF414" s="663"/>
      <c r="AG414" s="663"/>
      <c r="AH414" s="663"/>
      <c r="AI414" s="663"/>
      <c r="AJ414" s="663"/>
      <c r="AK414" s="663"/>
      <c r="AL414" s="663"/>
      <c r="AM414" s="663"/>
      <c r="AN414" s="663"/>
      <c r="AO414" s="663"/>
      <c r="AP414" s="663"/>
      <c r="AQ414" s="663"/>
      <c r="AR414" s="663"/>
      <c r="AS414" s="663"/>
      <c r="AT414" s="663"/>
      <c r="AU414" s="663"/>
      <c r="AV414" s="663"/>
      <c r="AW414" s="663"/>
      <c r="AX414" s="663"/>
      <c r="AY414" s="663"/>
      <c r="AZ414" s="663"/>
      <c r="BA414" s="663"/>
      <c r="BB414" s="663"/>
      <c r="BC414" s="663"/>
      <c r="BD414" s="663"/>
      <c r="BE414" s="663"/>
      <c r="BF414" s="663"/>
      <c r="BG414" s="663"/>
      <c r="BH414" s="663"/>
      <c r="BI414" s="663"/>
      <c r="BJ414" s="663"/>
      <c r="BK414" s="663"/>
      <c r="BL414" s="663"/>
      <c r="BM414" s="663"/>
      <c r="BN414" s="663"/>
      <c r="BO414" s="663"/>
      <c r="BP414" s="663"/>
      <c r="BQ414" s="663"/>
      <c r="BR414" s="663"/>
      <c r="BS414" s="663"/>
      <c r="BT414" s="663"/>
      <c r="BU414" s="663"/>
      <c r="BV414" s="663"/>
      <c r="BW414" s="663"/>
      <c r="BX414" s="663"/>
      <c r="BY414" s="663"/>
      <c r="BZ414" s="663"/>
      <c r="CA414" s="663"/>
      <c r="CB414" s="663"/>
      <c r="CC414" s="663"/>
      <c r="CD414" s="663"/>
      <c r="CE414" s="663"/>
      <c r="CF414" s="663"/>
      <c r="CG414" s="663"/>
      <c r="CH414" s="663"/>
    </row>
    <row r="415" spans="1:86" s="314" customFormat="1" ht="21.4" customHeight="1" outlineLevel="1" x14ac:dyDescent="0.35">
      <c r="A415" s="663"/>
      <c r="B415" s="392" t="s">
        <v>505</v>
      </c>
      <c r="C415" s="366">
        <v>47</v>
      </c>
      <c r="D415" s="663"/>
      <c r="E415" s="663"/>
      <c r="F415" s="663"/>
      <c r="G415" s="663"/>
      <c r="H415" s="663"/>
      <c r="I415" s="663"/>
      <c r="J415" s="663"/>
      <c r="K415" s="663"/>
      <c r="L415" s="663"/>
      <c r="M415" s="663"/>
      <c r="N415" s="663"/>
      <c r="O415" s="663"/>
      <c r="P415" s="663"/>
      <c r="Q415" s="663"/>
      <c r="R415" s="663"/>
      <c r="S415" s="663"/>
      <c r="T415" s="663"/>
      <c r="U415" s="663"/>
      <c r="V415" s="663"/>
      <c r="W415" s="663"/>
      <c r="X415" s="663"/>
      <c r="Y415" s="663"/>
      <c r="Z415" s="663"/>
      <c r="AA415" s="663"/>
      <c r="AB415" s="663"/>
      <c r="AC415" s="663"/>
      <c r="AD415" s="663"/>
      <c r="AE415" s="663"/>
      <c r="AF415" s="663"/>
      <c r="AG415" s="663"/>
      <c r="AH415" s="663"/>
      <c r="AI415" s="663"/>
      <c r="AJ415" s="663"/>
      <c r="AK415" s="663"/>
      <c r="AL415" s="663"/>
      <c r="AM415" s="663"/>
      <c r="AN415" s="663"/>
      <c r="AO415" s="663"/>
      <c r="AP415" s="663"/>
      <c r="AQ415" s="663"/>
      <c r="AR415" s="663"/>
      <c r="AS415" s="663"/>
      <c r="AT415" s="663"/>
      <c r="AU415" s="663"/>
      <c r="AV415" s="663"/>
      <c r="AW415" s="663"/>
      <c r="AX415" s="663"/>
      <c r="AY415" s="663"/>
      <c r="AZ415" s="663"/>
      <c r="BA415" s="663"/>
      <c r="BB415" s="663"/>
      <c r="BC415" s="663"/>
      <c r="BD415" s="663"/>
      <c r="BE415" s="663"/>
      <c r="BF415" s="663"/>
      <c r="BG415" s="663"/>
      <c r="BH415" s="663"/>
      <c r="BI415" s="663"/>
      <c r="BJ415" s="663"/>
      <c r="BK415" s="663"/>
      <c r="BL415" s="663"/>
      <c r="BM415" s="663"/>
      <c r="BN415" s="663"/>
      <c r="BO415" s="663"/>
      <c r="BP415" s="663"/>
      <c r="BQ415" s="663"/>
      <c r="BR415" s="663"/>
      <c r="BS415" s="663"/>
      <c r="BT415" s="663"/>
      <c r="BU415" s="663"/>
      <c r="BV415" s="663"/>
      <c r="BW415" s="663"/>
      <c r="BX415" s="663"/>
      <c r="BY415" s="663"/>
      <c r="BZ415" s="663"/>
      <c r="CA415" s="663"/>
      <c r="CB415" s="663"/>
      <c r="CC415" s="663"/>
      <c r="CD415" s="663"/>
      <c r="CE415" s="663"/>
      <c r="CF415" s="663"/>
      <c r="CG415" s="663"/>
      <c r="CH415" s="663"/>
    </row>
    <row r="416" spans="1:86" s="314" customFormat="1" ht="21.4" customHeight="1" outlineLevel="1" x14ac:dyDescent="0.35">
      <c r="A416" s="663"/>
      <c r="B416" s="392" t="s">
        <v>506</v>
      </c>
      <c r="C416" s="366">
        <v>112</v>
      </c>
      <c r="D416" s="663"/>
      <c r="E416" s="663"/>
      <c r="F416" s="663"/>
      <c r="G416" s="663"/>
      <c r="H416" s="663"/>
      <c r="I416" s="663"/>
      <c r="J416" s="663"/>
      <c r="K416" s="663"/>
      <c r="L416" s="663"/>
      <c r="M416" s="663"/>
      <c r="N416" s="663"/>
      <c r="O416" s="663"/>
      <c r="P416" s="663"/>
      <c r="Q416" s="663"/>
      <c r="R416" s="663"/>
      <c r="S416" s="663"/>
      <c r="T416" s="663"/>
      <c r="U416" s="663"/>
      <c r="V416" s="663"/>
      <c r="W416" s="663"/>
      <c r="X416" s="663"/>
      <c r="Y416" s="663"/>
      <c r="Z416" s="663"/>
      <c r="AA416" s="663"/>
      <c r="AB416" s="663"/>
      <c r="AC416" s="663"/>
      <c r="AD416" s="663"/>
      <c r="AE416" s="663"/>
      <c r="AF416" s="663"/>
      <c r="AG416" s="663"/>
      <c r="AH416" s="663"/>
      <c r="AI416" s="663"/>
      <c r="AJ416" s="663"/>
      <c r="AK416" s="663"/>
      <c r="AL416" s="663"/>
      <c r="AM416" s="663"/>
      <c r="AN416" s="663"/>
      <c r="AO416" s="663"/>
      <c r="AP416" s="663"/>
      <c r="AQ416" s="663"/>
      <c r="AR416" s="663"/>
      <c r="AS416" s="663"/>
      <c r="AT416" s="663"/>
      <c r="AU416" s="663"/>
      <c r="AV416" s="663"/>
      <c r="AW416" s="663"/>
      <c r="AX416" s="663"/>
      <c r="AY416" s="663"/>
      <c r="AZ416" s="663"/>
      <c r="BA416" s="663"/>
      <c r="BB416" s="663"/>
      <c r="BC416" s="663"/>
      <c r="BD416" s="663"/>
      <c r="BE416" s="663"/>
      <c r="BF416" s="663"/>
      <c r="BG416" s="663"/>
      <c r="BH416" s="663"/>
      <c r="BI416" s="663"/>
      <c r="BJ416" s="663"/>
      <c r="BK416" s="663"/>
      <c r="BL416" s="663"/>
      <c r="BM416" s="663"/>
      <c r="BN416" s="663"/>
      <c r="BO416" s="663"/>
      <c r="BP416" s="663"/>
      <c r="BQ416" s="663"/>
      <c r="BR416" s="663"/>
      <c r="BS416" s="663"/>
      <c r="BT416" s="663"/>
      <c r="BU416" s="663"/>
      <c r="BV416" s="663"/>
      <c r="BW416" s="663"/>
      <c r="BX416" s="663"/>
      <c r="BY416" s="663"/>
      <c r="BZ416" s="663"/>
      <c r="CA416" s="663"/>
      <c r="CB416" s="663"/>
      <c r="CC416" s="663"/>
      <c r="CD416" s="663"/>
      <c r="CE416" s="663"/>
      <c r="CF416" s="663"/>
      <c r="CG416" s="663"/>
      <c r="CH416" s="663"/>
    </row>
    <row r="417" spans="1:86" s="314" customFormat="1" ht="21.4" customHeight="1" outlineLevel="1" x14ac:dyDescent="0.35">
      <c r="A417" s="663"/>
      <c r="B417" s="392" t="s">
        <v>507</v>
      </c>
      <c r="C417" s="366">
        <v>73</v>
      </c>
      <c r="D417" s="663"/>
      <c r="E417" s="663"/>
      <c r="F417" s="663"/>
      <c r="G417" s="663"/>
      <c r="H417" s="663"/>
      <c r="I417" s="663"/>
      <c r="J417" s="663"/>
      <c r="K417" s="663"/>
      <c r="L417" s="663"/>
      <c r="M417" s="663"/>
      <c r="N417" s="663"/>
      <c r="O417" s="663"/>
      <c r="P417" s="663"/>
      <c r="Q417" s="663"/>
      <c r="R417" s="663"/>
      <c r="S417" s="663"/>
      <c r="T417" s="663"/>
      <c r="U417" s="663"/>
      <c r="V417" s="663"/>
      <c r="W417" s="663"/>
      <c r="X417" s="663"/>
      <c r="Y417" s="663"/>
      <c r="Z417" s="663"/>
      <c r="AA417" s="663"/>
      <c r="AB417" s="663"/>
      <c r="AC417" s="663"/>
      <c r="AD417" s="663"/>
      <c r="AE417" s="663"/>
      <c r="AF417" s="663"/>
      <c r="AG417" s="663"/>
      <c r="AH417" s="663"/>
      <c r="AI417" s="663"/>
      <c r="AJ417" s="663"/>
      <c r="AK417" s="663"/>
      <c r="AL417" s="663"/>
      <c r="AM417" s="663"/>
      <c r="AN417" s="663"/>
      <c r="AO417" s="663"/>
      <c r="AP417" s="663"/>
      <c r="AQ417" s="663"/>
      <c r="AR417" s="663"/>
      <c r="AS417" s="663"/>
      <c r="AT417" s="663"/>
      <c r="AU417" s="663"/>
      <c r="AV417" s="663"/>
      <c r="AW417" s="663"/>
      <c r="AX417" s="663"/>
      <c r="AY417" s="663"/>
      <c r="AZ417" s="663"/>
      <c r="BA417" s="663"/>
      <c r="BB417" s="663"/>
      <c r="BC417" s="663"/>
      <c r="BD417" s="663"/>
      <c r="BE417" s="663"/>
      <c r="BF417" s="663"/>
      <c r="BG417" s="663"/>
      <c r="BH417" s="663"/>
      <c r="BI417" s="663"/>
      <c r="BJ417" s="663"/>
      <c r="BK417" s="663"/>
      <c r="BL417" s="663"/>
      <c r="BM417" s="663"/>
      <c r="BN417" s="663"/>
      <c r="BO417" s="663"/>
      <c r="BP417" s="663"/>
      <c r="BQ417" s="663"/>
      <c r="BR417" s="663"/>
      <c r="BS417" s="663"/>
      <c r="BT417" s="663"/>
      <c r="BU417" s="663"/>
      <c r="BV417" s="663"/>
      <c r="BW417" s="663"/>
      <c r="BX417" s="663"/>
      <c r="BY417" s="663"/>
      <c r="BZ417" s="663"/>
      <c r="CA417" s="663"/>
      <c r="CB417" s="663"/>
      <c r="CC417" s="663"/>
      <c r="CD417" s="663"/>
      <c r="CE417" s="663"/>
      <c r="CF417" s="663"/>
      <c r="CG417" s="663"/>
      <c r="CH417" s="663"/>
    </row>
    <row r="418" spans="1:86" s="314" customFormat="1" ht="21.4" customHeight="1" outlineLevel="1" x14ac:dyDescent="0.35">
      <c r="A418" s="663"/>
      <c r="B418" s="392" t="s">
        <v>508</v>
      </c>
      <c r="C418" s="366">
        <v>251</v>
      </c>
      <c r="D418" s="663"/>
      <c r="E418" s="663"/>
      <c r="F418" s="663"/>
      <c r="G418" s="663"/>
      <c r="H418" s="663"/>
      <c r="I418" s="663"/>
      <c r="J418" s="663"/>
      <c r="K418" s="663"/>
      <c r="L418" s="663"/>
      <c r="M418" s="663"/>
      <c r="N418" s="663"/>
      <c r="O418" s="663"/>
      <c r="P418" s="663"/>
      <c r="Q418" s="663"/>
      <c r="R418" s="663"/>
      <c r="S418" s="663"/>
      <c r="T418" s="663"/>
      <c r="U418" s="663"/>
      <c r="V418" s="663"/>
      <c r="W418" s="663"/>
      <c r="X418" s="663"/>
      <c r="Y418" s="663"/>
      <c r="Z418" s="663"/>
      <c r="AA418" s="663"/>
      <c r="AB418" s="663"/>
      <c r="AC418" s="663"/>
      <c r="AD418" s="663"/>
      <c r="AE418" s="663"/>
      <c r="AF418" s="663"/>
      <c r="AG418" s="663"/>
      <c r="AH418" s="663"/>
      <c r="AI418" s="663"/>
      <c r="AJ418" s="663"/>
      <c r="AK418" s="663"/>
      <c r="AL418" s="663"/>
      <c r="AM418" s="663"/>
      <c r="AN418" s="663"/>
      <c r="AO418" s="663"/>
      <c r="AP418" s="663"/>
      <c r="AQ418" s="663"/>
      <c r="AR418" s="663"/>
      <c r="AS418" s="663"/>
      <c r="AT418" s="663"/>
      <c r="AU418" s="663"/>
      <c r="AV418" s="663"/>
      <c r="AW418" s="663"/>
      <c r="AX418" s="663"/>
      <c r="AY418" s="663"/>
      <c r="AZ418" s="663"/>
      <c r="BA418" s="663"/>
      <c r="BB418" s="663"/>
      <c r="BC418" s="663"/>
      <c r="BD418" s="663"/>
      <c r="BE418" s="663"/>
      <c r="BF418" s="663"/>
      <c r="BG418" s="663"/>
      <c r="BH418" s="663"/>
      <c r="BI418" s="663"/>
      <c r="BJ418" s="663"/>
      <c r="BK418" s="663"/>
      <c r="BL418" s="663"/>
      <c r="BM418" s="663"/>
      <c r="BN418" s="663"/>
      <c r="BO418" s="663"/>
      <c r="BP418" s="663"/>
      <c r="BQ418" s="663"/>
      <c r="BR418" s="663"/>
      <c r="BS418" s="663"/>
      <c r="BT418" s="663"/>
      <c r="BU418" s="663"/>
      <c r="BV418" s="663"/>
      <c r="BW418" s="663"/>
      <c r="BX418" s="663"/>
      <c r="BY418" s="663"/>
      <c r="BZ418" s="663"/>
      <c r="CA418" s="663"/>
      <c r="CB418" s="663"/>
      <c r="CC418" s="663"/>
      <c r="CD418" s="663"/>
      <c r="CE418" s="663"/>
      <c r="CF418" s="663"/>
      <c r="CG418" s="663"/>
      <c r="CH418" s="663"/>
    </row>
    <row r="419" spans="1:86" s="314" customFormat="1" ht="21.4" customHeight="1" outlineLevel="1" x14ac:dyDescent="0.35">
      <c r="A419" s="663"/>
      <c r="B419" s="392" t="s">
        <v>509</v>
      </c>
      <c r="C419" s="366">
        <v>56</v>
      </c>
      <c r="D419" s="663"/>
      <c r="E419" s="663"/>
      <c r="F419" s="663"/>
      <c r="G419" s="663"/>
      <c r="H419" s="663"/>
      <c r="I419" s="663"/>
      <c r="J419" s="663"/>
      <c r="K419" s="663"/>
      <c r="L419" s="663"/>
      <c r="M419" s="663"/>
      <c r="N419" s="663"/>
      <c r="O419" s="663"/>
      <c r="P419" s="663"/>
      <c r="Q419" s="663"/>
      <c r="R419" s="663"/>
      <c r="S419" s="663"/>
      <c r="T419" s="663"/>
      <c r="U419" s="663"/>
      <c r="V419" s="663"/>
      <c r="W419" s="663"/>
      <c r="X419" s="663"/>
      <c r="Y419" s="663"/>
      <c r="Z419" s="663"/>
      <c r="AA419" s="663"/>
      <c r="AB419" s="663"/>
      <c r="AC419" s="663"/>
      <c r="AD419" s="663"/>
      <c r="AE419" s="663"/>
      <c r="AF419" s="663"/>
      <c r="AG419" s="663"/>
      <c r="AH419" s="663"/>
      <c r="AI419" s="663"/>
      <c r="AJ419" s="663"/>
      <c r="AK419" s="663"/>
      <c r="AL419" s="663"/>
      <c r="AM419" s="663"/>
      <c r="AN419" s="663"/>
      <c r="AO419" s="663"/>
      <c r="AP419" s="663"/>
      <c r="AQ419" s="663"/>
      <c r="AR419" s="663"/>
      <c r="AS419" s="663"/>
      <c r="AT419" s="663"/>
      <c r="AU419" s="663"/>
      <c r="AV419" s="663"/>
      <c r="AW419" s="663"/>
      <c r="AX419" s="663"/>
      <c r="AY419" s="663"/>
      <c r="AZ419" s="663"/>
      <c r="BA419" s="663"/>
      <c r="BB419" s="663"/>
      <c r="BC419" s="663"/>
      <c r="BD419" s="663"/>
      <c r="BE419" s="663"/>
      <c r="BF419" s="663"/>
      <c r="BG419" s="663"/>
      <c r="BH419" s="663"/>
      <c r="BI419" s="663"/>
      <c r="BJ419" s="663"/>
      <c r="BK419" s="663"/>
      <c r="BL419" s="663"/>
      <c r="BM419" s="663"/>
      <c r="BN419" s="663"/>
      <c r="BO419" s="663"/>
      <c r="BP419" s="663"/>
      <c r="BQ419" s="663"/>
      <c r="BR419" s="663"/>
      <c r="BS419" s="663"/>
      <c r="BT419" s="663"/>
      <c r="BU419" s="663"/>
      <c r="BV419" s="663"/>
      <c r="BW419" s="663"/>
      <c r="BX419" s="663"/>
      <c r="BY419" s="663"/>
      <c r="BZ419" s="663"/>
      <c r="CA419" s="663"/>
      <c r="CB419" s="663"/>
      <c r="CC419" s="663"/>
      <c r="CD419" s="663"/>
      <c r="CE419" s="663"/>
      <c r="CF419" s="663"/>
      <c r="CG419" s="663"/>
      <c r="CH419" s="663"/>
    </row>
    <row r="420" spans="1:86" s="314" customFormat="1" ht="21.4" customHeight="1" outlineLevel="1" x14ac:dyDescent="0.35">
      <c r="A420" s="663"/>
      <c r="B420" s="392" t="s">
        <v>510</v>
      </c>
      <c r="C420" s="366">
        <v>135</v>
      </c>
      <c r="D420" s="663"/>
      <c r="E420" s="663"/>
      <c r="F420" s="663"/>
      <c r="G420" s="663"/>
      <c r="H420" s="663"/>
      <c r="I420" s="663"/>
      <c r="J420" s="663"/>
      <c r="K420" s="663"/>
      <c r="L420" s="663"/>
      <c r="M420" s="663"/>
      <c r="N420" s="663"/>
      <c r="O420" s="663"/>
      <c r="P420" s="663"/>
      <c r="Q420" s="663"/>
      <c r="R420" s="663"/>
      <c r="S420" s="663"/>
      <c r="T420" s="663"/>
      <c r="U420" s="663"/>
      <c r="V420" s="663"/>
      <c r="W420" s="663"/>
      <c r="X420" s="663"/>
      <c r="Y420" s="663"/>
      <c r="Z420" s="663"/>
      <c r="AA420" s="663"/>
      <c r="AB420" s="663"/>
      <c r="AC420" s="663"/>
      <c r="AD420" s="663"/>
      <c r="AE420" s="663"/>
      <c r="AF420" s="663"/>
      <c r="AG420" s="663"/>
      <c r="AH420" s="663"/>
      <c r="AI420" s="663"/>
      <c r="AJ420" s="663"/>
      <c r="AK420" s="663"/>
      <c r="AL420" s="663"/>
      <c r="AM420" s="663"/>
      <c r="AN420" s="663"/>
      <c r="AO420" s="663"/>
      <c r="AP420" s="663"/>
      <c r="AQ420" s="663"/>
      <c r="AR420" s="663"/>
      <c r="AS420" s="663"/>
      <c r="AT420" s="663"/>
      <c r="AU420" s="663"/>
      <c r="AV420" s="663"/>
      <c r="AW420" s="663"/>
      <c r="AX420" s="663"/>
      <c r="AY420" s="663"/>
      <c r="AZ420" s="663"/>
      <c r="BA420" s="663"/>
      <c r="BB420" s="663"/>
      <c r="BC420" s="663"/>
      <c r="BD420" s="663"/>
      <c r="BE420" s="663"/>
      <c r="BF420" s="663"/>
      <c r="BG420" s="663"/>
      <c r="BH420" s="663"/>
      <c r="BI420" s="663"/>
      <c r="BJ420" s="663"/>
      <c r="BK420" s="663"/>
      <c r="BL420" s="663"/>
      <c r="BM420" s="663"/>
      <c r="BN420" s="663"/>
      <c r="BO420" s="663"/>
      <c r="BP420" s="663"/>
      <c r="BQ420" s="663"/>
      <c r="BR420" s="663"/>
      <c r="BS420" s="663"/>
      <c r="BT420" s="663"/>
      <c r="BU420" s="663"/>
      <c r="BV420" s="663"/>
      <c r="BW420" s="663"/>
      <c r="BX420" s="663"/>
      <c r="BY420" s="663"/>
      <c r="BZ420" s="663"/>
      <c r="CA420" s="663"/>
      <c r="CB420" s="663"/>
      <c r="CC420" s="663"/>
      <c r="CD420" s="663"/>
      <c r="CE420" s="663"/>
      <c r="CF420" s="663"/>
      <c r="CG420" s="663"/>
      <c r="CH420" s="663"/>
    </row>
    <row r="421" spans="1:86" s="314" customFormat="1" ht="21.4" customHeight="1" outlineLevel="1" x14ac:dyDescent="0.35">
      <c r="A421" s="663"/>
      <c r="B421" s="392" t="s">
        <v>419</v>
      </c>
      <c r="C421" s="366">
        <v>97</v>
      </c>
      <c r="D421" s="663"/>
      <c r="E421" s="663"/>
      <c r="F421" s="663"/>
      <c r="G421" s="663"/>
      <c r="H421" s="663"/>
      <c r="I421" s="663"/>
      <c r="J421" s="663"/>
      <c r="K421" s="663"/>
      <c r="L421" s="663"/>
      <c r="M421" s="663"/>
      <c r="N421" s="663"/>
      <c r="O421" s="663"/>
      <c r="P421" s="663"/>
      <c r="Q421" s="663"/>
      <c r="R421" s="663"/>
      <c r="S421" s="663"/>
      <c r="T421" s="663"/>
      <c r="U421" s="663"/>
      <c r="V421" s="663"/>
      <c r="W421" s="663"/>
      <c r="X421" s="663"/>
      <c r="Y421" s="663"/>
      <c r="Z421" s="663"/>
      <c r="AA421" s="663"/>
      <c r="AB421" s="663"/>
      <c r="AC421" s="663"/>
      <c r="AD421" s="663"/>
      <c r="AE421" s="663"/>
      <c r="AF421" s="663"/>
      <c r="AG421" s="663"/>
      <c r="AH421" s="663"/>
      <c r="AI421" s="663"/>
      <c r="AJ421" s="663"/>
      <c r="AK421" s="663"/>
      <c r="AL421" s="663"/>
      <c r="AM421" s="663"/>
      <c r="AN421" s="663"/>
      <c r="AO421" s="663"/>
      <c r="AP421" s="663"/>
      <c r="AQ421" s="663"/>
      <c r="AR421" s="663"/>
      <c r="AS421" s="663"/>
      <c r="AT421" s="663"/>
      <c r="AU421" s="663"/>
      <c r="AV421" s="663"/>
      <c r="AW421" s="663"/>
      <c r="AX421" s="663"/>
      <c r="AY421" s="663"/>
      <c r="AZ421" s="663"/>
      <c r="BA421" s="663"/>
      <c r="BB421" s="663"/>
      <c r="BC421" s="663"/>
      <c r="BD421" s="663"/>
      <c r="BE421" s="663"/>
      <c r="BF421" s="663"/>
      <c r="BG421" s="663"/>
      <c r="BH421" s="663"/>
      <c r="BI421" s="663"/>
      <c r="BJ421" s="663"/>
      <c r="BK421" s="663"/>
      <c r="BL421" s="663"/>
      <c r="BM421" s="663"/>
      <c r="BN421" s="663"/>
      <c r="BO421" s="663"/>
      <c r="BP421" s="663"/>
      <c r="BQ421" s="663"/>
      <c r="BR421" s="663"/>
      <c r="BS421" s="663"/>
      <c r="BT421" s="663"/>
      <c r="BU421" s="663"/>
      <c r="BV421" s="663"/>
      <c r="BW421" s="663"/>
      <c r="BX421" s="663"/>
      <c r="BY421" s="663"/>
      <c r="BZ421" s="663"/>
      <c r="CA421" s="663"/>
      <c r="CB421" s="663"/>
      <c r="CC421" s="663"/>
      <c r="CD421" s="663"/>
      <c r="CE421" s="663"/>
      <c r="CF421" s="663"/>
      <c r="CG421" s="663"/>
      <c r="CH421" s="663"/>
    </row>
    <row r="422" spans="1:86" s="314" customFormat="1" ht="21.4" customHeight="1" outlineLevel="1" x14ac:dyDescent="0.35">
      <c r="A422" s="663"/>
      <c r="B422" s="392" t="s">
        <v>511</v>
      </c>
      <c r="C422" s="366">
        <v>128</v>
      </c>
      <c r="D422" s="663"/>
      <c r="E422" s="663"/>
      <c r="F422" s="663"/>
      <c r="G422" s="663"/>
      <c r="H422" s="663"/>
      <c r="I422" s="663"/>
      <c r="J422" s="663"/>
      <c r="K422" s="663"/>
      <c r="L422" s="663"/>
      <c r="M422" s="663"/>
      <c r="N422" s="663"/>
      <c r="O422" s="663"/>
      <c r="P422" s="663"/>
      <c r="Q422" s="663"/>
      <c r="R422" s="663"/>
      <c r="S422" s="663"/>
      <c r="T422" s="663"/>
      <c r="U422" s="663"/>
      <c r="V422" s="663"/>
      <c r="W422" s="663"/>
      <c r="X422" s="663"/>
      <c r="Y422" s="663"/>
      <c r="Z422" s="663"/>
      <c r="AA422" s="663"/>
      <c r="AB422" s="663"/>
      <c r="AC422" s="663"/>
      <c r="AD422" s="663"/>
      <c r="AE422" s="663"/>
      <c r="AF422" s="663"/>
      <c r="AG422" s="663"/>
      <c r="AH422" s="663"/>
      <c r="AI422" s="663"/>
      <c r="AJ422" s="663"/>
      <c r="AK422" s="663"/>
      <c r="AL422" s="663"/>
      <c r="AM422" s="663"/>
      <c r="AN422" s="663"/>
      <c r="AO422" s="663"/>
      <c r="AP422" s="663"/>
      <c r="AQ422" s="663"/>
      <c r="AR422" s="663"/>
      <c r="AS422" s="663"/>
      <c r="AT422" s="663"/>
      <c r="AU422" s="663"/>
      <c r="AV422" s="663"/>
      <c r="AW422" s="663"/>
      <c r="AX422" s="663"/>
      <c r="AY422" s="663"/>
      <c r="AZ422" s="663"/>
      <c r="BA422" s="663"/>
      <c r="BB422" s="663"/>
      <c r="BC422" s="663"/>
      <c r="BD422" s="663"/>
      <c r="BE422" s="663"/>
      <c r="BF422" s="663"/>
      <c r="BG422" s="663"/>
      <c r="BH422" s="663"/>
      <c r="BI422" s="663"/>
      <c r="BJ422" s="663"/>
      <c r="BK422" s="663"/>
      <c r="BL422" s="663"/>
      <c r="BM422" s="663"/>
      <c r="BN422" s="663"/>
      <c r="BO422" s="663"/>
      <c r="BP422" s="663"/>
      <c r="BQ422" s="663"/>
      <c r="BR422" s="663"/>
      <c r="BS422" s="663"/>
      <c r="BT422" s="663"/>
      <c r="BU422" s="663"/>
      <c r="BV422" s="663"/>
      <c r="BW422" s="663"/>
      <c r="BX422" s="663"/>
      <c r="BY422" s="663"/>
      <c r="BZ422" s="663"/>
      <c r="CA422" s="663"/>
      <c r="CB422" s="663"/>
      <c r="CC422" s="663"/>
      <c r="CD422" s="663"/>
      <c r="CE422" s="663"/>
      <c r="CF422" s="663"/>
      <c r="CG422" s="663"/>
      <c r="CH422" s="663"/>
    </row>
    <row r="423" spans="1:86" ht="21.4" customHeight="1" outlineLevel="1" x14ac:dyDescent="0.35">
      <c r="A423" s="176"/>
      <c r="B423" s="423" t="s">
        <v>540</v>
      </c>
      <c r="C423" s="423"/>
      <c r="D423" s="423"/>
      <c r="E423" s="423"/>
      <c r="F423" s="423"/>
      <c r="G423" s="423"/>
      <c r="H423" s="423"/>
      <c r="I423" s="423"/>
      <c r="J423" s="423"/>
      <c r="K423" s="423"/>
      <c r="L423" s="176"/>
      <c r="M423" s="176"/>
      <c r="N423" s="176"/>
      <c r="O423" s="176"/>
      <c r="P423" s="176"/>
      <c r="Q423" s="176"/>
      <c r="R423" s="176"/>
      <c r="S423" s="176"/>
      <c r="T423" s="176"/>
      <c r="U423" s="176"/>
      <c r="V423" s="176"/>
      <c r="W423" s="176"/>
      <c r="X423" s="176"/>
      <c r="Y423" s="176"/>
      <c r="Z423" s="176"/>
      <c r="AA423" s="176"/>
      <c r="AB423" s="176"/>
      <c r="AC423" s="176"/>
      <c r="AD423" s="176"/>
      <c r="AE423" s="176"/>
      <c r="AF423" s="176"/>
      <c r="AG423" s="176"/>
      <c r="AH423" s="176"/>
      <c r="AI423" s="176"/>
      <c r="AJ423" s="176"/>
      <c r="AK423" s="176"/>
      <c r="AL423" s="176"/>
      <c r="AM423" s="176"/>
      <c r="AN423" s="176"/>
      <c r="AO423" s="176"/>
      <c r="AP423" s="176"/>
      <c r="AQ423" s="176"/>
      <c r="AR423" s="176"/>
      <c r="AS423" s="176"/>
      <c r="AT423" s="176"/>
      <c r="AU423" s="176"/>
      <c r="AV423" s="176"/>
      <c r="AW423" s="176"/>
      <c r="AX423" s="176"/>
      <c r="AY423" s="176"/>
      <c r="AZ423" s="176"/>
      <c r="BA423" s="176"/>
      <c r="BB423" s="176"/>
      <c r="BC423" s="176"/>
      <c r="BD423" s="176"/>
      <c r="BE423" s="176"/>
      <c r="BF423" s="176"/>
      <c r="BG423" s="176"/>
      <c r="BH423" s="176"/>
      <c r="BI423" s="176"/>
      <c r="BJ423" s="176"/>
      <c r="BK423" s="176"/>
      <c r="BL423" s="176"/>
      <c r="BM423" s="176"/>
      <c r="BN423" s="176"/>
      <c r="BO423" s="176"/>
      <c r="BP423" s="176"/>
      <c r="BQ423" s="176"/>
      <c r="BR423" s="176"/>
      <c r="BS423" s="176"/>
      <c r="BT423" s="176"/>
      <c r="BU423" s="176"/>
      <c r="BV423" s="176"/>
      <c r="BW423" s="176"/>
      <c r="BX423" s="176"/>
      <c r="BY423" s="176"/>
      <c r="BZ423" s="176"/>
      <c r="CA423" s="176"/>
      <c r="CB423" s="176"/>
      <c r="CC423" s="176"/>
      <c r="CD423" s="176"/>
      <c r="CE423" s="176"/>
      <c r="CF423" s="176"/>
      <c r="CG423" s="176"/>
      <c r="CH423" s="176"/>
    </row>
    <row r="424" spans="1:86" ht="21.4" customHeight="1" x14ac:dyDescent="0.35">
      <c r="A424" s="176"/>
      <c r="B424" s="176"/>
      <c r="C424" s="713"/>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c r="Z424" s="176"/>
      <c r="AA424" s="176"/>
      <c r="AB424" s="176"/>
      <c r="AC424" s="176"/>
      <c r="AD424" s="176"/>
      <c r="AE424" s="176"/>
      <c r="AF424" s="176"/>
      <c r="AG424" s="176"/>
      <c r="AH424" s="176"/>
      <c r="AI424" s="176"/>
      <c r="AJ424" s="176"/>
      <c r="AK424" s="176"/>
      <c r="AL424" s="176"/>
      <c r="AM424" s="176"/>
      <c r="AN424" s="176"/>
      <c r="AO424" s="176"/>
      <c r="AP424" s="176"/>
      <c r="AQ424" s="176"/>
      <c r="AR424" s="176"/>
      <c r="AS424" s="176"/>
      <c r="AT424" s="176"/>
      <c r="AU424" s="176"/>
      <c r="AV424" s="176"/>
      <c r="AW424" s="176"/>
      <c r="AX424" s="176"/>
      <c r="AY424" s="176"/>
      <c r="AZ424" s="176"/>
      <c r="BA424" s="176"/>
      <c r="BB424" s="176"/>
      <c r="BC424" s="176"/>
      <c r="BD424" s="176"/>
      <c r="BE424" s="176"/>
      <c r="BF424" s="176"/>
      <c r="BG424" s="176"/>
      <c r="BH424" s="176"/>
      <c r="BI424" s="176"/>
      <c r="BJ424" s="176"/>
      <c r="BK424" s="176"/>
      <c r="BL424" s="176"/>
      <c r="BM424" s="176"/>
      <c r="BN424" s="176"/>
      <c r="BO424" s="176"/>
      <c r="BP424" s="176"/>
      <c r="BQ424" s="176"/>
      <c r="BR424" s="176"/>
      <c r="BS424" s="176"/>
      <c r="BT424" s="176"/>
      <c r="BU424" s="176"/>
      <c r="BV424" s="176"/>
      <c r="BW424" s="176"/>
      <c r="BX424" s="176"/>
      <c r="BY424" s="176"/>
      <c r="BZ424" s="176"/>
      <c r="CA424" s="176"/>
      <c r="CB424" s="176"/>
      <c r="CC424" s="176"/>
      <c r="CD424" s="176"/>
      <c r="CE424" s="176"/>
      <c r="CF424" s="176"/>
      <c r="CG424" s="176"/>
      <c r="CH424" s="176"/>
    </row>
    <row r="425" spans="1:86" ht="21.4" customHeight="1" x14ac:dyDescent="0.35">
      <c r="A425" s="176"/>
      <c r="B425" s="176"/>
      <c r="C425" s="713"/>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c r="Z425" s="176"/>
      <c r="AA425" s="176"/>
      <c r="AB425" s="176"/>
      <c r="AC425" s="176"/>
      <c r="AD425" s="176"/>
      <c r="AE425" s="176"/>
      <c r="AF425" s="176"/>
      <c r="AG425" s="176"/>
      <c r="AH425" s="176"/>
      <c r="AI425" s="176"/>
      <c r="AJ425" s="176"/>
      <c r="AK425" s="176"/>
      <c r="AL425" s="176"/>
      <c r="AM425" s="176"/>
      <c r="AN425" s="176"/>
      <c r="AO425" s="176"/>
      <c r="AP425" s="176"/>
      <c r="AQ425" s="176"/>
      <c r="AR425" s="176"/>
      <c r="AS425" s="176"/>
      <c r="AT425" s="176"/>
      <c r="AU425" s="176"/>
      <c r="AV425" s="176"/>
      <c r="AW425" s="176"/>
      <c r="AX425" s="176"/>
      <c r="AY425" s="176"/>
      <c r="AZ425" s="176"/>
      <c r="BA425" s="176"/>
      <c r="BB425" s="176"/>
      <c r="BC425" s="176"/>
      <c r="BD425" s="176"/>
      <c r="BE425" s="176"/>
      <c r="BF425" s="176"/>
      <c r="BG425" s="176"/>
      <c r="BH425" s="176"/>
      <c r="BI425" s="176"/>
      <c r="BJ425" s="176"/>
      <c r="BK425" s="176"/>
      <c r="BL425" s="176"/>
      <c r="BM425" s="176"/>
      <c r="BN425" s="176"/>
      <c r="BO425" s="176"/>
      <c r="BP425" s="176"/>
      <c r="BQ425" s="176"/>
      <c r="BR425" s="176"/>
      <c r="BS425" s="176"/>
      <c r="BT425" s="176"/>
      <c r="BU425" s="176"/>
      <c r="BV425" s="176"/>
      <c r="BW425" s="176"/>
      <c r="BX425" s="176"/>
      <c r="BY425" s="176"/>
      <c r="BZ425" s="176"/>
      <c r="CA425" s="176"/>
      <c r="CB425" s="176"/>
      <c r="CC425" s="176"/>
      <c r="CD425" s="176"/>
      <c r="CE425" s="176"/>
      <c r="CF425" s="176"/>
      <c r="CG425" s="176"/>
      <c r="CH425" s="176"/>
    </row>
    <row r="426" spans="1:86" ht="21.4" customHeight="1" x14ac:dyDescent="0.35">
      <c r="A426" s="176"/>
      <c r="B426" s="176"/>
      <c r="C426" s="713"/>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c r="Z426" s="176"/>
      <c r="AA426" s="176"/>
      <c r="AB426" s="176"/>
      <c r="AC426" s="176"/>
      <c r="AD426" s="176"/>
      <c r="AE426" s="176"/>
      <c r="AF426" s="176"/>
      <c r="AG426" s="176"/>
      <c r="AH426" s="176"/>
      <c r="AI426" s="176"/>
      <c r="AJ426" s="176"/>
      <c r="AK426" s="176"/>
      <c r="AL426" s="176"/>
      <c r="AM426" s="176"/>
      <c r="AN426" s="176"/>
      <c r="AO426" s="176"/>
      <c r="AP426" s="176"/>
      <c r="AQ426" s="176"/>
      <c r="AR426" s="176"/>
      <c r="AS426" s="176"/>
      <c r="AT426" s="176"/>
      <c r="AU426" s="176"/>
      <c r="AV426" s="176"/>
      <c r="AW426" s="176"/>
      <c r="AX426" s="176"/>
      <c r="AY426" s="176"/>
      <c r="AZ426" s="176"/>
      <c r="BA426" s="176"/>
      <c r="BB426" s="176"/>
      <c r="BC426" s="176"/>
      <c r="BD426" s="176"/>
      <c r="BE426" s="176"/>
      <c r="BF426" s="176"/>
      <c r="BG426" s="176"/>
      <c r="BH426" s="176"/>
      <c r="BI426" s="176"/>
      <c r="BJ426" s="176"/>
      <c r="BK426" s="176"/>
      <c r="BL426" s="176"/>
      <c r="BM426" s="176"/>
      <c r="BN426" s="176"/>
      <c r="BO426" s="176"/>
      <c r="BP426" s="176"/>
      <c r="BQ426" s="176"/>
      <c r="BR426" s="176"/>
      <c r="BS426" s="176"/>
      <c r="BT426" s="176"/>
      <c r="BU426" s="176"/>
      <c r="BV426" s="176"/>
      <c r="BW426" s="176"/>
      <c r="BX426" s="176"/>
      <c r="BY426" s="176"/>
      <c r="BZ426" s="176"/>
      <c r="CA426" s="176"/>
      <c r="CB426" s="176"/>
      <c r="CC426" s="176"/>
      <c r="CD426" s="176"/>
      <c r="CE426" s="176"/>
      <c r="CF426" s="176"/>
      <c r="CG426" s="176"/>
      <c r="CH426" s="176"/>
    </row>
    <row r="427" spans="1:86" ht="21.4" customHeight="1" x14ac:dyDescent="0.35">
      <c r="A427" s="176"/>
      <c r="B427" s="176"/>
      <c r="C427" s="713"/>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c r="Z427" s="176"/>
      <c r="AA427" s="176"/>
      <c r="AB427" s="176"/>
      <c r="AC427" s="176"/>
      <c r="AD427" s="176"/>
      <c r="AE427" s="176"/>
      <c r="AF427" s="176"/>
      <c r="AG427" s="176"/>
      <c r="AH427" s="176"/>
      <c r="AI427" s="176"/>
      <c r="AJ427" s="176"/>
      <c r="AK427" s="176"/>
      <c r="AL427" s="176"/>
      <c r="AM427" s="176"/>
      <c r="AN427" s="176"/>
      <c r="AO427" s="176"/>
      <c r="AP427" s="176"/>
      <c r="AQ427" s="176"/>
      <c r="AR427" s="176"/>
      <c r="AS427" s="176"/>
      <c r="AT427" s="176"/>
      <c r="AU427" s="176"/>
      <c r="AV427" s="176"/>
      <c r="AW427" s="176"/>
      <c r="AX427" s="176"/>
      <c r="AY427" s="176"/>
      <c r="AZ427" s="176"/>
      <c r="BA427" s="176"/>
      <c r="BB427" s="176"/>
      <c r="BC427" s="176"/>
      <c r="BD427" s="176"/>
      <c r="BE427" s="176"/>
      <c r="BF427" s="176"/>
      <c r="BG427" s="176"/>
      <c r="BH427" s="176"/>
      <c r="BI427" s="176"/>
      <c r="BJ427" s="176"/>
      <c r="BK427" s="176"/>
      <c r="BL427" s="176"/>
      <c r="BM427" s="176"/>
      <c r="BN427" s="176"/>
      <c r="BO427" s="176"/>
      <c r="BP427" s="176"/>
      <c r="BQ427" s="176"/>
      <c r="BR427" s="176"/>
      <c r="BS427" s="176"/>
      <c r="BT427" s="176"/>
      <c r="BU427" s="176"/>
      <c r="BV427" s="176"/>
      <c r="BW427" s="176"/>
      <c r="BX427" s="176"/>
      <c r="BY427" s="176"/>
      <c r="BZ427" s="176"/>
      <c r="CA427" s="176"/>
      <c r="CB427" s="176"/>
      <c r="CC427" s="176"/>
      <c r="CD427" s="176"/>
      <c r="CE427" s="176"/>
      <c r="CF427" s="176"/>
      <c r="CG427" s="176"/>
      <c r="CH427" s="176"/>
    </row>
    <row r="428" spans="1:86" ht="21.4" customHeight="1" x14ac:dyDescent="0.35">
      <c r="A428" s="176"/>
      <c r="B428" s="176"/>
      <c r="C428" s="713"/>
      <c r="D428" s="176"/>
      <c r="E428" s="176"/>
      <c r="F428" s="176"/>
      <c r="G428" s="176"/>
      <c r="H428" s="176"/>
      <c r="I428" s="176"/>
      <c r="J428" s="176"/>
      <c r="K428" s="176"/>
      <c r="L428" s="176"/>
      <c r="M428" s="176"/>
      <c r="N428" s="176"/>
      <c r="O428" s="176"/>
      <c r="P428" s="176"/>
      <c r="Q428" s="176"/>
      <c r="R428" s="176"/>
      <c r="S428" s="176"/>
      <c r="T428" s="176"/>
      <c r="U428" s="176"/>
      <c r="V428" s="176"/>
      <c r="W428" s="176"/>
      <c r="X428" s="176"/>
      <c r="Y428" s="176"/>
      <c r="Z428" s="176"/>
      <c r="AA428" s="176"/>
      <c r="AB428" s="176"/>
      <c r="AC428" s="176"/>
      <c r="AD428" s="176"/>
      <c r="AE428" s="176"/>
      <c r="AF428" s="176"/>
      <c r="AG428" s="176"/>
      <c r="AH428" s="176"/>
      <c r="AI428" s="176"/>
      <c r="AJ428" s="176"/>
      <c r="AK428" s="176"/>
      <c r="AL428" s="176"/>
      <c r="AM428" s="176"/>
      <c r="AN428" s="176"/>
      <c r="AO428" s="176"/>
      <c r="AP428" s="176"/>
      <c r="AQ428" s="176"/>
      <c r="AR428" s="176"/>
      <c r="AS428" s="176"/>
      <c r="AT428" s="176"/>
      <c r="AU428" s="176"/>
      <c r="AV428" s="176"/>
      <c r="AW428" s="176"/>
      <c r="AX428" s="176"/>
      <c r="AY428" s="176"/>
      <c r="AZ428" s="176"/>
      <c r="BA428" s="176"/>
      <c r="BB428" s="176"/>
      <c r="BC428" s="176"/>
      <c r="BD428" s="176"/>
      <c r="BE428" s="176"/>
      <c r="BF428" s="176"/>
      <c r="BG428" s="176"/>
      <c r="BH428" s="176"/>
      <c r="BI428" s="176"/>
      <c r="BJ428" s="176"/>
      <c r="BK428" s="176"/>
      <c r="BL428" s="176"/>
      <c r="BM428" s="176"/>
      <c r="BN428" s="176"/>
      <c r="BO428" s="176"/>
      <c r="BP428" s="176"/>
      <c r="BQ428" s="176"/>
      <c r="BR428" s="176"/>
      <c r="BS428" s="176"/>
      <c r="BT428" s="176"/>
      <c r="BU428" s="176"/>
      <c r="BV428" s="176"/>
      <c r="BW428" s="176"/>
      <c r="BX428" s="176"/>
      <c r="BY428" s="176"/>
      <c r="BZ428" s="176"/>
      <c r="CA428" s="176"/>
      <c r="CB428" s="176"/>
      <c r="CC428" s="176"/>
      <c r="CD428" s="176"/>
      <c r="CE428" s="176"/>
      <c r="CF428" s="176"/>
      <c r="CG428" s="176"/>
      <c r="CH428" s="176"/>
    </row>
    <row r="429" spans="1:86" ht="21.4" customHeight="1" x14ac:dyDescent="0.35">
      <c r="A429" s="176"/>
      <c r="B429" s="176"/>
      <c r="C429" s="713"/>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E429" s="176"/>
      <c r="AF429" s="176"/>
      <c r="AG429" s="176"/>
      <c r="AH429" s="176"/>
      <c r="AI429" s="176"/>
      <c r="AJ429" s="176"/>
      <c r="AK429" s="176"/>
      <c r="AL429" s="176"/>
      <c r="AM429" s="176"/>
      <c r="AN429" s="176"/>
      <c r="AO429" s="176"/>
      <c r="AP429" s="176"/>
      <c r="AQ429" s="176"/>
      <c r="AR429" s="176"/>
      <c r="AS429" s="176"/>
      <c r="AT429" s="176"/>
      <c r="AU429" s="176"/>
      <c r="AV429" s="176"/>
      <c r="AW429" s="176"/>
      <c r="AX429" s="176"/>
      <c r="AY429" s="176"/>
      <c r="AZ429" s="176"/>
      <c r="BA429" s="176"/>
      <c r="BB429" s="176"/>
      <c r="BC429" s="176"/>
      <c r="BD429" s="176"/>
      <c r="BE429" s="176"/>
      <c r="BF429" s="176"/>
      <c r="BG429" s="176"/>
      <c r="BH429" s="176"/>
      <c r="BI429" s="176"/>
      <c r="BJ429" s="176"/>
      <c r="BK429" s="176"/>
      <c r="BL429" s="176"/>
      <c r="BM429" s="176"/>
      <c r="BN429" s="176"/>
      <c r="BO429" s="176"/>
      <c r="BP429" s="176"/>
      <c r="BQ429" s="176"/>
      <c r="BR429" s="176"/>
      <c r="BS429" s="176"/>
      <c r="BT429" s="176"/>
      <c r="BU429" s="176"/>
      <c r="BV429" s="176"/>
      <c r="BW429" s="176"/>
      <c r="BX429" s="176"/>
      <c r="BY429" s="176"/>
      <c r="BZ429" s="176"/>
      <c r="CA429" s="176"/>
      <c r="CB429" s="176"/>
      <c r="CC429" s="176"/>
      <c r="CD429" s="176"/>
      <c r="CE429" s="176"/>
      <c r="CF429" s="176"/>
      <c r="CG429" s="176"/>
      <c r="CH429" s="176"/>
    </row>
    <row r="430" spans="1:86" ht="21.4" customHeight="1" x14ac:dyDescent="0.35">
      <c r="A430" s="176"/>
      <c r="B430" s="176"/>
      <c r="C430" s="713"/>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c r="Z430" s="176"/>
      <c r="AA430" s="176"/>
      <c r="AB430" s="176"/>
      <c r="AC430" s="176"/>
      <c r="AD430" s="176"/>
      <c r="AE430" s="176"/>
      <c r="AF430" s="176"/>
      <c r="AG430" s="176"/>
      <c r="AH430" s="176"/>
      <c r="AI430" s="176"/>
      <c r="AJ430" s="176"/>
      <c r="AK430" s="176"/>
      <c r="AL430" s="176"/>
      <c r="AM430" s="176"/>
      <c r="AN430" s="176"/>
      <c r="AO430" s="176"/>
      <c r="AP430" s="176"/>
      <c r="AQ430" s="176"/>
      <c r="AR430" s="176"/>
      <c r="AS430" s="176"/>
      <c r="AT430" s="176"/>
      <c r="AU430" s="176"/>
      <c r="AV430" s="176"/>
      <c r="AW430" s="176"/>
      <c r="AX430" s="176"/>
      <c r="AY430" s="176"/>
      <c r="AZ430" s="176"/>
      <c r="BA430" s="176"/>
      <c r="BB430" s="176"/>
      <c r="BC430" s="176"/>
      <c r="BD430" s="176"/>
      <c r="BE430" s="176"/>
      <c r="BF430" s="176"/>
      <c r="BG430" s="176"/>
      <c r="BH430" s="176"/>
      <c r="BI430" s="176"/>
      <c r="BJ430" s="176"/>
      <c r="BK430" s="176"/>
      <c r="BL430" s="176"/>
      <c r="BM430" s="176"/>
      <c r="BN430" s="176"/>
      <c r="BO430" s="176"/>
      <c r="BP430" s="176"/>
      <c r="BQ430" s="176"/>
      <c r="BR430" s="176"/>
      <c r="BS430" s="176"/>
      <c r="BT430" s="176"/>
      <c r="BU430" s="176"/>
      <c r="BV430" s="176"/>
      <c r="BW430" s="176"/>
      <c r="BX430" s="176"/>
      <c r="BY430" s="176"/>
      <c r="BZ430" s="176"/>
      <c r="CA430" s="176"/>
      <c r="CB430" s="176"/>
      <c r="CC430" s="176"/>
      <c r="CD430" s="176"/>
      <c r="CE430" s="176"/>
      <c r="CF430" s="176"/>
      <c r="CG430" s="176"/>
      <c r="CH430" s="176"/>
    </row>
    <row r="431" spans="1:86" ht="21.4" customHeight="1" x14ac:dyDescent="0.35">
      <c r="A431" s="176"/>
      <c r="B431" s="176"/>
      <c r="C431" s="713"/>
      <c r="D431" s="176"/>
      <c r="E431" s="176"/>
      <c r="F431" s="176"/>
      <c r="G431" s="176"/>
      <c r="H431" s="176"/>
      <c r="I431" s="176"/>
      <c r="J431" s="176"/>
      <c r="K431" s="176"/>
      <c r="L431" s="176"/>
      <c r="M431" s="176"/>
      <c r="N431" s="176"/>
      <c r="O431" s="176"/>
      <c r="P431" s="176"/>
      <c r="Q431" s="176"/>
      <c r="R431" s="176"/>
      <c r="S431" s="176"/>
      <c r="T431" s="176"/>
      <c r="U431" s="176"/>
      <c r="V431" s="176"/>
      <c r="W431" s="176"/>
      <c r="X431" s="176"/>
      <c r="Y431" s="176"/>
      <c r="Z431" s="176"/>
      <c r="AA431" s="176"/>
      <c r="AB431" s="176"/>
      <c r="AC431" s="176"/>
      <c r="AD431" s="176"/>
      <c r="AE431" s="176"/>
      <c r="AF431" s="176"/>
      <c r="AG431" s="176"/>
      <c r="AH431" s="176"/>
      <c r="AI431" s="176"/>
      <c r="AJ431" s="176"/>
      <c r="AK431" s="176"/>
      <c r="AL431" s="176"/>
      <c r="AM431" s="176"/>
      <c r="AN431" s="176"/>
      <c r="AO431" s="176"/>
      <c r="AP431" s="176"/>
      <c r="AQ431" s="176"/>
      <c r="AR431" s="176"/>
      <c r="AS431" s="176"/>
      <c r="AT431" s="176"/>
      <c r="AU431" s="176"/>
      <c r="AV431" s="176"/>
      <c r="AW431" s="176"/>
      <c r="AX431" s="176"/>
      <c r="AY431" s="176"/>
      <c r="AZ431" s="176"/>
      <c r="BA431" s="176"/>
      <c r="BB431" s="176"/>
      <c r="BC431" s="176"/>
      <c r="BD431" s="176"/>
      <c r="BE431" s="176"/>
      <c r="BF431" s="176"/>
      <c r="BG431" s="176"/>
      <c r="BH431" s="176"/>
      <c r="BI431" s="176"/>
      <c r="BJ431" s="176"/>
      <c r="BK431" s="176"/>
      <c r="BL431" s="176"/>
      <c r="BM431" s="176"/>
      <c r="BN431" s="176"/>
      <c r="BO431" s="176"/>
      <c r="BP431" s="176"/>
      <c r="BQ431" s="176"/>
      <c r="BR431" s="176"/>
      <c r="BS431" s="176"/>
      <c r="BT431" s="176"/>
      <c r="BU431" s="176"/>
      <c r="BV431" s="176"/>
      <c r="BW431" s="176"/>
      <c r="BX431" s="176"/>
      <c r="BY431" s="176"/>
      <c r="BZ431" s="176"/>
      <c r="CA431" s="176"/>
      <c r="CB431" s="176"/>
      <c r="CC431" s="176"/>
      <c r="CD431" s="176"/>
      <c r="CE431" s="176"/>
      <c r="CF431" s="176"/>
      <c r="CG431" s="176"/>
      <c r="CH431" s="176"/>
    </row>
    <row r="432" spans="1:86" ht="21.4" customHeight="1" x14ac:dyDescent="0.35">
      <c r="A432" s="176"/>
      <c r="B432" s="176"/>
      <c r="C432" s="713"/>
      <c r="D432" s="176"/>
      <c r="E432" s="176"/>
      <c r="F432" s="176"/>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E432" s="176"/>
      <c r="AF432" s="176"/>
      <c r="AG432" s="176"/>
      <c r="AH432" s="176"/>
      <c r="AI432" s="176"/>
      <c r="AJ432" s="176"/>
      <c r="AK432" s="176"/>
      <c r="AL432" s="176"/>
      <c r="AM432" s="176"/>
      <c r="AN432" s="176"/>
      <c r="AO432" s="176"/>
      <c r="AP432" s="176"/>
      <c r="AQ432" s="176"/>
      <c r="AR432" s="176"/>
      <c r="AS432" s="176"/>
      <c r="AT432" s="176"/>
      <c r="AU432" s="176"/>
      <c r="AV432" s="176"/>
      <c r="AW432" s="176"/>
      <c r="AX432" s="176"/>
      <c r="AY432" s="176"/>
      <c r="AZ432" s="176"/>
      <c r="BA432" s="176"/>
      <c r="BB432" s="176"/>
      <c r="BC432" s="176"/>
      <c r="BD432" s="176"/>
      <c r="BE432" s="176"/>
      <c r="BF432" s="176"/>
      <c r="BG432" s="176"/>
      <c r="BH432" s="176"/>
      <c r="BI432" s="176"/>
      <c r="BJ432" s="176"/>
      <c r="BK432" s="176"/>
      <c r="BL432" s="176"/>
      <c r="BM432" s="176"/>
      <c r="BN432" s="176"/>
      <c r="BO432" s="176"/>
      <c r="BP432" s="176"/>
      <c r="BQ432" s="176"/>
      <c r="BR432" s="176"/>
      <c r="BS432" s="176"/>
      <c r="BT432" s="176"/>
      <c r="BU432" s="176"/>
      <c r="BV432" s="176"/>
      <c r="BW432" s="176"/>
      <c r="BX432" s="176"/>
      <c r="BY432" s="176"/>
      <c r="BZ432" s="176"/>
      <c r="CA432" s="176"/>
      <c r="CB432" s="176"/>
      <c r="CC432" s="176"/>
      <c r="CD432" s="176"/>
      <c r="CE432" s="176"/>
      <c r="CF432" s="176"/>
      <c r="CG432" s="176"/>
      <c r="CH432" s="176"/>
    </row>
    <row r="433" spans="1:86" ht="21.4" customHeight="1" x14ac:dyDescent="0.35">
      <c r="A433" s="176"/>
      <c r="B433" s="176"/>
      <c r="C433" s="713"/>
      <c r="D433" s="176"/>
      <c r="E433" s="176"/>
      <c r="F433" s="176"/>
      <c r="G433" s="176"/>
      <c r="H433" s="176"/>
      <c r="I433" s="176"/>
      <c r="J433" s="176"/>
      <c r="K433" s="176"/>
      <c r="L433" s="176"/>
      <c r="M433" s="176"/>
      <c r="N433" s="176"/>
      <c r="O433" s="176"/>
      <c r="P433" s="176"/>
      <c r="Q433" s="176"/>
      <c r="R433" s="176"/>
      <c r="S433" s="176"/>
      <c r="T433" s="176"/>
      <c r="U433" s="176"/>
      <c r="V433" s="176"/>
      <c r="W433" s="176"/>
      <c r="X433" s="176"/>
      <c r="Y433" s="176"/>
      <c r="Z433" s="176"/>
      <c r="AA433" s="176"/>
      <c r="AB433" s="176"/>
      <c r="AC433" s="176"/>
      <c r="AD433" s="176"/>
      <c r="AE433" s="176"/>
      <c r="AF433" s="176"/>
      <c r="AG433" s="176"/>
      <c r="AH433" s="176"/>
      <c r="AI433" s="176"/>
      <c r="AJ433" s="176"/>
      <c r="AK433" s="176"/>
      <c r="AL433" s="176"/>
      <c r="AM433" s="176"/>
      <c r="AN433" s="176"/>
      <c r="AO433" s="176"/>
      <c r="AP433" s="176"/>
      <c r="AQ433" s="176"/>
      <c r="AR433" s="176"/>
      <c r="AS433" s="176"/>
      <c r="AT433" s="176"/>
      <c r="AU433" s="176"/>
      <c r="AV433" s="176"/>
      <c r="AW433" s="176"/>
      <c r="AX433" s="176"/>
      <c r="AY433" s="176"/>
      <c r="AZ433" s="176"/>
      <c r="BA433" s="176"/>
      <c r="BB433" s="176"/>
      <c r="BC433" s="176"/>
      <c r="BD433" s="176"/>
      <c r="BE433" s="176"/>
      <c r="BF433" s="176"/>
      <c r="BG433" s="176"/>
      <c r="BH433" s="176"/>
      <c r="BI433" s="176"/>
      <c r="BJ433" s="176"/>
      <c r="BK433" s="176"/>
      <c r="BL433" s="176"/>
      <c r="BM433" s="176"/>
      <c r="BN433" s="176"/>
      <c r="BO433" s="176"/>
      <c r="BP433" s="176"/>
      <c r="BQ433" s="176"/>
      <c r="BR433" s="176"/>
      <c r="BS433" s="176"/>
      <c r="BT433" s="176"/>
      <c r="BU433" s="176"/>
      <c r="BV433" s="176"/>
      <c r="BW433" s="176"/>
      <c r="BX433" s="176"/>
      <c r="BY433" s="176"/>
      <c r="BZ433" s="176"/>
      <c r="CA433" s="176"/>
      <c r="CB433" s="176"/>
      <c r="CC433" s="176"/>
      <c r="CD433" s="176"/>
      <c r="CE433" s="176"/>
      <c r="CF433" s="176"/>
      <c r="CG433" s="176"/>
      <c r="CH433" s="176"/>
    </row>
    <row r="434" spans="1:86" ht="21.4" customHeight="1" x14ac:dyDescent="0.35">
      <c r="A434" s="176"/>
      <c r="B434" s="176"/>
      <c r="C434" s="713"/>
      <c r="D434" s="176"/>
      <c r="E434" s="176"/>
      <c r="F434" s="176"/>
      <c r="G434" s="176"/>
      <c r="H434" s="176"/>
      <c r="I434" s="176"/>
      <c r="J434" s="176"/>
      <c r="K434" s="176"/>
      <c r="L434" s="176"/>
      <c r="M434" s="176"/>
      <c r="N434" s="176"/>
      <c r="O434" s="176"/>
      <c r="P434" s="176"/>
      <c r="Q434" s="176"/>
      <c r="R434" s="176"/>
      <c r="S434" s="176"/>
      <c r="T434" s="176"/>
      <c r="U434" s="176"/>
      <c r="V434" s="176"/>
      <c r="W434" s="176"/>
      <c r="X434" s="176"/>
      <c r="Y434" s="176"/>
      <c r="Z434" s="176"/>
      <c r="AA434" s="176"/>
      <c r="AB434" s="176"/>
      <c r="AC434" s="176"/>
      <c r="AD434" s="176"/>
      <c r="AE434" s="176"/>
      <c r="AF434" s="176"/>
      <c r="AG434" s="176"/>
      <c r="AH434" s="176"/>
      <c r="AI434" s="176"/>
      <c r="AJ434" s="176"/>
      <c r="AK434" s="176"/>
      <c r="AL434" s="176"/>
      <c r="AM434" s="176"/>
      <c r="AN434" s="176"/>
      <c r="AO434" s="176"/>
      <c r="AP434" s="176"/>
      <c r="AQ434" s="176"/>
      <c r="AR434" s="176"/>
      <c r="AS434" s="176"/>
      <c r="AT434" s="176"/>
      <c r="AU434" s="176"/>
      <c r="AV434" s="176"/>
      <c r="AW434" s="176"/>
      <c r="AX434" s="176"/>
      <c r="AY434" s="176"/>
      <c r="AZ434" s="176"/>
      <c r="BA434" s="176"/>
      <c r="BB434" s="176"/>
      <c r="BC434" s="176"/>
      <c r="BD434" s="176"/>
      <c r="BE434" s="176"/>
      <c r="BF434" s="176"/>
      <c r="BG434" s="176"/>
      <c r="BH434" s="176"/>
      <c r="BI434" s="176"/>
      <c r="BJ434" s="176"/>
      <c r="BK434" s="176"/>
      <c r="BL434" s="176"/>
      <c r="BM434" s="176"/>
      <c r="BN434" s="176"/>
      <c r="BO434" s="176"/>
      <c r="BP434" s="176"/>
      <c r="BQ434" s="176"/>
      <c r="BR434" s="176"/>
      <c r="BS434" s="176"/>
      <c r="BT434" s="176"/>
      <c r="BU434" s="176"/>
      <c r="BV434" s="176"/>
      <c r="BW434" s="176"/>
      <c r="BX434" s="176"/>
      <c r="BY434" s="176"/>
      <c r="BZ434" s="176"/>
      <c r="CA434" s="176"/>
      <c r="CB434" s="176"/>
      <c r="CC434" s="176"/>
      <c r="CD434" s="176"/>
      <c r="CE434" s="176"/>
      <c r="CF434" s="176"/>
      <c r="CG434" s="176"/>
      <c r="CH434" s="176"/>
    </row>
    <row r="435" spans="1:86" ht="21.4" customHeight="1" x14ac:dyDescent="0.35">
      <c r="A435" s="176"/>
      <c r="B435" s="176"/>
      <c r="C435" s="713"/>
      <c r="D435" s="176"/>
      <c r="E435" s="176"/>
      <c r="F435" s="176"/>
      <c r="G435" s="176"/>
      <c r="H435" s="176"/>
      <c r="I435" s="176"/>
      <c r="J435" s="176"/>
      <c r="K435" s="176"/>
      <c r="L435" s="176"/>
      <c r="M435" s="176"/>
      <c r="N435" s="176"/>
      <c r="O435" s="176"/>
      <c r="P435" s="176"/>
      <c r="Q435" s="176"/>
      <c r="R435" s="176"/>
      <c r="S435" s="176"/>
      <c r="T435" s="176"/>
      <c r="U435" s="176"/>
      <c r="V435" s="176"/>
      <c r="W435" s="176"/>
      <c r="X435" s="176"/>
      <c r="Y435" s="176"/>
      <c r="Z435" s="176"/>
      <c r="AA435" s="176"/>
      <c r="AB435" s="176"/>
      <c r="AC435" s="176"/>
      <c r="AD435" s="176"/>
      <c r="AE435" s="176"/>
      <c r="AF435" s="176"/>
      <c r="AG435" s="176"/>
      <c r="AH435" s="176"/>
      <c r="AI435" s="176"/>
      <c r="AJ435" s="176"/>
      <c r="AK435" s="176"/>
      <c r="AL435" s="176"/>
      <c r="AM435" s="176"/>
      <c r="AN435" s="176"/>
      <c r="AO435" s="176"/>
      <c r="AP435" s="176"/>
      <c r="AQ435" s="176"/>
      <c r="AR435" s="176"/>
      <c r="AS435" s="176"/>
      <c r="AT435" s="176"/>
      <c r="AU435" s="176"/>
      <c r="AV435" s="176"/>
      <c r="AW435" s="176"/>
      <c r="AX435" s="176"/>
      <c r="AY435" s="176"/>
      <c r="AZ435" s="176"/>
      <c r="BA435" s="176"/>
      <c r="BB435" s="176"/>
      <c r="BC435" s="176"/>
      <c r="BD435" s="176"/>
      <c r="BE435" s="176"/>
      <c r="BF435" s="176"/>
      <c r="BG435" s="176"/>
      <c r="BH435" s="176"/>
      <c r="BI435" s="176"/>
      <c r="BJ435" s="176"/>
      <c r="BK435" s="176"/>
      <c r="BL435" s="176"/>
      <c r="BM435" s="176"/>
      <c r="BN435" s="176"/>
      <c r="BO435" s="176"/>
      <c r="BP435" s="176"/>
      <c r="BQ435" s="176"/>
      <c r="BR435" s="176"/>
      <c r="BS435" s="176"/>
      <c r="BT435" s="176"/>
      <c r="BU435" s="176"/>
      <c r="BV435" s="176"/>
      <c r="BW435" s="176"/>
      <c r="BX435" s="176"/>
      <c r="BY435" s="176"/>
      <c r="BZ435" s="176"/>
      <c r="CA435" s="176"/>
      <c r="CB435" s="176"/>
      <c r="CC435" s="176"/>
      <c r="CD435" s="176"/>
      <c r="CE435" s="176"/>
      <c r="CF435" s="176"/>
      <c r="CG435" s="176"/>
      <c r="CH435" s="176"/>
    </row>
    <row r="436" spans="1:86" ht="21.4" customHeight="1" x14ac:dyDescent="0.35">
      <c r="A436" s="176"/>
      <c r="B436" s="176"/>
      <c r="C436" s="713"/>
      <c r="D436" s="176"/>
      <c r="E436" s="176"/>
      <c r="F436" s="176"/>
      <c r="G436" s="176"/>
      <c r="H436" s="176"/>
      <c r="I436" s="176"/>
      <c r="J436" s="176"/>
      <c r="K436" s="176"/>
      <c r="L436" s="176"/>
      <c r="M436" s="176"/>
      <c r="N436" s="176"/>
      <c r="O436" s="176"/>
      <c r="P436" s="176"/>
      <c r="Q436" s="176"/>
      <c r="R436" s="176"/>
      <c r="S436" s="176"/>
      <c r="T436" s="176"/>
      <c r="U436" s="176"/>
      <c r="V436" s="176"/>
      <c r="W436" s="176"/>
      <c r="X436" s="176"/>
      <c r="Y436" s="176"/>
      <c r="Z436" s="176"/>
      <c r="AA436" s="176"/>
      <c r="AB436" s="176"/>
      <c r="AC436" s="176"/>
      <c r="AD436" s="176"/>
      <c r="AE436" s="176"/>
      <c r="AF436" s="176"/>
      <c r="AG436" s="176"/>
      <c r="AH436" s="176"/>
      <c r="AI436" s="176"/>
      <c r="AJ436" s="176"/>
      <c r="AK436" s="176"/>
      <c r="AL436" s="176"/>
      <c r="AM436" s="176"/>
      <c r="AN436" s="176"/>
      <c r="AO436" s="176"/>
      <c r="AP436" s="176"/>
      <c r="AQ436" s="176"/>
      <c r="AR436" s="176"/>
      <c r="AS436" s="176"/>
      <c r="AT436" s="176"/>
      <c r="AU436" s="176"/>
      <c r="AV436" s="176"/>
      <c r="AW436" s="176"/>
      <c r="AX436" s="176"/>
      <c r="AY436" s="176"/>
      <c r="AZ436" s="176"/>
      <c r="BA436" s="176"/>
      <c r="BB436" s="176"/>
      <c r="BC436" s="176"/>
      <c r="BD436" s="176"/>
      <c r="BE436" s="176"/>
      <c r="BF436" s="176"/>
      <c r="BG436" s="176"/>
      <c r="BH436" s="176"/>
      <c r="BI436" s="176"/>
      <c r="BJ436" s="176"/>
      <c r="BK436" s="176"/>
      <c r="BL436" s="176"/>
      <c r="BM436" s="176"/>
      <c r="BN436" s="176"/>
      <c r="BO436" s="176"/>
      <c r="BP436" s="176"/>
      <c r="BQ436" s="176"/>
      <c r="BR436" s="176"/>
      <c r="BS436" s="176"/>
      <c r="BT436" s="176"/>
      <c r="BU436" s="176"/>
      <c r="BV436" s="176"/>
      <c r="BW436" s="176"/>
      <c r="BX436" s="176"/>
      <c r="BY436" s="176"/>
      <c r="BZ436" s="176"/>
      <c r="CA436" s="176"/>
      <c r="CB436" s="176"/>
      <c r="CC436" s="176"/>
      <c r="CD436" s="176"/>
      <c r="CE436" s="176"/>
      <c r="CF436" s="176"/>
      <c r="CG436" s="176"/>
      <c r="CH436" s="176"/>
    </row>
    <row r="437" spans="1:86" ht="21.4" customHeight="1" x14ac:dyDescent="0.35">
      <c r="A437" s="176"/>
      <c r="B437" s="176"/>
      <c r="C437" s="713"/>
      <c r="D437" s="176"/>
      <c r="E437" s="176"/>
      <c r="F437" s="176"/>
      <c r="G437" s="176"/>
      <c r="H437" s="176"/>
      <c r="I437" s="176"/>
      <c r="J437" s="176"/>
      <c r="K437" s="176"/>
      <c r="L437" s="176"/>
      <c r="M437" s="176"/>
      <c r="N437" s="176"/>
      <c r="O437" s="176"/>
      <c r="P437" s="176"/>
      <c r="Q437" s="176"/>
      <c r="R437" s="176"/>
      <c r="S437" s="176"/>
      <c r="T437" s="176"/>
      <c r="U437" s="176"/>
      <c r="V437" s="176"/>
      <c r="W437" s="176"/>
      <c r="X437" s="176"/>
      <c r="Y437" s="176"/>
      <c r="Z437" s="176"/>
      <c r="AA437" s="176"/>
      <c r="AB437" s="176"/>
      <c r="AC437" s="176"/>
      <c r="AD437" s="176"/>
      <c r="AE437" s="176"/>
      <c r="AF437" s="176"/>
      <c r="AG437" s="176"/>
      <c r="AH437" s="176"/>
      <c r="AI437" s="176"/>
      <c r="AJ437" s="176"/>
      <c r="AK437" s="176"/>
      <c r="AL437" s="176"/>
      <c r="AM437" s="176"/>
      <c r="AN437" s="176"/>
      <c r="AO437" s="176"/>
      <c r="AP437" s="176"/>
      <c r="AQ437" s="176"/>
      <c r="AR437" s="176"/>
      <c r="AS437" s="176"/>
      <c r="AT437" s="176"/>
      <c r="AU437" s="176"/>
      <c r="AV437" s="176"/>
      <c r="AW437" s="176"/>
      <c r="AX437" s="176"/>
      <c r="AY437" s="176"/>
      <c r="AZ437" s="176"/>
      <c r="BA437" s="176"/>
      <c r="BB437" s="176"/>
      <c r="BC437" s="176"/>
      <c r="BD437" s="176"/>
      <c r="BE437" s="176"/>
      <c r="BF437" s="176"/>
      <c r="BG437" s="176"/>
      <c r="BH437" s="176"/>
      <c r="BI437" s="176"/>
      <c r="BJ437" s="176"/>
      <c r="BK437" s="176"/>
      <c r="BL437" s="176"/>
      <c r="BM437" s="176"/>
      <c r="BN437" s="176"/>
      <c r="BO437" s="176"/>
      <c r="BP437" s="176"/>
      <c r="BQ437" s="176"/>
      <c r="BR437" s="176"/>
      <c r="BS437" s="176"/>
      <c r="BT437" s="176"/>
      <c r="BU437" s="176"/>
      <c r="BV437" s="176"/>
      <c r="BW437" s="176"/>
      <c r="BX437" s="176"/>
      <c r="BY437" s="176"/>
      <c r="BZ437" s="176"/>
      <c r="CA437" s="176"/>
      <c r="CB437" s="176"/>
      <c r="CC437" s="176"/>
      <c r="CD437" s="176"/>
      <c r="CE437" s="176"/>
      <c r="CF437" s="176"/>
      <c r="CG437" s="176"/>
      <c r="CH437" s="176"/>
    </row>
    <row r="438" spans="1:86" ht="21.4" customHeight="1" x14ac:dyDescent="0.35">
      <c r="A438" s="176"/>
      <c r="B438" s="176"/>
      <c r="C438" s="713"/>
      <c r="D438" s="176"/>
      <c r="E438" s="176"/>
      <c r="F438" s="176"/>
      <c r="G438" s="176"/>
      <c r="H438" s="176"/>
      <c r="I438" s="176"/>
      <c r="J438" s="176"/>
      <c r="K438" s="176"/>
      <c r="L438" s="176"/>
      <c r="M438" s="176"/>
      <c r="N438" s="176"/>
      <c r="O438" s="176"/>
      <c r="P438" s="176"/>
      <c r="Q438" s="176"/>
      <c r="R438" s="176"/>
      <c r="S438" s="176"/>
      <c r="T438" s="176"/>
      <c r="U438" s="176"/>
      <c r="V438" s="176"/>
      <c r="W438" s="176"/>
      <c r="X438" s="176"/>
      <c r="Y438" s="176"/>
      <c r="Z438" s="176"/>
      <c r="AA438" s="176"/>
      <c r="AB438" s="176"/>
      <c r="AC438" s="176"/>
      <c r="AD438" s="176"/>
      <c r="AE438" s="176"/>
      <c r="AF438" s="176"/>
      <c r="AG438" s="176"/>
      <c r="AH438" s="176"/>
      <c r="AI438" s="176"/>
      <c r="AJ438" s="176"/>
      <c r="AK438" s="176"/>
      <c r="AL438" s="176"/>
      <c r="AM438" s="176"/>
      <c r="AN438" s="176"/>
      <c r="AO438" s="176"/>
      <c r="AP438" s="176"/>
      <c r="AQ438" s="176"/>
      <c r="AR438" s="176"/>
      <c r="AS438" s="176"/>
      <c r="AT438" s="176"/>
      <c r="AU438" s="176"/>
      <c r="AV438" s="176"/>
      <c r="AW438" s="176"/>
      <c r="AX438" s="176"/>
      <c r="AY438" s="176"/>
      <c r="AZ438" s="176"/>
      <c r="BA438" s="176"/>
      <c r="BB438" s="176"/>
      <c r="BC438" s="176"/>
      <c r="BD438" s="176"/>
      <c r="BE438" s="176"/>
      <c r="BF438" s="176"/>
      <c r="BG438" s="176"/>
      <c r="BH438" s="176"/>
      <c r="BI438" s="176"/>
      <c r="BJ438" s="176"/>
      <c r="BK438" s="176"/>
      <c r="BL438" s="176"/>
      <c r="BM438" s="176"/>
      <c r="BN438" s="176"/>
      <c r="BO438" s="176"/>
      <c r="BP438" s="176"/>
      <c r="BQ438" s="176"/>
      <c r="BR438" s="176"/>
      <c r="BS438" s="176"/>
      <c r="BT438" s="176"/>
      <c r="BU438" s="176"/>
      <c r="BV438" s="176"/>
      <c r="BW438" s="176"/>
      <c r="BX438" s="176"/>
      <c r="BY438" s="176"/>
      <c r="BZ438" s="176"/>
      <c r="CA438" s="176"/>
      <c r="CB438" s="176"/>
      <c r="CC438" s="176"/>
      <c r="CD438" s="176"/>
      <c r="CE438" s="176"/>
      <c r="CF438" s="176"/>
      <c r="CG438" s="176"/>
      <c r="CH438" s="176"/>
    </row>
    <row r="439" spans="1:86" ht="21.4" customHeight="1" x14ac:dyDescent="0.35">
      <c r="A439" s="176"/>
      <c r="B439" s="176"/>
      <c r="C439" s="713"/>
      <c r="D439" s="176"/>
      <c r="E439" s="176"/>
      <c r="F439" s="176"/>
      <c r="G439" s="176"/>
      <c r="H439" s="176"/>
      <c r="I439" s="176"/>
      <c r="J439" s="176"/>
      <c r="K439" s="176"/>
      <c r="L439" s="176"/>
      <c r="M439" s="176"/>
      <c r="N439" s="176"/>
      <c r="O439" s="176"/>
      <c r="P439" s="176"/>
      <c r="Q439" s="176"/>
      <c r="R439" s="176"/>
      <c r="S439" s="176"/>
      <c r="T439" s="176"/>
      <c r="U439" s="176"/>
      <c r="V439" s="176"/>
      <c r="W439" s="176"/>
      <c r="X439" s="176"/>
      <c r="Y439" s="176"/>
      <c r="Z439" s="176"/>
      <c r="AA439" s="176"/>
      <c r="AB439" s="176"/>
      <c r="AC439" s="176"/>
      <c r="AD439" s="176"/>
      <c r="AE439" s="176"/>
      <c r="AF439" s="176"/>
      <c r="AG439" s="176"/>
      <c r="AH439" s="176"/>
      <c r="AI439" s="176"/>
      <c r="AJ439" s="176"/>
      <c r="AK439" s="176"/>
      <c r="AL439" s="176"/>
      <c r="AM439" s="176"/>
      <c r="AN439" s="176"/>
      <c r="AO439" s="176"/>
      <c r="AP439" s="176"/>
      <c r="AQ439" s="176"/>
      <c r="AR439" s="176"/>
      <c r="AS439" s="176"/>
      <c r="AT439" s="176"/>
      <c r="AU439" s="176"/>
      <c r="AV439" s="176"/>
      <c r="AW439" s="176"/>
      <c r="AX439" s="176"/>
      <c r="AY439" s="176"/>
      <c r="AZ439" s="176"/>
      <c r="BA439" s="176"/>
      <c r="BB439" s="176"/>
      <c r="BC439" s="176"/>
      <c r="BD439" s="176"/>
      <c r="BE439" s="176"/>
      <c r="BF439" s="176"/>
      <c r="BG439" s="176"/>
      <c r="BH439" s="176"/>
      <c r="BI439" s="176"/>
      <c r="BJ439" s="176"/>
      <c r="BK439" s="176"/>
      <c r="BL439" s="176"/>
      <c r="BM439" s="176"/>
      <c r="BN439" s="176"/>
      <c r="BO439" s="176"/>
      <c r="BP439" s="176"/>
      <c r="BQ439" s="176"/>
      <c r="BR439" s="176"/>
      <c r="BS439" s="176"/>
      <c r="BT439" s="176"/>
      <c r="BU439" s="176"/>
      <c r="BV439" s="176"/>
      <c r="BW439" s="176"/>
      <c r="BX439" s="176"/>
      <c r="BY439" s="176"/>
      <c r="BZ439" s="176"/>
      <c r="CA439" s="176"/>
      <c r="CB439" s="176"/>
      <c r="CC439" s="176"/>
      <c r="CD439" s="176"/>
      <c r="CE439" s="176"/>
      <c r="CF439" s="176"/>
      <c r="CG439" s="176"/>
      <c r="CH439" s="176"/>
    </row>
    <row r="440" spans="1:86" ht="21.4" customHeight="1" x14ac:dyDescent="0.35">
      <c r="A440" s="176"/>
      <c r="B440" s="176"/>
      <c r="C440" s="713"/>
      <c r="D440" s="176"/>
      <c r="E440" s="176"/>
      <c r="F440" s="176"/>
      <c r="G440" s="176"/>
      <c r="H440" s="176"/>
      <c r="I440" s="176"/>
      <c r="J440" s="176"/>
      <c r="K440" s="176"/>
      <c r="L440" s="176"/>
      <c r="M440" s="176"/>
      <c r="N440" s="176"/>
      <c r="O440" s="176"/>
      <c r="P440" s="176"/>
      <c r="Q440" s="176"/>
      <c r="R440" s="176"/>
      <c r="S440" s="176"/>
      <c r="T440" s="176"/>
      <c r="U440" s="176"/>
      <c r="V440" s="176"/>
      <c r="W440" s="176"/>
      <c r="X440" s="176"/>
      <c r="Y440" s="176"/>
      <c r="Z440" s="176"/>
      <c r="AA440" s="176"/>
      <c r="AB440" s="176"/>
      <c r="AC440" s="176"/>
      <c r="AD440" s="176"/>
      <c r="AE440" s="176"/>
      <c r="AF440" s="176"/>
      <c r="AG440" s="176"/>
      <c r="AH440" s="176"/>
      <c r="AI440" s="176"/>
      <c r="AJ440" s="176"/>
      <c r="AK440" s="176"/>
      <c r="AL440" s="176"/>
      <c r="AM440" s="176"/>
      <c r="AN440" s="176"/>
      <c r="AO440" s="176"/>
      <c r="AP440" s="176"/>
      <c r="AQ440" s="176"/>
      <c r="AR440" s="176"/>
      <c r="AS440" s="176"/>
      <c r="AT440" s="176"/>
      <c r="AU440" s="176"/>
      <c r="AV440" s="176"/>
      <c r="AW440" s="176"/>
      <c r="AX440" s="176"/>
      <c r="AY440" s="176"/>
      <c r="AZ440" s="176"/>
      <c r="BA440" s="176"/>
      <c r="BB440" s="176"/>
      <c r="BC440" s="176"/>
      <c r="BD440" s="176"/>
      <c r="BE440" s="176"/>
      <c r="BF440" s="176"/>
      <c r="BG440" s="176"/>
      <c r="BH440" s="176"/>
      <c r="BI440" s="176"/>
      <c r="BJ440" s="176"/>
      <c r="BK440" s="176"/>
      <c r="BL440" s="176"/>
      <c r="BM440" s="176"/>
      <c r="BN440" s="176"/>
      <c r="BO440" s="176"/>
      <c r="BP440" s="176"/>
      <c r="BQ440" s="176"/>
      <c r="BR440" s="176"/>
      <c r="BS440" s="176"/>
      <c r="BT440" s="176"/>
      <c r="BU440" s="176"/>
      <c r="BV440" s="176"/>
      <c r="BW440" s="176"/>
      <c r="BX440" s="176"/>
      <c r="BY440" s="176"/>
      <c r="BZ440" s="176"/>
      <c r="CA440" s="176"/>
      <c r="CB440" s="176"/>
      <c r="CC440" s="176"/>
      <c r="CD440" s="176"/>
      <c r="CE440" s="176"/>
      <c r="CF440" s="176"/>
      <c r="CG440" s="176"/>
      <c r="CH440" s="176"/>
    </row>
    <row r="441" spans="1:86" ht="21.4" customHeight="1" x14ac:dyDescent="0.35">
      <c r="A441" s="176"/>
      <c r="B441" s="176"/>
      <c r="C441" s="713"/>
      <c r="D441" s="176"/>
      <c r="E441" s="176"/>
      <c r="F441" s="176"/>
      <c r="G441" s="176"/>
      <c r="H441" s="176"/>
      <c r="I441" s="176"/>
      <c r="J441" s="176"/>
      <c r="K441" s="176"/>
      <c r="L441" s="176"/>
      <c r="M441" s="176"/>
      <c r="N441" s="176"/>
      <c r="O441" s="176"/>
      <c r="P441" s="176"/>
      <c r="Q441" s="176"/>
      <c r="R441" s="176"/>
      <c r="S441" s="176"/>
      <c r="T441" s="176"/>
      <c r="U441" s="176"/>
      <c r="V441" s="176"/>
      <c r="W441" s="176"/>
      <c r="X441" s="176"/>
      <c r="Y441" s="176"/>
      <c r="Z441" s="176"/>
      <c r="AA441" s="176"/>
      <c r="AB441" s="176"/>
      <c r="AC441" s="176"/>
      <c r="AD441" s="176"/>
      <c r="AE441" s="176"/>
      <c r="AF441" s="176"/>
      <c r="AG441" s="176"/>
      <c r="AH441" s="176"/>
      <c r="AI441" s="176"/>
      <c r="AJ441" s="176"/>
      <c r="AK441" s="176"/>
      <c r="AL441" s="176"/>
      <c r="AM441" s="176"/>
      <c r="AN441" s="176"/>
      <c r="AO441" s="176"/>
      <c r="AP441" s="176"/>
      <c r="AQ441" s="176"/>
      <c r="AR441" s="176"/>
      <c r="AS441" s="176"/>
      <c r="AT441" s="176"/>
      <c r="AU441" s="176"/>
      <c r="AV441" s="176"/>
      <c r="AW441" s="176"/>
      <c r="AX441" s="176"/>
      <c r="AY441" s="176"/>
      <c r="AZ441" s="176"/>
      <c r="BA441" s="176"/>
      <c r="BB441" s="176"/>
      <c r="BC441" s="176"/>
      <c r="BD441" s="176"/>
      <c r="BE441" s="176"/>
      <c r="BF441" s="176"/>
      <c r="BG441" s="176"/>
      <c r="BH441" s="176"/>
      <c r="BI441" s="176"/>
      <c r="BJ441" s="176"/>
      <c r="BK441" s="176"/>
      <c r="BL441" s="176"/>
      <c r="BM441" s="176"/>
      <c r="BN441" s="176"/>
      <c r="BO441" s="176"/>
      <c r="BP441" s="176"/>
      <c r="BQ441" s="176"/>
      <c r="BR441" s="176"/>
      <c r="BS441" s="176"/>
      <c r="BT441" s="176"/>
      <c r="BU441" s="176"/>
      <c r="BV441" s="176"/>
      <c r="BW441" s="176"/>
      <c r="BX441" s="176"/>
      <c r="BY441" s="176"/>
      <c r="BZ441" s="176"/>
      <c r="CA441" s="176"/>
      <c r="CB441" s="176"/>
      <c r="CC441" s="176"/>
      <c r="CD441" s="176"/>
      <c r="CE441" s="176"/>
      <c r="CF441" s="176"/>
      <c r="CG441" s="176"/>
      <c r="CH441" s="176"/>
    </row>
    <row r="442" spans="1:86" ht="21.4" customHeight="1" x14ac:dyDescent="0.35">
      <c r="A442" s="176"/>
      <c r="B442" s="176"/>
      <c r="C442" s="713"/>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c r="Z442" s="176"/>
      <c r="AA442" s="176"/>
      <c r="AB442" s="176"/>
      <c r="AC442" s="176"/>
      <c r="AD442" s="176"/>
      <c r="AE442" s="176"/>
      <c r="AF442" s="176"/>
      <c r="AG442" s="176"/>
      <c r="AH442" s="176"/>
      <c r="AI442" s="176"/>
      <c r="AJ442" s="176"/>
      <c r="AK442" s="176"/>
      <c r="AL442" s="176"/>
      <c r="AM442" s="176"/>
      <c r="AN442" s="176"/>
      <c r="AO442" s="176"/>
      <c r="AP442" s="176"/>
      <c r="AQ442" s="176"/>
      <c r="AR442" s="176"/>
      <c r="AS442" s="176"/>
      <c r="AT442" s="176"/>
      <c r="AU442" s="176"/>
      <c r="AV442" s="176"/>
      <c r="AW442" s="176"/>
      <c r="AX442" s="176"/>
      <c r="AY442" s="176"/>
      <c r="AZ442" s="176"/>
      <c r="BA442" s="176"/>
      <c r="BB442" s="176"/>
      <c r="BC442" s="176"/>
      <c r="BD442" s="176"/>
      <c r="BE442" s="176"/>
      <c r="BF442" s="176"/>
      <c r="BG442" s="176"/>
      <c r="BH442" s="176"/>
      <c r="BI442" s="176"/>
      <c r="BJ442" s="176"/>
      <c r="BK442" s="176"/>
      <c r="BL442" s="176"/>
      <c r="BM442" s="176"/>
      <c r="BN442" s="176"/>
      <c r="BO442" s="176"/>
      <c r="BP442" s="176"/>
      <c r="BQ442" s="176"/>
      <c r="BR442" s="176"/>
      <c r="BS442" s="176"/>
      <c r="BT442" s="176"/>
      <c r="BU442" s="176"/>
      <c r="BV442" s="176"/>
      <c r="BW442" s="176"/>
      <c r="BX442" s="176"/>
      <c r="BY442" s="176"/>
      <c r="BZ442" s="176"/>
      <c r="CA442" s="176"/>
      <c r="CB442" s="176"/>
      <c r="CC442" s="176"/>
      <c r="CD442" s="176"/>
      <c r="CE442" s="176"/>
      <c r="CF442" s="176"/>
      <c r="CG442" s="176"/>
      <c r="CH442" s="176"/>
    </row>
    <row r="443" spans="1:86" ht="21.4" customHeight="1" x14ac:dyDescent="0.35">
      <c r="A443" s="176"/>
      <c r="B443" s="176"/>
      <c r="C443" s="713"/>
      <c r="D443" s="176"/>
      <c r="E443" s="176"/>
      <c r="F443" s="176"/>
      <c r="G443" s="176"/>
      <c r="H443" s="176"/>
      <c r="I443" s="176"/>
      <c r="J443" s="176"/>
      <c r="K443" s="176"/>
      <c r="L443" s="176"/>
      <c r="M443" s="176"/>
      <c r="N443" s="176"/>
      <c r="O443" s="176"/>
      <c r="P443" s="176"/>
      <c r="Q443" s="176"/>
      <c r="R443" s="176"/>
      <c r="S443" s="176"/>
      <c r="T443" s="176"/>
      <c r="U443" s="176"/>
      <c r="V443" s="176"/>
      <c r="W443" s="176"/>
      <c r="X443" s="176"/>
      <c r="Y443" s="176"/>
      <c r="Z443" s="176"/>
      <c r="AA443" s="176"/>
      <c r="AB443" s="176"/>
      <c r="AC443" s="176"/>
      <c r="AD443" s="176"/>
      <c r="AE443" s="176"/>
      <c r="AF443" s="176"/>
      <c r="AG443" s="176"/>
      <c r="AH443" s="176"/>
      <c r="AI443" s="176"/>
      <c r="AJ443" s="176"/>
      <c r="AK443" s="176"/>
      <c r="AL443" s="176"/>
      <c r="AM443" s="176"/>
      <c r="AN443" s="176"/>
      <c r="AO443" s="176"/>
      <c r="AP443" s="176"/>
      <c r="AQ443" s="176"/>
      <c r="AR443" s="176"/>
      <c r="AS443" s="176"/>
      <c r="AT443" s="176"/>
      <c r="AU443" s="176"/>
      <c r="AV443" s="176"/>
      <c r="AW443" s="176"/>
      <c r="AX443" s="176"/>
      <c r="AY443" s="176"/>
      <c r="AZ443" s="176"/>
      <c r="BA443" s="176"/>
      <c r="BB443" s="176"/>
      <c r="BC443" s="176"/>
      <c r="BD443" s="176"/>
      <c r="BE443" s="176"/>
      <c r="BF443" s="176"/>
      <c r="BG443" s="176"/>
      <c r="BH443" s="176"/>
      <c r="BI443" s="176"/>
      <c r="BJ443" s="176"/>
      <c r="BK443" s="176"/>
      <c r="BL443" s="176"/>
      <c r="BM443" s="176"/>
      <c r="BN443" s="176"/>
      <c r="BO443" s="176"/>
      <c r="BP443" s="176"/>
      <c r="BQ443" s="176"/>
      <c r="BR443" s="176"/>
      <c r="BS443" s="176"/>
      <c r="BT443" s="176"/>
      <c r="BU443" s="176"/>
      <c r="BV443" s="176"/>
      <c r="BW443" s="176"/>
      <c r="BX443" s="176"/>
      <c r="BY443" s="176"/>
      <c r="BZ443" s="176"/>
      <c r="CA443" s="176"/>
      <c r="CB443" s="176"/>
      <c r="CC443" s="176"/>
      <c r="CD443" s="176"/>
      <c r="CE443" s="176"/>
      <c r="CF443" s="176"/>
      <c r="CG443" s="176"/>
      <c r="CH443" s="176"/>
    </row>
    <row r="444" spans="1:86" ht="21.4" customHeight="1" x14ac:dyDescent="0.35">
      <c r="A444" s="176"/>
      <c r="B444" s="176"/>
      <c r="C444" s="713"/>
      <c r="D444" s="176"/>
      <c r="E444" s="176"/>
      <c r="F444" s="176"/>
      <c r="G444" s="176"/>
      <c r="H444" s="176"/>
      <c r="I444" s="176"/>
      <c r="J444" s="176"/>
      <c r="K444" s="176"/>
      <c r="L444" s="176"/>
      <c r="M444" s="176"/>
      <c r="N444" s="176"/>
      <c r="O444" s="176"/>
      <c r="P444" s="176"/>
      <c r="Q444" s="176"/>
      <c r="R444" s="176"/>
      <c r="S444" s="176"/>
      <c r="T444" s="176"/>
      <c r="U444" s="176"/>
      <c r="V444" s="176"/>
      <c r="W444" s="176"/>
      <c r="X444" s="176"/>
      <c r="Y444" s="176"/>
      <c r="Z444" s="176"/>
      <c r="AA444" s="176"/>
      <c r="AB444" s="176"/>
      <c r="AC444" s="176"/>
      <c r="AD444" s="176"/>
      <c r="AE444" s="176"/>
      <c r="AF444" s="176"/>
      <c r="AG444" s="176"/>
      <c r="AH444" s="176"/>
      <c r="AI444" s="176"/>
      <c r="AJ444" s="176"/>
      <c r="AK444" s="176"/>
      <c r="AL444" s="176"/>
      <c r="AM444" s="176"/>
      <c r="AN444" s="176"/>
      <c r="AO444" s="176"/>
      <c r="AP444" s="176"/>
      <c r="AQ444" s="176"/>
      <c r="AR444" s="176"/>
      <c r="AS444" s="176"/>
      <c r="AT444" s="176"/>
      <c r="AU444" s="176"/>
      <c r="AV444" s="176"/>
      <c r="AW444" s="176"/>
      <c r="AX444" s="176"/>
      <c r="AY444" s="176"/>
      <c r="AZ444" s="176"/>
      <c r="BA444" s="176"/>
      <c r="BB444" s="176"/>
      <c r="BC444" s="176"/>
      <c r="BD444" s="176"/>
      <c r="BE444" s="176"/>
      <c r="BF444" s="176"/>
      <c r="BG444" s="176"/>
      <c r="BH444" s="176"/>
      <c r="BI444" s="176"/>
      <c r="BJ444" s="176"/>
      <c r="BK444" s="176"/>
      <c r="BL444" s="176"/>
      <c r="BM444" s="176"/>
      <c r="BN444" s="176"/>
      <c r="BO444" s="176"/>
      <c r="BP444" s="176"/>
      <c r="BQ444" s="176"/>
      <c r="BR444" s="176"/>
      <c r="BS444" s="176"/>
      <c r="BT444" s="176"/>
      <c r="BU444" s="176"/>
      <c r="BV444" s="176"/>
      <c r="BW444" s="176"/>
      <c r="BX444" s="176"/>
      <c r="BY444" s="176"/>
      <c r="BZ444" s="176"/>
      <c r="CA444" s="176"/>
      <c r="CB444" s="176"/>
      <c r="CC444" s="176"/>
      <c r="CD444" s="176"/>
      <c r="CE444" s="176"/>
      <c r="CF444" s="176"/>
      <c r="CG444" s="176"/>
      <c r="CH444" s="176"/>
    </row>
    <row r="445" spans="1:86" ht="21.4" customHeight="1" x14ac:dyDescent="0.35">
      <c r="A445" s="176"/>
      <c r="B445" s="176"/>
      <c r="C445" s="713"/>
      <c r="D445" s="176"/>
      <c r="E445" s="176"/>
      <c r="F445" s="176"/>
      <c r="G445" s="176"/>
      <c r="H445" s="176"/>
      <c r="I445" s="176"/>
      <c r="J445" s="176"/>
      <c r="K445" s="176"/>
      <c r="L445" s="176"/>
      <c r="M445" s="176"/>
      <c r="N445" s="176"/>
      <c r="O445" s="176"/>
      <c r="P445" s="176"/>
      <c r="Q445" s="176"/>
      <c r="R445" s="176"/>
      <c r="S445" s="176"/>
      <c r="T445" s="176"/>
      <c r="U445" s="176"/>
      <c r="V445" s="176"/>
      <c r="W445" s="176"/>
      <c r="X445" s="176"/>
      <c r="Y445" s="176"/>
      <c r="Z445" s="176"/>
      <c r="AA445" s="176"/>
      <c r="AB445" s="176"/>
      <c r="AC445" s="176"/>
      <c r="AD445" s="176"/>
      <c r="AE445" s="176"/>
      <c r="AF445" s="176"/>
      <c r="AG445" s="176"/>
      <c r="AH445" s="176"/>
      <c r="AI445" s="176"/>
      <c r="AJ445" s="176"/>
      <c r="AK445" s="176"/>
      <c r="AL445" s="176"/>
      <c r="AM445" s="176"/>
      <c r="AN445" s="176"/>
      <c r="AO445" s="176"/>
      <c r="AP445" s="176"/>
      <c r="AQ445" s="176"/>
      <c r="AR445" s="176"/>
      <c r="AS445" s="176"/>
      <c r="AT445" s="176"/>
      <c r="AU445" s="176"/>
      <c r="AV445" s="176"/>
      <c r="AW445" s="176"/>
      <c r="AX445" s="176"/>
      <c r="AY445" s="176"/>
      <c r="AZ445" s="176"/>
      <c r="BA445" s="176"/>
      <c r="BB445" s="176"/>
      <c r="BC445" s="176"/>
      <c r="BD445" s="176"/>
      <c r="BE445" s="176"/>
      <c r="BF445" s="176"/>
      <c r="BG445" s="176"/>
      <c r="BH445" s="176"/>
      <c r="BI445" s="176"/>
      <c r="BJ445" s="176"/>
      <c r="BK445" s="176"/>
      <c r="BL445" s="176"/>
      <c r="BM445" s="176"/>
      <c r="BN445" s="176"/>
      <c r="BO445" s="176"/>
      <c r="BP445" s="176"/>
      <c r="BQ445" s="176"/>
      <c r="BR445" s="176"/>
      <c r="BS445" s="176"/>
      <c r="BT445" s="176"/>
      <c r="BU445" s="176"/>
      <c r="BV445" s="176"/>
      <c r="BW445" s="176"/>
      <c r="BX445" s="176"/>
      <c r="BY445" s="176"/>
      <c r="BZ445" s="176"/>
      <c r="CA445" s="176"/>
      <c r="CB445" s="176"/>
      <c r="CC445" s="176"/>
      <c r="CD445" s="176"/>
      <c r="CE445" s="176"/>
      <c r="CF445" s="176"/>
      <c r="CG445" s="176"/>
      <c r="CH445" s="176"/>
    </row>
    <row r="446" spans="1:86" ht="21.4" customHeight="1" x14ac:dyDescent="0.35">
      <c r="A446" s="176"/>
      <c r="B446" s="176"/>
      <c r="C446" s="713"/>
      <c r="D446" s="176"/>
      <c r="E446" s="176"/>
      <c r="F446" s="176"/>
      <c r="G446" s="176"/>
      <c r="H446" s="176"/>
      <c r="I446" s="176"/>
      <c r="J446" s="176"/>
      <c r="K446" s="176"/>
      <c r="L446" s="176"/>
      <c r="M446" s="176"/>
      <c r="N446" s="176"/>
      <c r="O446" s="176"/>
      <c r="P446" s="176"/>
      <c r="Q446" s="176"/>
      <c r="R446" s="176"/>
      <c r="S446" s="176"/>
      <c r="T446" s="176"/>
      <c r="U446" s="176"/>
      <c r="V446" s="176"/>
      <c r="W446" s="176"/>
      <c r="X446" s="176"/>
      <c r="Y446" s="176"/>
      <c r="Z446" s="176"/>
      <c r="AA446" s="176"/>
      <c r="AB446" s="176"/>
      <c r="AC446" s="176"/>
      <c r="AD446" s="176"/>
      <c r="AE446" s="176"/>
      <c r="AF446" s="176"/>
      <c r="AG446" s="176"/>
      <c r="AH446" s="176"/>
      <c r="AI446" s="176"/>
      <c r="AJ446" s="176"/>
      <c r="AK446" s="176"/>
      <c r="AL446" s="176"/>
      <c r="AM446" s="176"/>
      <c r="AN446" s="176"/>
      <c r="AO446" s="176"/>
      <c r="AP446" s="176"/>
      <c r="AQ446" s="176"/>
      <c r="AR446" s="176"/>
      <c r="AS446" s="176"/>
      <c r="AT446" s="176"/>
      <c r="AU446" s="176"/>
      <c r="AV446" s="176"/>
      <c r="AW446" s="176"/>
      <c r="AX446" s="176"/>
      <c r="AY446" s="176"/>
      <c r="AZ446" s="176"/>
      <c r="BA446" s="176"/>
      <c r="BB446" s="176"/>
      <c r="BC446" s="176"/>
      <c r="BD446" s="176"/>
      <c r="BE446" s="176"/>
      <c r="BF446" s="176"/>
      <c r="BG446" s="176"/>
      <c r="BH446" s="176"/>
      <c r="BI446" s="176"/>
      <c r="BJ446" s="176"/>
      <c r="BK446" s="176"/>
      <c r="BL446" s="176"/>
      <c r="BM446" s="176"/>
      <c r="BN446" s="176"/>
      <c r="BO446" s="176"/>
      <c r="BP446" s="176"/>
      <c r="BQ446" s="176"/>
      <c r="BR446" s="176"/>
      <c r="BS446" s="176"/>
      <c r="BT446" s="176"/>
      <c r="BU446" s="176"/>
      <c r="BV446" s="176"/>
      <c r="BW446" s="176"/>
      <c r="BX446" s="176"/>
      <c r="BY446" s="176"/>
      <c r="BZ446" s="176"/>
      <c r="CA446" s="176"/>
      <c r="CB446" s="176"/>
      <c r="CC446" s="176"/>
      <c r="CD446" s="176"/>
      <c r="CE446" s="176"/>
      <c r="CF446" s="176"/>
      <c r="CG446" s="176"/>
      <c r="CH446" s="176"/>
    </row>
    <row r="447" spans="1:86" ht="21.4" customHeight="1" x14ac:dyDescent="0.35">
      <c r="A447" s="176"/>
      <c r="B447" s="176"/>
      <c r="C447" s="713"/>
      <c r="D447" s="176"/>
      <c r="E447" s="176"/>
      <c r="F447" s="176"/>
      <c r="G447" s="176"/>
      <c r="H447" s="176"/>
      <c r="I447" s="176"/>
      <c r="J447" s="176"/>
      <c r="K447" s="176"/>
      <c r="L447" s="176"/>
      <c r="M447" s="176"/>
      <c r="N447" s="176"/>
      <c r="O447" s="176"/>
      <c r="P447" s="176"/>
      <c r="Q447" s="176"/>
      <c r="R447" s="176"/>
      <c r="S447" s="176"/>
      <c r="T447" s="176"/>
      <c r="U447" s="176"/>
      <c r="V447" s="176"/>
      <c r="W447" s="176"/>
      <c r="X447" s="176"/>
      <c r="Y447" s="176"/>
      <c r="Z447" s="176"/>
      <c r="AA447" s="176"/>
      <c r="AB447" s="176"/>
      <c r="AC447" s="176"/>
      <c r="AD447" s="176"/>
      <c r="AE447" s="176"/>
      <c r="AF447" s="176"/>
      <c r="AG447" s="176"/>
      <c r="AH447" s="176"/>
      <c r="AI447" s="176"/>
      <c r="AJ447" s="176"/>
      <c r="AK447" s="176"/>
      <c r="AL447" s="176"/>
      <c r="AM447" s="176"/>
      <c r="AN447" s="176"/>
      <c r="AO447" s="176"/>
      <c r="AP447" s="176"/>
      <c r="AQ447" s="176"/>
      <c r="AR447" s="176"/>
      <c r="AS447" s="176"/>
      <c r="AT447" s="176"/>
      <c r="AU447" s="176"/>
      <c r="AV447" s="176"/>
      <c r="AW447" s="176"/>
      <c r="AX447" s="176"/>
      <c r="AY447" s="176"/>
      <c r="AZ447" s="176"/>
      <c r="BA447" s="176"/>
      <c r="BB447" s="176"/>
      <c r="BC447" s="176"/>
      <c r="BD447" s="176"/>
      <c r="BE447" s="176"/>
      <c r="BF447" s="176"/>
      <c r="BG447" s="176"/>
      <c r="BH447" s="176"/>
      <c r="BI447" s="176"/>
      <c r="BJ447" s="176"/>
      <c r="BK447" s="176"/>
      <c r="BL447" s="176"/>
      <c r="BM447" s="176"/>
      <c r="BN447" s="176"/>
      <c r="BO447" s="176"/>
      <c r="BP447" s="176"/>
      <c r="BQ447" s="176"/>
      <c r="BR447" s="176"/>
      <c r="BS447" s="176"/>
      <c r="BT447" s="176"/>
      <c r="BU447" s="176"/>
      <c r="BV447" s="176"/>
      <c r="BW447" s="176"/>
      <c r="BX447" s="176"/>
      <c r="BY447" s="176"/>
      <c r="BZ447" s="176"/>
      <c r="CA447" s="176"/>
      <c r="CB447" s="176"/>
      <c r="CC447" s="176"/>
      <c r="CD447" s="176"/>
      <c r="CE447" s="176"/>
      <c r="CF447" s="176"/>
      <c r="CG447" s="176"/>
      <c r="CH447" s="176"/>
    </row>
    <row r="448" spans="1:86" ht="21.4" customHeight="1" x14ac:dyDescent="0.35">
      <c r="A448" s="176"/>
      <c r="B448" s="176"/>
      <c r="C448" s="713"/>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c r="Z448" s="176"/>
      <c r="AA448" s="176"/>
      <c r="AB448" s="176"/>
      <c r="AC448" s="176"/>
      <c r="AD448" s="176"/>
      <c r="AE448" s="176"/>
      <c r="AF448" s="176"/>
      <c r="AG448" s="176"/>
      <c r="AH448" s="176"/>
      <c r="AI448" s="176"/>
      <c r="AJ448" s="176"/>
      <c r="AK448" s="176"/>
      <c r="AL448" s="176"/>
      <c r="AM448" s="176"/>
      <c r="AN448" s="176"/>
      <c r="AO448" s="176"/>
      <c r="AP448" s="176"/>
      <c r="AQ448" s="176"/>
      <c r="AR448" s="176"/>
      <c r="AS448" s="176"/>
      <c r="AT448" s="176"/>
      <c r="AU448" s="176"/>
      <c r="AV448" s="176"/>
      <c r="AW448" s="176"/>
      <c r="AX448" s="176"/>
      <c r="AY448" s="176"/>
      <c r="AZ448" s="176"/>
      <c r="BA448" s="176"/>
      <c r="BB448" s="176"/>
      <c r="BC448" s="176"/>
      <c r="BD448" s="176"/>
      <c r="BE448" s="176"/>
      <c r="BF448" s="176"/>
      <c r="BG448" s="176"/>
      <c r="BH448" s="176"/>
      <c r="BI448" s="176"/>
      <c r="BJ448" s="176"/>
      <c r="BK448" s="176"/>
      <c r="BL448" s="176"/>
      <c r="BM448" s="176"/>
      <c r="BN448" s="176"/>
      <c r="BO448" s="176"/>
      <c r="BP448" s="176"/>
      <c r="BQ448" s="176"/>
      <c r="BR448" s="176"/>
      <c r="BS448" s="176"/>
      <c r="BT448" s="176"/>
      <c r="BU448" s="176"/>
      <c r="BV448" s="176"/>
      <c r="BW448" s="176"/>
      <c r="BX448" s="176"/>
      <c r="BY448" s="176"/>
      <c r="BZ448" s="176"/>
      <c r="CA448" s="176"/>
      <c r="CB448" s="176"/>
      <c r="CC448" s="176"/>
      <c r="CD448" s="176"/>
      <c r="CE448" s="176"/>
      <c r="CF448" s="176"/>
      <c r="CG448" s="176"/>
      <c r="CH448" s="176"/>
    </row>
    <row r="449" spans="1:86" ht="21.4" customHeight="1" x14ac:dyDescent="0.35">
      <c r="A449" s="176"/>
      <c r="B449" s="176"/>
      <c r="C449" s="713"/>
      <c r="D449" s="176"/>
      <c r="E449" s="176"/>
      <c r="F449" s="176"/>
      <c r="G449" s="176"/>
      <c r="H449" s="176"/>
      <c r="I449" s="176"/>
      <c r="J449" s="176"/>
      <c r="K449" s="176"/>
      <c r="L449" s="176"/>
      <c r="M449" s="176"/>
      <c r="N449" s="176"/>
      <c r="O449" s="176"/>
      <c r="P449" s="176"/>
      <c r="Q449" s="176"/>
      <c r="R449" s="176"/>
      <c r="S449" s="176"/>
      <c r="T449" s="176"/>
      <c r="U449" s="176"/>
      <c r="V449" s="176"/>
      <c r="W449" s="176"/>
      <c r="X449" s="176"/>
      <c r="Y449" s="176"/>
      <c r="Z449" s="176"/>
      <c r="AA449" s="176"/>
      <c r="AB449" s="176"/>
      <c r="AC449" s="176"/>
      <c r="AD449" s="176"/>
      <c r="AE449" s="176"/>
      <c r="AF449" s="176"/>
      <c r="AG449" s="176"/>
      <c r="AH449" s="176"/>
      <c r="AI449" s="176"/>
      <c r="AJ449" s="176"/>
      <c r="AK449" s="176"/>
      <c r="AL449" s="176"/>
      <c r="AM449" s="176"/>
      <c r="AN449" s="176"/>
      <c r="AO449" s="176"/>
      <c r="AP449" s="176"/>
      <c r="AQ449" s="176"/>
      <c r="AR449" s="176"/>
      <c r="AS449" s="176"/>
      <c r="AT449" s="176"/>
      <c r="AU449" s="176"/>
      <c r="AV449" s="176"/>
      <c r="AW449" s="176"/>
      <c r="AX449" s="176"/>
      <c r="AY449" s="176"/>
      <c r="AZ449" s="176"/>
      <c r="BA449" s="176"/>
      <c r="BB449" s="176"/>
      <c r="BC449" s="176"/>
      <c r="BD449" s="176"/>
      <c r="BE449" s="176"/>
      <c r="BF449" s="176"/>
      <c r="BG449" s="176"/>
      <c r="BH449" s="176"/>
      <c r="BI449" s="176"/>
      <c r="BJ449" s="176"/>
      <c r="BK449" s="176"/>
      <c r="BL449" s="176"/>
      <c r="BM449" s="176"/>
      <c r="BN449" s="176"/>
      <c r="BO449" s="176"/>
      <c r="BP449" s="176"/>
      <c r="BQ449" s="176"/>
      <c r="BR449" s="176"/>
      <c r="BS449" s="176"/>
      <c r="BT449" s="176"/>
      <c r="BU449" s="176"/>
      <c r="BV449" s="176"/>
      <c r="BW449" s="176"/>
      <c r="BX449" s="176"/>
      <c r="BY449" s="176"/>
      <c r="BZ449" s="176"/>
      <c r="CA449" s="176"/>
      <c r="CB449" s="176"/>
      <c r="CC449" s="176"/>
      <c r="CD449" s="176"/>
      <c r="CE449" s="176"/>
      <c r="CF449" s="176"/>
      <c r="CG449" s="176"/>
      <c r="CH449" s="176"/>
    </row>
    <row r="450" spans="1:86" ht="21.4" customHeight="1" x14ac:dyDescent="0.35">
      <c r="A450" s="176"/>
      <c r="B450" s="176"/>
      <c r="C450" s="713"/>
      <c r="D450" s="176"/>
      <c r="E450" s="176"/>
      <c r="F450" s="176"/>
      <c r="G450" s="176"/>
      <c r="H450" s="176"/>
      <c r="I450" s="176"/>
      <c r="J450" s="176"/>
      <c r="K450" s="176"/>
      <c r="L450" s="176"/>
      <c r="M450" s="176"/>
      <c r="N450" s="176"/>
      <c r="O450" s="176"/>
      <c r="P450" s="176"/>
      <c r="Q450" s="176"/>
      <c r="R450" s="176"/>
      <c r="S450" s="176"/>
      <c r="T450" s="176"/>
      <c r="U450" s="176"/>
      <c r="V450" s="176"/>
      <c r="W450" s="176"/>
      <c r="X450" s="176"/>
      <c r="Y450" s="176"/>
      <c r="Z450" s="176"/>
      <c r="AA450" s="176"/>
      <c r="AB450" s="176"/>
      <c r="AC450" s="176"/>
      <c r="AD450" s="176"/>
      <c r="AE450" s="176"/>
      <c r="AF450" s="176"/>
      <c r="AG450" s="176"/>
      <c r="AH450" s="176"/>
      <c r="AI450" s="176"/>
      <c r="AJ450" s="176"/>
      <c r="AK450" s="176"/>
      <c r="AL450" s="176"/>
      <c r="AM450" s="176"/>
      <c r="AN450" s="176"/>
      <c r="AO450" s="176"/>
      <c r="AP450" s="176"/>
      <c r="AQ450" s="176"/>
      <c r="AR450" s="176"/>
      <c r="AS450" s="176"/>
      <c r="AT450" s="176"/>
      <c r="AU450" s="176"/>
      <c r="AV450" s="176"/>
      <c r="AW450" s="176"/>
      <c r="AX450" s="176"/>
      <c r="AY450" s="176"/>
      <c r="AZ450" s="176"/>
      <c r="BA450" s="176"/>
      <c r="BB450" s="176"/>
      <c r="BC450" s="176"/>
      <c r="BD450" s="176"/>
      <c r="BE450" s="176"/>
      <c r="BF450" s="176"/>
      <c r="BG450" s="176"/>
      <c r="BH450" s="176"/>
      <c r="BI450" s="176"/>
      <c r="BJ450" s="176"/>
      <c r="BK450" s="176"/>
      <c r="BL450" s="176"/>
      <c r="BM450" s="176"/>
      <c r="BN450" s="176"/>
      <c r="BO450" s="176"/>
      <c r="BP450" s="176"/>
      <c r="BQ450" s="176"/>
      <c r="BR450" s="176"/>
      <c r="BS450" s="176"/>
      <c r="BT450" s="176"/>
      <c r="BU450" s="176"/>
      <c r="BV450" s="176"/>
      <c r="BW450" s="176"/>
      <c r="BX450" s="176"/>
      <c r="BY450" s="176"/>
      <c r="BZ450" s="176"/>
      <c r="CA450" s="176"/>
      <c r="CB450" s="176"/>
      <c r="CC450" s="176"/>
      <c r="CD450" s="176"/>
      <c r="CE450" s="176"/>
      <c r="CF450" s="176"/>
      <c r="CG450" s="176"/>
      <c r="CH450" s="176"/>
    </row>
    <row r="451" spans="1:86" ht="21.4" customHeight="1" x14ac:dyDescent="0.35">
      <c r="A451" s="176"/>
      <c r="B451" s="176"/>
      <c r="C451" s="713"/>
      <c r="D451" s="176"/>
      <c r="E451" s="176"/>
      <c r="F451" s="176"/>
      <c r="G451" s="176"/>
      <c r="H451" s="176"/>
      <c r="I451" s="176"/>
      <c r="J451" s="176"/>
      <c r="K451" s="176"/>
      <c r="L451" s="176"/>
      <c r="M451" s="176"/>
      <c r="N451" s="176"/>
      <c r="O451" s="176"/>
      <c r="P451" s="176"/>
      <c r="Q451" s="176"/>
      <c r="R451" s="176"/>
      <c r="S451" s="176"/>
      <c r="T451" s="176"/>
      <c r="U451" s="176"/>
      <c r="V451" s="176"/>
      <c r="W451" s="176"/>
      <c r="X451" s="176"/>
      <c r="Y451" s="176"/>
      <c r="Z451" s="176"/>
      <c r="AA451" s="176"/>
      <c r="AB451" s="176"/>
      <c r="AC451" s="176"/>
      <c r="AD451" s="176"/>
      <c r="AE451" s="176"/>
      <c r="AF451" s="176"/>
      <c r="AG451" s="176"/>
      <c r="AH451" s="176"/>
      <c r="AI451" s="176"/>
      <c r="AJ451" s="176"/>
      <c r="AK451" s="176"/>
      <c r="AL451" s="176"/>
      <c r="AM451" s="176"/>
      <c r="AN451" s="176"/>
      <c r="AO451" s="176"/>
      <c r="AP451" s="176"/>
      <c r="AQ451" s="176"/>
      <c r="AR451" s="176"/>
      <c r="AS451" s="176"/>
      <c r="AT451" s="176"/>
      <c r="AU451" s="176"/>
      <c r="AV451" s="176"/>
      <c r="AW451" s="176"/>
      <c r="AX451" s="176"/>
      <c r="AY451" s="176"/>
      <c r="AZ451" s="176"/>
      <c r="BA451" s="176"/>
      <c r="BB451" s="176"/>
      <c r="BC451" s="176"/>
      <c r="BD451" s="176"/>
      <c r="BE451" s="176"/>
      <c r="BF451" s="176"/>
      <c r="BG451" s="176"/>
      <c r="BH451" s="176"/>
      <c r="BI451" s="176"/>
      <c r="BJ451" s="176"/>
      <c r="BK451" s="176"/>
      <c r="BL451" s="176"/>
      <c r="BM451" s="176"/>
      <c r="BN451" s="176"/>
      <c r="BO451" s="176"/>
      <c r="BP451" s="176"/>
      <c r="BQ451" s="176"/>
      <c r="BR451" s="176"/>
      <c r="BS451" s="176"/>
      <c r="BT451" s="176"/>
      <c r="BU451" s="176"/>
      <c r="BV451" s="176"/>
      <c r="BW451" s="176"/>
      <c r="BX451" s="176"/>
      <c r="BY451" s="176"/>
      <c r="BZ451" s="176"/>
      <c r="CA451" s="176"/>
      <c r="CB451" s="176"/>
      <c r="CC451" s="176"/>
      <c r="CD451" s="176"/>
      <c r="CE451" s="176"/>
      <c r="CF451" s="176"/>
      <c r="CG451" s="176"/>
      <c r="CH451" s="176"/>
    </row>
    <row r="452" spans="1:86" ht="21.4" customHeight="1" x14ac:dyDescent="0.35">
      <c r="A452" s="176"/>
      <c r="B452" s="176"/>
      <c r="C452" s="713"/>
      <c r="D452" s="176"/>
      <c r="E452" s="176"/>
      <c r="F452" s="176"/>
      <c r="G452" s="176"/>
      <c r="H452" s="176"/>
      <c r="I452" s="176"/>
      <c r="J452" s="176"/>
      <c r="K452" s="176"/>
      <c r="L452" s="176"/>
      <c r="M452" s="176"/>
      <c r="N452" s="176"/>
      <c r="O452" s="176"/>
      <c r="P452" s="176"/>
      <c r="Q452" s="176"/>
      <c r="R452" s="176"/>
      <c r="S452" s="176"/>
      <c r="T452" s="176"/>
      <c r="U452" s="176"/>
      <c r="V452" s="176"/>
      <c r="W452" s="176"/>
      <c r="X452" s="176"/>
      <c r="Y452" s="176"/>
      <c r="Z452" s="176"/>
      <c r="AA452" s="176"/>
      <c r="AB452" s="176"/>
      <c r="AC452" s="176"/>
      <c r="AD452" s="176"/>
      <c r="AE452" s="176"/>
      <c r="AF452" s="176"/>
      <c r="AG452" s="176"/>
      <c r="AH452" s="176"/>
      <c r="AI452" s="176"/>
      <c r="AJ452" s="176"/>
      <c r="AK452" s="176"/>
      <c r="AL452" s="176"/>
      <c r="AM452" s="176"/>
      <c r="AN452" s="176"/>
      <c r="AO452" s="176"/>
      <c r="AP452" s="176"/>
      <c r="AQ452" s="176"/>
      <c r="AR452" s="176"/>
      <c r="AS452" s="176"/>
      <c r="AT452" s="176"/>
      <c r="AU452" s="176"/>
      <c r="AV452" s="176"/>
      <c r="AW452" s="176"/>
      <c r="AX452" s="176"/>
      <c r="AY452" s="176"/>
      <c r="AZ452" s="176"/>
      <c r="BA452" s="176"/>
      <c r="BB452" s="176"/>
      <c r="BC452" s="176"/>
      <c r="BD452" s="176"/>
      <c r="BE452" s="176"/>
      <c r="BF452" s="176"/>
      <c r="BG452" s="176"/>
      <c r="BH452" s="176"/>
      <c r="BI452" s="176"/>
      <c r="BJ452" s="176"/>
      <c r="BK452" s="176"/>
      <c r="BL452" s="176"/>
      <c r="BM452" s="176"/>
      <c r="BN452" s="176"/>
      <c r="BO452" s="176"/>
      <c r="BP452" s="176"/>
      <c r="BQ452" s="176"/>
      <c r="BR452" s="176"/>
      <c r="BS452" s="176"/>
      <c r="BT452" s="176"/>
      <c r="BU452" s="176"/>
      <c r="BV452" s="176"/>
      <c r="BW452" s="176"/>
      <c r="BX452" s="176"/>
      <c r="BY452" s="176"/>
      <c r="BZ452" s="176"/>
      <c r="CA452" s="176"/>
      <c r="CB452" s="176"/>
      <c r="CC452" s="176"/>
      <c r="CD452" s="176"/>
      <c r="CE452" s="176"/>
      <c r="CF452" s="176"/>
      <c r="CG452" s="176"/>
      <c r="CH452" s="176"/>
    </row>
    <row r="453" spans="1:86" ht="21.4" customHeight="1" x14ac:dyDescent="0.35">
      <c r="A453" s="176"/>
      <c r="B453" s="176"/>
      <c r="C453" s="713"/>
      <c r="D453" s="176"/>
      <c r="E453" s="176"/>
      <c r="F453" s="176"/>
      <c r="G453" s="176"/>
      <c r="H453" s="176"/>
      <c r="I453" s="176"/>
      <c r="J453" s="176"/>
      <c r="K453" s="176"/>
      <c r="L453" s="176"/>
      <c r="M453" s="176"/>
      <c r="N453" s="176"/>
      <c r="O453" s="176"/>
      <c r="P453" s="176"/>
      <c r="Q453" s="176"/>
      <c r="R453" s="176"/>
      <c r="S453" s="176"/>
      <c r="T453" s="176"/>
      <c r="U453" s="176"/>
      <c r="V453" s="176"/>
      <c r="W453" s="176"/>
      <c r="X453" s="176"/>
      <c r="Y453" s="176"/>
      <c r="Z453" s="176"/>
      <c r="AA453" s="176"/>
      <c r="AB453" s="176"/>
      <c r="AC453" s="176"/>
      <c r="AD453" s="176"/>
      <c r="AE453" s="176"/>
      <c r="AF453" s="176"/>
      <c r="AG453" s="176"/>
      <c r="AH453" s="176"/>
      <c r="AI453" s="176"/>
      <c r="AJ453" s="176"/>
      <c r="AK453" s="176"/>
      <c r="AL453" s="176"/>
      <c r="AM453" s="176"/>
      <c r="AN453" s="176"/>
      <c r="AO453" s="176"/>
      <c r="AP453" s="176"/>
      <c r="AQ453" s="176"/>
      <c r="AR453" s="176"/>
      <c r="AS453" s="176"/>
      <c r="AT453" s="176"/>
      <c r="AU453" s="176"/>
      <c r="AV453" s="176"/>
      <c r="AW453" s="176"/>
      <c r="AX453" s="176"/>
      <c r="AY453" s="176"/>
      <c r="AZ453" s="176"/>
      <c r="BA453" s="176"/>
      <c r="BB453" s="176"/>
      <c r="BC453" s="176"/>
      <c r="BD453" s="176"/>
      <c r="BE453" s="176"/>
      <c r="BF453" s="176"/>
      <c r="BG453" s="176"/>
      <c r="BH453" s="176"/>
      <c r="BI453" s="176"/>
      <c r="BJ453" s="176"/>
      <c r="BK453" s="176"/>
      <c r="BL453" s="176"/>
      <c r="BM453" s="176"/>
      <c r="BN453" s="176"/>
      <c r="BO453" s="176"/>
      <c r="BP453" s="176"/>
      <c r="BQ453" s="176"/>
      <c r="BR453" s="176"/>
      <c r="BS453" s="176"/>
      <c r="BT453" s="176"/>
      <c r="BU453" s="176"/>
      <c r="BV453" s="176"/>
      <c r="BW453" s="176"/>
      <c r="BX453" s="176"/>
      <c r="BY453" s="176"/>
      <c r="BZ453" s="176"/>
      <c r="CA453" s="176"/>
      <c r="CB453" s="176"/>
      <c r="CC453" s="176"/>
      <c r="CD453" s="176"/>
      <c r="CE453" s="176"/>
      <c r="CF453" s="176"/>
      <c r="CG453" s="176"/>
      <c r="CH453" s="176"/>
    </row>
    <row r="454" spans="1:86" ht="21.4" customHeight="1" x14ac:dyDescent="0.35">
      <c r="A454" s="176"/>
      <c r="B454" s="176"/>
      <c r="C454" s="713"/>
      <c r="D454" s="176"/>
      <c r="E454" s="176"/>
      <c r="F454" s="176"/>
      <c r="G454" s="176"/>
      <c r="H454" s="176"/>
      <c r="I454" s="176"/>
      <c r="J454" s="176"/>
      <c r="K454" s="176"/>
      <c r="L454" s="176"/>
      <c r="M454" s="176"/>
      <c r="N454" s="176"/>
      <c r="O454" s="176"/>
      <c r="P454" s="176"/>
      <c r="Q454" s="176"/>
      <c r="R454" s="176"/>
      <c r="S454" s="176"/>
      <c r="T454" s="176"/>
      <c r="U454" s="176"/>
      <c r="V454" s="176"/>
      <c r="W454" s="176"/>
      <c r="X454" s="176"/>
      <c r="Y454" s="176"/>
      <c r="Z454" s="176"/>
      <c r="AA454" s="176"/>
      <c r="AB454" s="176"/>
      <c r="AC454" s="176"/>
      <c r="AD454" s="176"/>
      <c r="AE454" s="176"/>
      <c r="AF454" s="176"/>
      <c r="AG454" s="176"/>
      <c r="AH454" s="176"/>
      <c r="AI454" s="176"/>
      <c r="AJ454" s="176"/>
      <c r="AK454" s="176"/>
      <c r="AL454" s="176"/>
      <c r="AM454" s="176"/>
      <c r="AN454" s="176"/>
      <c r="AO454" s="176"/>
      <c r="AP454" s="176"/>
      <c r="AQ454" s="176"/>
      <c r="AR454" s="176"/>
      <c r="AS454" s="176"/>
      <c r="AT454" s="176"/>
      <c r="AU454" s="176"/>
      <c r="AV454" s="176"/>
      <c r="AW454" s="176"/>
      <c r="AX454" s="176"/>
      <c r="AY454" s="176"/>
      <c r="AZ454" s="176"/>
      <c r="BA454" s="176"/>
      <c r="BB454" s="176"/>
      <c r="BC454" s="176"/>
      <c r="BD454" s="176"/>
      <c r="BE454" s="176"/>
      <c r="BF454" s="176"/>
      <c r="BG454" s="176"/>
      <c r="BH454" s="176"/>
      <c r="BI454" s="176"/>
      <c r="BJ454" s="176"/>
      <c r="BK454" s="176"/>
      <c r="BL454" s="176"/>
      <c r="BM454" s="176"/>
      <c r="BN454" s="176"/>
      <c r="BO454" s="176"/>
      <c r="BP454" s="176"/>
      <c r="BQ454" s="176"/>
      <c r="BR454" s="176"/>
      <c r="BS454" s="176"/>
      <c r="BT454" s="176"/>
      <c r="BU454" s="176"/>
      <c r="BV454" s="176"/>
      <c r="BW454" s="176"/>
      <c r="BX454" s="176"/>
      <c r="BY454" s="176"/>
      <c r="BZ454" s="176"/>
      <c r="CA454" s="176"/>
      <c r="CB454" s="176"/>
      <c r="CC454" s="176"/>
      <c r="CD454" s="176"/>
      <c r="CE454" s="176"/>
      <c r="CF454" s="176"/>
      <c r="CG454" s="176"/>
      <c r="CH454" s="176"/>
    </row>
    <row r="455" spans="1:86" ht="21.4" customHeight="1" x14ac:dyDescent="0.35">
      <c r="A455" s="176"/>
      <c r="B455" s="176"/>
      <c r="C455" s="713"/>
      <c r="D455" s="176"/>
      <c r="E455" s="176"/>
      <c r="F455" s="176"/>
      <c r="G455" s="176"/>
      <c r="H455" s="176"/>
      <c r="I455" s="176"/>
      <c r="J455" s="176"/>
      <c r="K455" s="176"/>
      <c r="L455" s="176"/>
      <c r="M455" s="176"/>
      <c r="N455" s="176"/>
      <c r="O455" s="176"/>
      <c r="P455" s="176"/>
      <c r="Q455" s="176"/>
      <c r="R455" s="176"/>
      <c r="S455" s="176"/>
      <c r="T455" s="176"/>
      <c r="U455" s="176"/>
      <c r="V455" s="176"/>
      <c r="W455" s="176"/>
      <c r="X455" s="176"/>
      <c r="Y455" s="176"/>
      <c r="Z455" s="176"/>
      <c r="AA455" s="176"/>
      <c r="AB455" s="176"/>
      <c r="AC455" s="176"/>
      <c r="AD455" s="176"/>
      <c r="AE455" s="176"/>
      <c r="AF455" s="176"/>
      <c r="AG455" s="176"/>
      <c r="AH455" s="176"/>
      <c r="AI455" s="176"/>
      <c r="AJ455" s="176"/>
      <c r="AK455" s="176"/>
      <c r="AL455" s="176"/>
      <c r="AM455" s="176"/>
      <c r="AN455" s="176"/>
      <c r="AO455" s="176"/>
      <c r="AP455" s="176"/>
      <c r="AQ455" s="176"/>
      <c r="AR455" s="176"/>
      <c r="AS455" s="176"/>
      <c r="AT455" s="176"/>
      <c r="AU455" s="176"/>
      <c r="AV455" s="176"/>
      <c r="AW455" s="176"/>
      <c r="AX455" s="176"/>
      <c r="AY455" s="176"/>
      <c r="AZ455" s="176"/>
      <c r="BA455" s="176"/>
      <c r="BB455" s="176"/>
      <c r="BC455" s="176"/>
      <c r="BD455" s="176"/>
      <c r="BE455" s="176"/>
      <c r="BF455" s="176"/>
      <c r="BG455" s="176"/>
      <c r="BH455" s="176"/>
      <c r="BI455" s="176"/>
      <c r="BJ455" s="176"/>
      <c r="BK455" s="176"/>
      <c r="BL455" s="176"/>
      <c r="BM455" s="176"/>
      <c r="BN455" s="176"/>
      <c r="BO455" s="176"/>
      <c r="BP455" s="176"/>
      <c r="BQ455" s="176"/>
      <c r="BR455" s="176"/>
      <c r="BS455" s="176"/>
      <c r="BT455" s="176"/>
      <c r="BU455" s="176"/>
      <c r="BV455" s="176"/>
      <c r="BW455" s="176"/>
      <c r="BX455" s="176"/>
      <c r="BY455" s="176"/>
      <c r="BZ455" s="176"/>
      <c r="CA455" s="176"/>
      <c r="CB455" s="176"/>
      <c r="CC455" s="176"/>
      <c r="CD455" s="176"/>
      <c r="CE455" s="176"/>
      <c r="CF455" s="176"/>
      <c r="CG455" s="176"/>
      <c r="CH455" s="176"/>
    </row>
    <row r="456" spans="1:86" ht="21.4" customHeight="1" x14ac:dyDescent="0.35">
      <c r="A456" s="176"/>
      <c r="B456" s="176"/>
      <c r="C456" s="713"/>
      <c r="D456" s="176"/>
      <c r="E456" s="176"/>
      <c r="F456" s="176"/>
      <c r="G456" s="176"/>
      <c r="H456" s="176"/>
      <c r="I456" s="176"/>
      <c r="J456" s="176"/>
      <c r="K456" s="176"/>
      <c r="L456" s="176"/>
      <c r="M456" s="176"/>
      <c r="N456" s="176"/>
      <c r="O456" s="176"/>
      <c r="P456" s="176"/>
      <c r="Q456" s="176"/>
      <c r="R456" s="176"/>
      <c r="S456" s="176"/>
      <c r="T456" s="176"/>
      <c r="U456" s="176"/>
      <c r="V456" s="176"/>
      <c r="W456" s="176"/>
      <c r="X456" s="176"/>
      <c r="Y456" s="176"/>
      <c r="Z456" s="176"/>
      <c r="AA456" s="176"/>
      <c r="AB456" s="176"/>
      <c r="AC456" s="176"/>
      <c r="AD456" s="176"/>
      <c r="AE456" s="176"/>
      <c r="AF456" s="176"/>
      <c r="AG456" s="176"/>
      <c r="AH456" s="176"/>
      <c r="AI456" s="176"/>
      <c r="AJ456" s="176"/>
      <c r="AK456" s="176"/>
      <c r="AL456" s="176"/>
      <c r="AM456" s="176"/>
      <c r="AN456" s="176"/>
      <c r="AO456" s="176"/>
      <c r="AP456" s="176"/>
      <c r="AQ456" s="176"/>
      <c r="AR456" s="176"/>
      <c r="AS456" s="176"/>
      <c r="AT456" s="176"/>
      <c r="AU456" s="176"/>
      <c r="AV456" s="176"/>
      <c r="AW456" s="176"/>
      <c r="AX456" s="176"/>
      <c r="AY456" s="176"/>
      <c r="AZ456" s="176"/>
      <c r="BA456" s="176"/>
      <c r="BB456" s="176"/>
      <c r="BC456" s="176"/>
      <c r="BD456" s="176"/>
      <c r="BE456" s="176"/>
      <c r="BF456" s="176"/>
      <c r="BG456" s="176"/>
      <c r="BH456" s="176"/>
      <c r="BI456" s="176"/>
      <c r="BJ456" s="176"/>
      <c r="BK456" s="176"/>
      <c r="BL456" s="176"/>
      <c r="BM456" s="176"/>
      <c r="BN456" s="176"/>
      <c r="BO456" s="176"/>
      <c r="BP456" s="176"/>
      <c r="BQ456" s="176"/>
      <c r="BR456" s="176"/>
      <c r="BS456" s="176"/>
      <c r="BT456" s="176"/>
      <c r="BU456" s="176"/>
      <c r="BV456" s="176"/>
      <c r="BW456" s="176"/>
      <c r="BX456" s="176"/>
      <c r="BY456" s="176"/>
      <c r="BZ456" s="176"/>
      <c r="CA456" s="176"/>
      <c r="CB456" s="176"/>
      <c r="CC456" s="176"/>
      <c r="CD456" s="176"/>
      <c r="CE456" s="176"/>
      <c r="CF456" s="176"/>
      <c r="CG456" s="176"/>
      <c r="CH456" s="176"/>
    </row>
    <row r="457" spans="1:86" ht="21.4" customHeight="1" x14ac:dyDescent="0.35">
      <c r="A457" s="176"/>
      <c r="B457" s="176"/>
      <c r="C457" s="713"/>
      <c r="D457" s="176"/>
      <c r="E457" s="176"/>
      <c r="F457" s="176"/>
      <c r="G457" s="176"/>
      <c r="H457" s="176"/>
      <c r="I457" s="176"/>
      <c r="J457" s="176"/>
      <c r="K457" s="176"/>
      <c r="L457" s="176"/>
      <c r="M457" s="176"/>
      <c r="N457" s="176"/>
      <c r="O457" s="176"/>
      <c r="P457" s="176"/>
      <c r="Q457" s="176"/>
      <c r="R457" s="176"/>
      <c r="S457" s="176"/>
      <c r="T457" s="176"/>
      <c r="U457" s="176"/>
      <c r="V457" s="176"/>
      <c r="W457" s="176"/>
      <c r="X457" s="176"/>
      <c r="Y457" s="176"/>
      <c r="Z457" s="176"/>
      <c r="AA457" s="176"/>
      <c r="AB457" s="176"/>
      <c r="AC457" s="176"/>
      <c r="AD457" s="176"/>
      <c r="AE457" s="176"/>
      <c r="AF457" s="176"/>
      <c r="AG457" s="176"/>
      <c r="AH457" s="176"/>
      <c r="AI457" s="176"/>
      <c r="AJ457" s="176"/>
      <c r="AK457" s="176"/>
      <c r="AL457" s="176"/>
      <c r="AM457" s="176"/>
      <c r="AN457" s="176"/>
      <c r="AO457" s="176"/>
      <c r="AP457" s="176"/>
      <c r="AQ457" s="176"/>
      <c r="AR457" s="176"/>
      <c r="AS457" s="176"/>
      <c r="AT457" s="176"/>
      <c r="AU457" s="176"/>
      <c r="AV457" s="176"/>
      <c r="AW457" s="176"/>
      <c r="AX457" s="176"/>
      <c r="AY457" s="176"/>
      <c r="AZ457" s="176"/>
      <c r="BA457" s="176"/>
      <c r="BB457" s="176"/>
      <c r="BC457" s="176"/>
      <c r="BD457" s="176"/>
      <c r="BE457" s="176"/>
      <c r="BF457" s="176"/>
      <c r="BG457" s="176"/>
      <c r="BH457" s="176"/>
      <c r="BI457" s="176"/>
      <c r="BJ457" s="176"/>
      <c r="BK457" s="176"/>
      <c r="BL457" s="176"/>
      <c r="BM457" s="176"/>
      <c r="BN457" s="176"/>
      <c r="BO457" s="176"/>
      <c r="BP457" s="176"/>
      <c r="BQ457" s="176"/>
      <c r="BR457" s="176"/>
      <c r="BS457" s="176"/>
      <c r="BT457" s="176"/>
      <c r="BU457" s="176"/>
      <c r="BV457" s="176"/>
      <c r="BW457" s="176"/>
      <c r="BX457" s="176"/>
      <c r="BY457" s="176"/>
      <c r="BZ457" s="176"/>
      <c r="CA457" s="176"/>
      <c r="CB457" s="176"/>
      <c r="CC457" s="176"/>
      <c r="CD457" s="176"/>
      <c r="CE457" s="176"/>
      <c r="CF457" s="176"/>
      <c r="CG457" s="176"/>
      <c r="CH457" s="176"/>
    </row>
    <row r="458" spans="1:86" ht="21.4" customHeight="1" x14ac:dyDescent="0.35">
      <c r="A458" s="176"/>
      <c r="B458" s="176"/>
      <c r="C458" s="713"/>
      <c r="D458" s="176"/>
      <c r="E458" s="176"/>
      <c r="F458" s="176"/>
      <c r="G458" s="176"/>
      <c r="H458" s="176"/>
      <c r="I458" s="176"/>
      <c r="J458" s="176"/>
      <c r="K458" s="176"/>
      <c r="L458" s="176"/>
      <c r="M458" s="176"/>
      <c r="N458" s="176"/>
      <c r="O458" s="176"/>
      <c r="P458" s="176"/>
      <c r="Q458" s="176"/>
      <c r="R458" s="176"/>
      <c r="S458" s="176"/>
      <c r="T458" s="176"/>
      <c r="U458" s="176"/>
      <c r="V458" s="176"/>
      <c r="W458" s="176"/>
      <c r="X458" s="176"/>
      <c r="Y458" s="176"/>
      <c r="Z458" s="176"/>
      <c r="AA458" s="176"/>
      <c r="AB458" s="176"/>
      <c r="AC458" s="176"/>
      <c r="AD458" s="176"/>
      <c r="AE458" s="176"/>
      <c r="AF458" s="176"/>
      <c r="AG458" s="176"/>
      <c r="AH458" s="176"/>
      <c r="AI458" s="176"/>
      <c r="AJ458" s="176"/>
      <c r="AK458" s="176"/>
      <c r="AL458" s="176"/>
      <c r="AM458" s="176"/>
      <c r="AN458" s="176"/>
      <c r="AO458" s="176"/>
      <c r="AP458" s="176"/>
      <c r="AQ458" s="176"/>
      <c r="AR458" s="176"/>
      <c r="AS458" s="176"/>
      <c r="AT458" s="176"/>
      <c r="AU458" s="176"/>
      <c r="AV458" s="176"/>
      <c r="AW458" s="176"/>
      <c r="AX458" s="176"/>
      <c r="AY458" s="176"/>
      <c r="AZ458" s="176"/>
      <c r="BA458" s="176"/>
      <c r="BB458" s="176"/>
      <c r="BC458" s="176"/>
      <c r="BD458" s="176"/>
      <c r="BE458" s="176"/>
      <c r="BF458" s="176"/>
      <c r="BG458" s="176"/>
      <c r="BH458" s="176"/>
      <c r="BI458" s="176"/>
      <c r="BJ458" s="176"/>
      <c r="BK458" s="176"/>
      <c r="BL458" s="176"/>
      <c r="BM458" s="176"/>
      <c r="BN458" s="176"/>
      <c r="BO458" s="176"/>
      <c r="BP458" s="176"/>
      <c r="BQ458" s="176"/>
      <c r="BR458" s="176"/>
      <c r="BS458" s="176"/>
      <c r="BT458" s="176"/>
      <c r="BU458" s="176"/>
      <c r="BV458" s="176"/>
      <c r="BW458" s="176"/>
      <c r="BX458" s="176"/>
      <c r="BY458" s="176"/>
      <c r="BZ458" s="176"/>
      <c r="CA458" s="176"/>
      <c r="CB458" s="176"/>
      <c r="CC458" s="176"/>
      <c r="CD458" s="176"/>
      <c r="CE458" s="176"/>
      <c r="CF458" s="176"/>
      <c r="CG458" s="176"/>
      <c r="CH458" s="176"/>
    </row>
    <row r="459" spans="1:86" ht="21.4" customHeight="1" x14ac:dyDescent="0.35">
      <c r="A459" s="176"/>
      <c r="B459" s="176"/>
      <c r="C459" s="713"/>
      <c r="D459" s="176"/>
      <c r="E459" s="176"/>
      <c r="F459" s="176"/>
      <c r="G459" s="176"/>
      <c r="H459" s="176"/>
      <c r="I459" s="176"/>
      <c r="J459" s="176"/>
      <c r="K459" s="176"/>
      <c r="L459" s="176"/>
      <c r="M459" s="176"/>
      <c r="N459" s="176"/>
      <c r="O459" s="176"/>
      <c r="P459" s="176"/>
      <c r="Q459" s="176"/>
      <c r="R459" s="176"/>
      <c r="S459" s="176"/>
      <c r="T459" s="176"/>
      <c r="U459" s="176"/>
      <c r="V459" s="176"/>
      <c r="W459" s="176"/>
      <c r="X459" s="176"/>
      <c r="Y459" s="176"/>
      <c r="Z459" s="176"/>
      <c r="AA459" s="176"/>
      <c r="AB459" s="176"/>
      <c r="AC459" s="176"/>
      <c r="AD459" s="176"/>
      <c r="AE459" s="176"/>
      <c r="AF459" s="176"/>
      <c r="AG459" s="176"/>
      <c r="AH459" s="176"/>
      <c r="AI459" s="176"/>
      <c r="AJ459" s="176"/>
      <c r="AK459" s="176"/>
      <c r="AL459" s="176"/>
      <c r="AM459" s="176"/>
      <c r="AN459" s="176"/>
      <c r="AO459" s="176"/>
      <c r="AP459" s="176"/>
      <c r="AQ459" s="176"/>
      <c r="AR459" s="176"/>
      <c r="AS459" s="176"/>
      <c r="AT459" s="176"/>
      <c r="AU459" s="176"/>
      <c r="AV459" s="176"/>
      <c r="AW459" s="176"/>
      <c r="AX459" s="176"/>
      <c r="AY459" s="176"/>
      <c r="AZ459" s="176"/>
      <c r="BA459" s="176"/>
      <c r="BB459" s="176"/>
      <c r="BC459" s="176"/>
      <c r="BD459" s="176"/>
      <c r="BE459" s="176"/>
      <c r="BF459" s="176"/>
      <c r="BG459" s="176"/>
      <c r="BH459" s="176"/>
      <c r="BI459" s="176"/>
      <c r="BJ459" s="176"/>
      <c r="BK459" s="176"/>
      <c r="BL459" s="176"/>
      <c r="BM459" s="176"/>
      <c r="BN459" s="176"/>
      <c r="BO459" s="176"/>
      <c r="BP459" s="176"/>
      <c r="BQ459" s="176"/>
      <c r="BR459" s="176"/>
      <c r="BS459" s="176"/>
      <c r="BT459" s="176"/>
      <c r="BU459" s="176"/>
      <c r="BV459" s="176"/>
      <c r="BW459" s="176"/>
      <c r="BX459" s="176"/>
      <c r="BY459" s="176"/>
      <c r="BZ459" s="176"/>
      <c r="CA459" s="176"/>
      <c r="CB459" s="176"/>
      <c r="CC459" s="176"/>
      <c r="CD459" s="176"/>
      <c r="CE459" s="176"/>
      <c r="CF459" s="176"/>
      <c r="CG459" s="176"/>
      <c r="CH459" s="176"/>
    </row>
    <row r="460" spans="1:86" ht="21.4" customHeight="1" x14ac:dyDescent="0.35">
      <c r="A460" s="176"/>
      <c r="B460" s="176"/>
      <c r="C460" s="713"/>
      <c r="D460" s="176"/>
      <c r="E460" s="176"/>
      <c r="F460" s="176"/>
      <c r="G460" s="176"/>
      <c r="H460" s="176"/>
      <c r="I460" s="176"/>
      <c r="J460" s="176"/>
      <c r="K460" s="176"/>
      <c r="L460" s="176"/>
      <c r="M460" s="176"/>
      <c r="N460" s="176"/>
      <c r="O460" s="176"/>
      <c r="P460" s="176"/>
      <c r="Q460" s="176"/>
      <c r="R460" s="176"/>
      <c r="S460" s="176"/>
      <c r="T460" s="176"/>
      <c r="U460" s="176"/>
      <c r="V460" s="176"/>
      <c r="W460" s="176"/>
      <c r="X460" s="176"/>
      <c r="Y460" s="176"/>
      <c r="Z460" s="176"/>
      <c r="AA460" s="176"/>
      <c r="AB460" s="176"/>
      <c r="AC460" s="176"/>
      <c r="AD460" s="176"/>
      <c r="AE460" s="176"/>
      <c r="AF460" s="176"/>
      <c r="AG460" s="176"/>
      <c r="AH460" s="176"/>
      <c r="AI460" s="176"/>
      <c r="AJ460" s="176"/>
      <c r="AK460" s="176"/>
      <c r="AL460" s="176"/>
      <c r="AM460" s="176"/>
      <c r="AN460" s="176"/>
      <c r="AO460" s="176"/>
      <c r="AP460" s="176"/>
      <c r="AQ460" s="176"/>
      <c r="AR460" s="176"/>
      <c r="AS460" s="176"/>
      <c r="AT460" s="176"/>
      <c r="AU460" s="176"/>
      <c r="AV460" s="176"/>
      <c r="AW460" s="176"/>
      <c r="AX460" s="176"/>
      <c r="AY460" s="176"/>
      <c r="AZ460" s="176"/>
      <c r="BA460" s="176"/>
      <c r="BB460" s="176"/>
      <c r="BC460" s="176"/>
      <c r="BD460" s="176"/>
      <c r="BE460" s="176"/>
      <c r="BF460" s="176"/>
      <c r="BG460" s="176"/>
      <c r="BH460" s="176"/>
      <c r="BI460" s="176"/>
      <c r="BJ460" s="176"/>
      <c r="BK460" s="176"/>
      <c r="BL460" s="176"/>
      <c r="BM460" s="176"/>
      <c r="BN460" s="176"/>
      <c r="BO460" s="176"/>
      <c r="BP460" s="176"/>
      <c r="BQ460" s="176"/>
      <c r="BR460" s="176"/>
      <c r="BS460" s="176"/>
      <c r="BT460" s="176"/>
      <c r="BU460" s="176"/>
      <c r="BV460" s="176"/>
      <c r="BW460" s="176"/>
      <c r="BX460" s="176"/>
      <c r="BY460" s="176"/>
      <c r="BZ460" s="176"/>
      <c r="CA460" s="176"/>
      <c r="CB460" s="176"/>
      <c r="CC460" s="176"/>
      <c r="CD460" s="176"/>
      <c r="CE460" s="176"/>
      <c r="CF460" s="176"/>
      <c r="CG460" s="176"/>
      <c r="CH460" s="176"/>
    </row>
    <row r="461" spans="1:86" ht="21.4" customHeight="1" x14ac:dyDescent="0.35">
      <c r="A461" s="176"/>
      <c r="B461" s="176"/>
      <c r="C461" s="713"/>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c r="Z461" s="176"/>
      <c r="AA461" s="176"/>
      <c r="AB461" s="176"/>
      <c r="AC461" s="176"/>
      <c r="AD461" s="176"/>
      <c r="AE461" s="176"/>
      <c r="AF461" s="176"/>
      <c r="AG461" s="176"/>
      <c r="AH461" s="176"/>
      <c r="AI461" s="176"/>
      <c r="AJ461" s="176"/>
      <c r="AK461" s="176"/>
      <c r="AL461" s="176"/>
      <c r="AM461" s="176"/>
      <c r="AN461" s="176"/>
      <c r="AO461" s="176"/>
      <c r="AP461" s="176"/>
      <c r="AQ461" s="176"/>
      <c r="AR461" s="176"/>
      <c r="AS461" s="176"/>
      <c r="AT461" s="176"/>
      <c r="AU461" s="176"/>
      <c r="AV461" s="176"/>
      <c r="AW461" s="176"/>
      <c r="AX461" s="176"/>
      <c r="AY461" s="176"/>
      <c r="AZ461" s="176"/>
      <c r="BA461" s="176"/>
      <c r="BB461" s="176"/>
      <c r="BC461" s="176"/>
      <c r="BD461" s="176"/>
      <c r="BE461" s="176"/>
      <c r="BF461" s="176"/>
      <c r="BG461" s="176"/>
      <c r="BH461" s="176"/>
      <c r="BI461" s="176"/>
      <c r="BJ461" s="176"/>
      <c r="BK461" s="176"/>
      <c r="BL461" s="176"/>
      <c r="BM461" s="176"/>
      <c r="BN461" s="176"/>
      <c r="BO461" s="176"/>
      <c r="BP461" s="176"/>
      <c r="BQ461" s="176"/>
      <c r="BR461" s="176"/>
      <c r="BS461" s="176"/>
      <c r="BT461" s="176"/>
      <c r="BU461" s="176"/>
      <c r="BV461" s="176"/>
      <c r="BW461" s="176"/>
      <c r="BX461" s="176"/>
      <c r="BY461" s="176"/>
      <c r="BZ461" s="176"/>
      <c r="CA461" s="176"/>
      <c r="CB461" s="176"/>
      <c r="CC461" s="176"/>
      <c r="CD461" s="176"/>
      <c r="CE461" s="176"/>
      <c r="CF461" s="176"/>
      <c r="CG461" s="176"/>
      <c r="CH461" s="176"/>
    </row>
    <row r="462" spans="1:86" ht="21.4" customHeight="1" x14ac:dyDescent="0.35">
      <c r="A462" s="176"/>
      <c r="B462" s="176"/>
      <c r="C462" s="713"/>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c r="Z462" s="176"/>
      <c r="AA462" s="176"/>
      <c r="AB462" s="176"/>
      <c r="AC462" s="176"/>
      <c r="AD462" s="176"/>
      <c r="AE462" s="176"/>
      <c r="AF462" s="176"/>
      <c r="AG462" s="176"/>
      <c r="AH462" s="176"/>
      <c r="AI462" s="176"/>
      <c r="AJ462" s="176"/>
      <c r="AK462" s="176"/>
      <c r="AL462" s="176"/>
      <c r="AM462" s="176"/>
      <c r="AN462" s="176"/>
      <c r="AO462" s="176"/>
      <c r="AP462" s="176"/>
      <c r="AQ462" s="176"/>
      <c r="AR462" s="176"/>
      <c r="AS462" s="176"/>
      <c r="AT462" s="176"/>
      <c r="AU462" s="176"/>
      <c r="AV462" s="176"/>
      <c r="AW462" s="176"/>
      <c r="AX462" s="176"/>
      <c r="AY462" s="176"/>
      <c r="AZ462" s="176"/>
      <c r="BA462" s="176"/>
      <c r="BB462" s="176"/>
      <c r="BC462" s="176"/>
      <c r="BD462" s="176"/>
      <c r="BE462" s="176"/>
      <c r="BF462" s="176"/>
      <c r="BG462" s="176"/>
      <c r="BH462" s="176"/>
      <c r="BI462" s="176"/>
      <c r="BJ462" s="176"/>
      <c r="BK462" s="176"/>
      <c r="BL462" s="176"/>
      <c r="BM462" s="176"/>
      <c r="BN462" s="176"/>
      <c r="BO462" s="176"/>
      <c r="BP462" s="176"/>
      <c r="BQ462" s="176"/>
      <c r="BR462" s="176"/>
      <c r="BS462" s="176"/>
      <c r="BT462" s="176"/>
      <c r="BU462" s="176"/>
      <c r="BV462" s="176"/>
      <c r="BW462" s="176"/>
      <c r="BX462" s="176"/>
      <c r="BY462" s="176"/>
      <c r="BZ462" s="176"/>
      <c r="CA462" s="176"/>
      <c r="CB462" s="176"/>
      <c r="CC462" s="176"/>
      <c r="CD462" s="176"/>
      <c r="CE462" s="176"/>
      <c r="CF462" s="176"/>
      <c r="CG462" s="176"/>
      <c r="CH462" s="176"/>
    </row>
    <row r="463" spans="1:86" ht="21.4" customHeight="1" x14ac:dyDescent="0.35">
      <c r="A463" s="176"/>
      <c r="B463" s="176"/>
      <c r="C463" s="713"/>
      <c r="D463" s="176"/>
      <c r="E463" s="176"/>
      <c r="F463" s="176"/>
      <c r="G463" s="176"/>
      <c r="H463" s="176"/>
      <c r="I463" s="176"/>
      <c r="J463" s="176"/>
      <c r="K463" s="176"/>
      <c r="L463" s="176"/>
      <c r="M463" s="176"/>
      <c r="N463" s="176"/>
      <c r="O463" s="176"/>
      <c r="P463" s="176"/>
      <c r="Q463" s="176"/>
      <c r="R463" s="176"/>
      <c r="S463" s="176"/>
      <c r="T463" s="176"/>
      <c r="U463" s="176"/>
      <c r="V463" s="176"/>
      <c r="W463" s="176"/>
      <c r="X463" s="176"/>
      <c r="Y463" s="176"/>
      <c r="Z463" s="176"/>
      <c r="AA463" s="176"/>
      <c r="AB463" s="176"/>
      <c r="AC463" s="176"/>
      <c r="AD463" s="176"/>
      <c r="AE463" s="176"/>
      <c r="AF463" s="176"/>
      <c r="AG463" s="176"/>
      <c r="AH463" s="176"/>
      <c r="AI463" s="176"/>
      <c r="AJ463" s="176"/>
      <c r="AK463" s="176"/>
      <c r="AL463" s="176"/>
      <c r="AM463" s="176"/>
      <c r="AN463" s="176"/>
      <c r="AO463" s="176"/>
      <c r="AP463" s="176"/>
      <c r="AQ463" s="176"/>
      <c r="AR463" s="176"/>
      <c r="AS463" s="176"/>
      <c r="AT463" s="176"/>
      <c r="AU463" s="176"/>
      <c r="AV463" s="176"/>
      <c r="AW463" s="176"/>
      <c r="AX463" s="176"/>
      <c r="AY463" s="176"/>
      <c r="AZ463" s="176"/>
      <c r="BA463" s="176"/>
      <c r="BB463" s="176"/>
      <c r="BC463" s="176"/>
      <c r="BD463" s="176"/>
      <c r="BE463" s="176"/>
      <c r="BF463" s="176"/>
      <c r="BG463" s="176"/>
      <c r="BH463" s="176"/>
      <c r="BI463" s="176"/>
      <c r="BJ463" s="176"/>
      <c r="BK463" s="176"/>
      <c r="BL463" s="176"/>
      <c r="BM463" s="176"/>
      <c r="BN463" s="176"/>
      <c r="BO463" s="176"/>
      <c r="BP463" s="176"/>
      <c r="BQ463" s="176"/>
      <c r="BR463" s="176"/>
      <c r="BS463" s="176"/>
      <c r="BT463" s="176"/>
      <c r="BU463" s="176"/>
      <c r="BV463" s="176"/>
      <c r="BW463" s="176"/>
      <c r="BX463" s="176"/>
      <c r="BY463" s="176"/>
      <c r="BZ463" s="176"/>
      <c r="CA463" s="176"/>
      <c r="CB463" s="176"/>
      <c r="CC463" s="176"/>
      <c r="CD463" s="176"/>
      <c r="CE463" s="176"/>
      <c r="CF463" s="176"/>
      <c r="CG463" s="176"/>
      <c r="CH463" s="176"/>
    </row>
    <row r="464" spans="1:86" ht="21.4" customHeight="1" x14ac:dyDescent="0.35">
      <c r="A464" s="176"/>
      <c r="B464" s="176"/>
      <c r="C464" s="713"/>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c r="Z464" s="176"/>
      <c r="AA464" s="176"/>
      <c r="AB464" s="176"/>
      <c r="AC464" s="176"/>
      <c r="AD464" s="176"/>
      <c r="AE464" s="176"/>
      <c r="AF464" s="176"/>
      <c r="AG464" s="176"/>
      <c r="AH464" s="176"/>
      <c r="AI464" s="176"/>
      <c r="AJ464" s="176"/>
      <c r="AK464" s="176"/>
      <c r="AL464" s="176"/>
      <c r="AM464" s="176"/>
      <c r="AN464" s="176"/>
      <c r="AO464" s="176"/>
      <c r="AP464" s="176"/>
      <c r="AQ464" s="176"/>
      <c r="AR464" s="176"/>
      <c r="AS464" s="176"/>
      <c r="AT464" s="176"/>
      <c r="AU464" s="176"/>
      <c r="AV464" s="176"/>
      <c r="AW464" s="176"/>
      <c r="AX464" s="176"/>
      <c r="AY464" s="176"/>
      <c r="AZ464" s="176"/>
      <c r="BA464" s="176"/>
      <c r="BB464" s="176"/>
      <c r="BC464" s="176"/>
      <c r="BD464" s="176"/>
      <c r="BE464" s="176"/>
      <c r="BF464" s="176"/>
      <c r="BG464" s="176"/>
      <c r="BH464" s="176"/>
      <c r="BI464" s="176"/>
      <c r="BJ464" s="176"/>
      <c r="BK464" s="176"/>
      <c r="BL464" s="176"/>
      <c r="BM464" s="176"/>
      <c r="BN464" s="176"/>
      <c r="BO464" s="176"/>
      <c r="BP464" s="176"/>
      <c r="BQ464" s="176"/>
      <c r="BR464" s="176"/>
      <c r="BS464" s="176"/>
      <c r="BT464" s="176"/>
      <c r="BU464" s="176"/>
      <c r="BV464" s="176"/>
      <c r="BW464" s="176"/>
      <c r="BX464" s="176"/>
      <c r="BY464" s="176"/>
      <c r="BZ464" s="176"/>
      <c r="CA464" s="176"/>
      <c r="CB464" s="176"/>
      <c r="CC464" s="176"/>
      <c r="CD464" s="176"/>
      <c r="CE464" s="176"/>
      <c r="CF464" s="176"/>
      <c r="CG464" s="176"/>
      <c r="CH464" s="176"/>
    </row>
    <row r="465" spans="1:86" ht="21.4" customHeight="1" x14ac:dyDescent="0.35">
      <c r="A465" s="176"/>
      <c r="B465" s="176"/>
      <c r="C465" s="713"/>
      <c r="D465" s="176"/>
      <c r="E465" s="176"/>
      <c r="F465" s="176"/>
      <c r="G465" s="176"/>
      <c r="H465" s="176"/>
      <c r="I465" s="176"/>
      <c r="J465" s="176"/>
      <c r="K465" s="176"/>
      <c r="L465" s="176"/>
      <c r="M465" s="176"/>
      <c r="N465" s="176"/>
      <c r="O465" s="176"/>
      <c r="P465" s="176"/>
      <c r="Q465" s="176"/>
      <c r="R465" s="176"/>
      <c r="S465" s="176"/>
      <c r="T465" s="176"/>
      <c r="U465" s="176"/>
      <c r="V465" s="176"/>
      <c r="W465" s="176"/>
      <c r="X465" s="176"/>
      <c r="Y465" s="176"/>
      <c r="Z465" s="176"/>
      <c r="AA465" s="176"/>
      <c r="AB465" s="176"/>
      <c r="AC465" s="176"/>
      <c r="AD465" s="176"/>
      <c r="AE465" s="176"/>
      <c r="AF465" s="176"/>
      <c r="AG465" s="176"/>
      <c r="AH465" s="176"/>
      <c r="AI465" s="176"/>
      <c r="AJ465" s="176"/>
      <c r="AK465" s="176"/>
      <c r="AL465" s="176"/>
      <c r="AM465" s="176"/>
      <c r="AN465" s="176"/>
      <c r="AO465" s="176"/>
      <c r="AP465" s="176"/>
      <c r="AQ465" s="176"/>
      <c r="AR465" s="176"/>
      <c r="AS465" s="176"/>
      <c r="AT465" s="176"/>
      <c r="AU465" s="176"/>
      <c r="AV465" s="176"/>
      <c r="AW465" s="176"/>
      <c r="AX465" s="176"/>
      <c r="AY465" s="176"/>
      <c r="AZ465" s="176"/>
      <c r="BA465" s="176"/>
      <c r="BB465" s="176"/>
      <c r="BC465" s="176"/>
      <c r="BD465" s="176"/>
      <c r="BE465" s="176"/>
      <c r="BF465" s="176"/>
      <c r="BG465" s="176"/>
      <c r="BH465" s="176"/>
      <c r="BI465" s="176"/>
      <c r="BJ465" s="176"/>
      <c r="BK465" s="176"/>
      <c r="BL465" s="176"/>
      <c r="BM465" s="176"/>
      <c r="BN465" s="176"/>
      <c r="BO465" s="176"/>
      <c r="BP465" s="176"/>
      <c r="BQ465" s="176"/>
      <c r="BR465" s="176"/>
      <c r="BS465" s="176"/>
      <c r="BT465" s="176"/>
      <c r="BU465" s="176"/>
      <c r="BV465" s="176"/>
      <c r="BW465" s="176"/>
      <c r="BX465" s="176"/>
      <c r="BY465" s="176"/>
      <c r="BZ465" s="176"/>
      <c r="CA465" s="176"/>
      <c r="CB465" s="176"/>
      <c r="CC465" s="176"/>
      <c r="CD465" s="176"/>
      <c r="CE465" s="176"/>
      <c r="CF465" s="176"/>
      <c r="CG465" s="176"/>
      <c r="CH465" s="176"/>
    </row>
    <row r="466" spans="1:86" ht="21.4" customHeight="1" x14ac:dyDescent="0.35">
      <c r="A466" s="176"/>
      <c r="B466" s="176"/>
      <c r="C466" s="713"/>
      <c r="D466" s="176"/>
      <c r="E466" s="176"/>
      <c r="F466" s="176"/>
      <c r="G466" s="176"/>
      <c r="H466" s="176"/>
      <c r="I466" s="176"/>
      <c r="J466" s="176"/>
      <c r="K466" s="176"/>
      <c r="L466" s="176"/>
      <c r="M466" s="176"/>
      <c r="N466" s="176"/>
      <c r="O466" s="176"/>
      <c r="P466" s="176"/>
      <c r="Q466" s="176"/>
      <c r="R466" s="176"/>
      <c r="S466" s="176"/>
      <c r="T466" s="176"/>
      <c r="U466" s="176"/>
      <c r="V466" s="176"/>
      <c r="W466" s="176"/>
      <c r="X466" s="176"/>
      <c r="Y466" s="176"/>
      <c r="Z466" s="176"/>
      <c r="AA466" s="176"/>
      <c r="AB466" s="176"/>
      <c r="AC466" s="176"/>
      <c r="AD466" s="176"/>
      <c r="AE466" s="176"/>
      <c r="AF466" s="176"/>
      <c r="AG466" s="176"/>
      <c r="AH466" s="176"/>
      <c r="AI466" s="176"/>
      <c r="AJ466" s="176"/>
      <c r="AK466" s="176"/>
      <c r="AL466" s="176"/>
      <c r="AM466" s="176"/>
      <c r="AN466" s="176"/>
      <c r="AO466" s="176"/>
      <c r="AP466" s="176"/>
      <c r="AQ466" s="176"/>
      <c r="AR466" s="176"/>
      <c r="AS466" s="176"/>
      <c r="AT466" s="176"/>
      <c r="AU466" s="176"/>
      <c r="AV466" s="176"/>
      <c r="AW466" s="176"/>
      <c r="AX466" s="176"/>
      <c r="AY466" s="176"/>
      <c r="AZ466" s="176"/>
      <c r="BA466" s="176"/>
      <c r="BB466" s="176"/>
      <c r="BC466" s="176"/>
      <c r="BD466" s="176"/>
      <c r="BE466" s="176"/>
      <c r="BF466" s="176"/>
      <c r="BG466" s="176"/>
      <c r="BH466" s="176"/>
      <c r="BI466" s="176"/>
      <c r="BJ466" s="176"/>
      <c r="BK466" s="176"/>
      <c r="BL466" s="176"/>
      <c r="BM466" s="176"/>
      <c r="BN466" s="176"/>
      <c r="BO466" s="176"/>
      <c r="BP466" s="176"/>
      <c r="BQ466" s="176"/>
      <c r="BR466" s="176"/>
      <c r="BS466" s="176"/>
      <c r="BT466" s="176"/>
      <c r="BU466" s="176"/>
      <c r="BV466" s="176"/>
      <c r="BW466" s="176"/>
      <c r="BX466" s="176"/>
      <c r="BY466" s="176"/>
      <c r="BZ466" s="176"/>
      <c r="CA466" s="176"/>
      <c r="CB466" s="176"/>
      <c r="CC466" s="176"/>
      <c r="CD466" s="176"/>
      <c r="CE466" s="176"/>
      <c r="CF466" s="176"/>
      <c r="CG466" s="176"/>
      <c r="CH466" s="176"/>
    </row>
    <row r="467" spans="1:86" ht="21.4" customHeight="1" x14ac:dyDescent="0.35">
      <c r="A467" s="176"/>
      <c r="B467" s="176"/>
      <c r="C467" s="713"/>
      <c r="D467" s="176"/>
      <c r="E467" s="176"/>
      <c r="F467" s="176"/>
      <c r="G467" s="176"/>
      <c r="H467" s="176"/>
      <c r="I467" s="176"/>
      <c r="J467" s="176"/>
      <c r="K467" s="176"/>
      <c r="L467" s="176"/>
      <c r="M467" s="176"/>
      <c r="N467" s="176"/>
      <c r="O467" s="176"/>
      <c r="P467" s="176"/>
      <c r="Q467" s="176"/>
      <c r="R467" s="176"/>
      <c r="S467" s="176"/>
      <c r="T467" s="176"/>
      <c r="U467" s="176"/>
      <c r="V467" s="176"/>
      <c r="W467" s="176"/>
      <c r="X467" s="176"/>
      <c r="Y467" s="176"/>
      <c r="Z467" s="176"/>
      <c r="AA467" s="176"/>
      <c r="AB467" s="176"/>
      <c r="AC467" s="176"/>
      <c r="AD467" s="176"/>
      <c r="AE467" s="176"/>
      <c r="AF467" s="176"/>
      <c r="AG467" s="176"/>
      <c r="AH467" s="176"/>
      <c r="AI467" s="176"/>
      <c r="AJ467" s="176"/>
      <c r="AK467" s="176"/>
      <c r="AL467" s="176"/>
      <c r="AM467" s="176"/>
      <c r="AN467" s="176"/>
      <c r="AO467" s="176"/>
      <c r="AP467" s="176"/>
      <c r="AQ467" s="176"/>
      <c r="AR467" s="176"/>
      <c r="AS467" s="176"/>
      <c r="AT467" s="176"/>
      <c r="AU467" s="176"/>
      <c r="AV467" s="176"/>
      <c r="AW467" s="176"/>
      <c r="AX467" s="176"/>
      <c r="AY467" s="176"/>
      <c r="AZ467" s="176"/>
      <c r="BA467" s="176"/>
      <c r="BB467" s="176"/>
      <c r="BC467" s="176"/>
      <c r="BD467" s="176"/>
      <c r="BE467" s="176"/>
      <c r="BF467" s="176"/>
      <c r="BG467" s="176"/>
      <c r="BH467" s="176"/>
      <c r="BI467" s="176"/>
      <c r="BJ467" s="176"/>
      <c r="BK467" s="176"/>
      <c r="BL467" s="176"/>
      <c r="BM467" s="176"/>
      <c r="BN467" s="176"/>
      <c r="BO467" s="176"/>
      <c r="BP467" s="176"/>
      <c r="BQ467" s="176"/>
      <c r="BR467" s="176"/>
      <c r="BS467" s="176"/>
      <c r="BT467" s="176"/>
      <c r="BU467" s="176"/>
      <c r="BV467" s="176"/>
      <c r="BW467" s="176"/>
      <c r="BX467" s="176"/>
      <c r="BY467" s="176"/>
      <c r="BZ467" s="176"/>
      <c r="CA467" s="176"/>
      <c r="CB467" s="176"/>
      <c r="CC467" s="176"/>
      <c r="CD467" s="176"/>
      <c r="CE467" s="176"/>
      <c r="CF467" s="176"/>
      <c r="CG467" s="176"/>
      <c r="CH467" s="176"/>
    </row>
    <row r="468" spans="1:86" ht="21.4" customHeight="1" x14ac:dyDescent="0.35">
      <c r="A468" s="176"/>
      <c r="B468" s="176"/>
      <c r="C468" s="713"/>
      <c r="D468" s="176"/>
      <c r="E468" s="176"/>
      <c r="F468" s="176"/>
      <c r="G468" s="176"/>
      <c r="H468" s="176"/>
      <c r="I468" s="176"/>
      <c r="J468" s="176"/>
      <c r="K468" s="176"/>
      <c r="L468" s="176"/>
      <c r="M468" s="176"/>
      <c r="N468" s="176"/>
      <c r="O468" s="176"/>
      <c r="P468" s="176"/>
      <c r="Q468" s="176"/>
      <c r="R468" s="176"/>
      <c r="S468" s="176"/>
      <c r="T468" s="176"/>
      <c r="U468" s="176"/>
      <c r="V468" s="176"/>
      <c r="W468" s="176"/>
      <c r="X468" s="176"/>
      <c r="Y468" s="176"/>
      <c r="Z468" s="176"/>
      <c r="AA468" s="176"/>
      <c r="AB468" s="176"/>
      <c r="AC468" s="176"/>
      <c r="AD468" s="176"/>
      <c r="AE468" s="176"/>
      <c r="AF468" s="176"/>
      <c r="AG468" s="176"/>
      <c r="AH468" s="176"/>
      <c r="AI468" s="176"/>
      <c r="AJ468" s="176"/>
      <c r="AK468" s="176"/>
      <c r="AL468" s="176"/>
      <c r="AM468" s="176"/>
      <c r="AN468" s="176"/>
      <c r="AO468" s="176"/>
      <c r="AP468" s="176"/>
      <c r="AQ468" s="176"/>
      <c r="AR468" s="176"/>
      <c r="AS468" s="176"/>
      <c r="AT468" s="176"/>
      <c r="AU468" s="176"/>
      <c r="AV468" s="176"/>
      <c r="AW468" s="176"/>
      <c r="AX468" s="176"/>
      <c r="AY468" s="176"/>
      <c r="AZ468" s="176"/>
      <c r="BA468" s="176"/>
      <c r="BB468" s="176"/>
      <c r="BC468" s="176"/>
      <c r="BD468" s="176"/>
      <c r="BE468" s="176"/>
      <c r="BF468" s="176"/>
      <c r="BG468" s="176"/>
      <c r="BH468" s="176"/>
      <c r="BI468" s="176"/>
      <c r="BJ468" s="176"/>
      <c r="BK468" s="176"/>
      <c r="BL468" s="176"/>
      <c r="BM468" s="176"/>
      <c r="BN468" s="176"/>
      <c r="BO468" s="176"/>
      <c r="BP468" s="176"/>
      <c r="BQ468" s="176"/>
      <c r="BR468" s="176"/>
      <c r="BS468" s="176"/>
      <c r="BT468" s="176"/>
      <c r="BU468" s="176"/>
      <c r="BV468" s="176"/>
      <c r="BW468" s="176"/>
      <c r="BX468" s="176"/>
      <c r="BY468" s="176"/>
      <c r="BZ468" s="176"/>
      <c r="CA468" s="176"/>
      <c r="CB468" s="176"/>
      <c r="CC468" s="176"/>
      <c r="CD468" s="176"/>
      <c r="CE468" s="176"/>
      <c r="CF468" s="176"/>
      <c r="CG468" s="176"/>
      <c r="CH468" s="176"/>
    </row>
  </sheetData>
  <sheetProtection sheet="1" formatRows="0"/>
  <mergeCells count="67">
    <mergeCell ref="S28:S30"/>
    <mergeCell ref="E28:F29"/>
    <mergeCell ref="G28:H29"/>
    <mergeCell ref="G165:G167"/>
    <mergeCell ref="D165:E165"/>
    <mergeCell ref="H165:H166"/>
    <mergeCell ref="F165:F166"/>
    <mergeCell ref="I165:I167"/>
    <mergeCell ref="E102:J102"/>
    <mergeCell ref="E103:F103"/>
    <mergeCell ref="G103:H103"/>
    <mergeCell ref="I103:J103"/>
    <mergeCell ref="E84:F84"/>
    <mergeCell ref="G84:H84"/>
    <mergeCell ref="I84:J84"/>
    <mergeCell ref="H143:I143"/>
    <mergeCell ref="I248:I253"/>
    <mergeCell ref="K248:K267"/>
    <mergeCell ref="I260:I267"/>
    <mergeCell ref="B28:B30"/>
    <mergeCell ref="C28:C30"/>
    <mergeCell ref="D28:D30"/>
    <mergeCell ref="C114:C116"/>
    <mergeCell ref="B83:B85"/>
    <mergeCell ref="C83:C85"/>
    <mergeCell ref="B105:B107"/>
    <mergeCell ref="B114:B116"/>
    <mergeCell ref="B88:B91"/>
    <mergeCell ref="B86:B87"/>
    <mergeCell ref="C102:C104"/>
    <mergeCell ref="D83:D85"/>
    <mergeCell ref="E83:J83"/>
    <mergeCell ref="B133:B135"/>
    <mergeCell ref="C127:C129"/>
    <mergeCell ref="D127:D129"/>
    <mergeCell ref="B127:B129"/>
    <mergeCell ref="B102:B104"/>
    <mergeCell ref="D102:D104"/>
    <mergeCell ref="D114:D116"/>
    <mergeCell ref="B130:B132"/>
    <mergeCell ref="B118:B121"/>
    <mergeCell ref="E114:J114"/>
    <mergeCell ref="E115:F115"/>
    <mergeCell ref="G115:H115"/>
    <mergeCell ref="I115:J115"/>
    <mergeCell ref="J29:M29"/>
    <mergeCell ref="G128:H128"/>
    <mergeCell ref="F143:G143"/>
    <mergeCell ref="J143:K143"/>
    <mergeCell ref="E142:E144"/>
    <mergeCell ref="I128:J128"/>
    <mergeCell ref="H180:K180"/>
    <mergeCell ref="B92:B93"/>
    <mergeCell ref="N29:Q29"/>
    <mergeCell ref="J28:Q28"/>
    <mergeCell ref="R28:R30"/>
    <mergeCell ref="I28:I29"/>
    <mergeCell ref="K83:K84"/>
    <mergeCell ref="C142:C144"/>
    <mergeCell ref="F142:K142"/>
    <mergeCell ref="B145:B149"/>
    <mergeCell ref="B150:B154"/>
    <mergeCell ref="B155:B159"/>
    <mergeCell ref="B142:B144"/>
    <mergeCell ref="D142:D144"/>
    <mergeCell ref="E127:J127"/>
    <mergeCell ref="E128:F128"/>
  </mergeCells>
  <phoneticPr fontId="28" type="noConversion"/>
  <pageMargins left="0.7" right="0.7" top="0.75" bottom="0.75" header="0.3" footer="0.3"/>
  <pageSetup paperSize="9" orientation="portrait" r:id="rId1"/>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ED772-9160-4135-A24B-3ECE33B36CE9}">
  <sheetPr codeName="Folha29">
    <tabColor rgb="FF58D4CC"/>
  </sheetPr>
  <dimension ref="A1:R50"/>
  <sheetViews>
    <sheetView showGridLines="0" topLeftCell="A36" zoomScaleNormal="100" workbookViewId="0">
      <selection activeCell="Q25" sqref="Q25"/>
    </sheetView>
  </sheetViews>
  <sheetFormatPr defaultColWidth="0" defaultRowHeight="15.5" zeroHeight="1" x14ac:dyDescent="0.35"/>
  <cols>
    <col min="1" max="1" width="8.7265625" style="169" customWidth="1"/>
    <col min="2" max="2" width="34.26953125" style="169" customWidth="1"/>
    <col min="3" max="3" width="31.453125" style="169" bestFit="1" customWidth="1"/>
    <col min="4" max="4" width="30.26953125" style="169" bestFit="1" customWidth="1"/>
    <col min="5" max="5" width="31.26953125" style="169" bestFit="1" customWidth="1"/>
    <col min="6" max="18" width="8.7265625" style="169" customWidth="1"/>
    <col min="19" max="16384" width="8.7265625" style="169" hidden="1"/>
  </cols>
  <sheetData>
    <row r="1" spans="2:6" x14ac:dyDescent="0.35"/>
    <row r="2" spans="2:6" x14ac:dyDescent="0.35"/>
    <row r="3" spans="2:6" x14ac:dyDescent="0.35"/>
    <row r="4" spans="2:6" x14ac:dyDescent="0.35"/>
    <row r="5" spans="2:6" x14ac:dyDescent="0.35"/>
    <row r="6" spans="2:6" x14ac:dyDescent="0.35"/>
    <row r="7" spans="2:6" x14ac:dyDescent="0.35"/>
    <row r="8" spans="2:6" x14ac:dyDescent="0.35"/>
    <row r="9" spans="2:6" x14ac:dyDescent="0.35"/>
    <row r="10" spans="2:6" x14ac:dyDescent="0.35"/>
    <row r="11" spans="2:6" x14ac:dyDescent="0.35"/>
    <row r="12" spans="2:6" ht="18.5" x14ac:dyDescent="0.45">
      <c r="B12" s="478" t="s">
        <v>264</v>
      </c>
      <c r="C12" s="236"/>
      <c r="D12" s="236"/>
      <c r="E12" s="236"/>
      <c r="F12" s="176"/>
    </row>
    <row r="13" spans="2:6" x14ac:dyDescent="0.35">
      <c r="B13" s="473" t="s">
        <v>265</v>
      </c>
      <c r="C13" s="236"/>
      <c r="D13" s="236"/>
      <c r="E13" s="236"/>
      <c r="F13" s="176"/>
    </row>
    <row r="14" spans="2:6" x14ac:dyDescent="0.35">
      <c r="B14" s="236"/>
      <c r="C14" s="236"/>
      <c r="D14" s="236"/>
      <c r="E14" s="236"/>
      <c r="F14" s="176"/>
    </row>
    <row r="15" spans="2:6" x14ac:dyDescent="0.35">
      <c r="B15" s="1311" t="s">
        <v>266</v>
      </c>
      <c r="C15" s="1312"/>
      <c r="D15" s="1312"/>
      <c r="E15" s="1313"/>
      <c r="F15" s="176"/>
    </row>
    <row r="16" spans="2:6" x14ac:dyDescent="0.35">
      <c r="B16" s="474" t="s">
        <v>267</v>
      </c>
      <c r="C16" s="475" t="s">
        <v>268</v>
      </c>
      <c r="D16" s="475" t="s">
        <v>269</v>
      </c>
      <c r="E16" s="475" t="s">
        <v>270</v>
      </c>
      <c r="F16" s="176"/>
    </row>
    <row r="17" spans="2:6" x14ac:dyDescent="0.35">
      <c r="B17" s="474" t="s">
        <v>271</v>
      </c>
      <c r="C17" s="475" t="s">
        <v>272</v>
      </c>
      <c r="D17" s="475"/>
      <c r="E17" s="475"/>
      <c r="F17" s="176"/>
    </row>
    <row r="18" spans="2:6" x14ac:dyDescent="0.35">
      <c r="B18" s="474" t="s">
        <v>273</v>
      </c>
      <c r="C18" s="475" t="s">
        <v>274</v>
      </c>
      <c r="D18" s="475" t="s">
        <v>275</v>
      </c>
      <c r="E18" s="475"/>
      <c r="F18" s="176"/>
    </row>
    <row r="19" spans="2:6" x14ac:dyDescent="0.35">
      <c r="B19" s="474" t="s">
        <v>276</v>
      </c>
      <c r="C19" s="475" t="s">
        <v>272</v>
      </c>
      <c r="D19" s="475" t="s">
        <v>277</v>
      </c>
      <c r="E19" s="475" t="s">
        <v>278</v>
      </c>
      <c r="F19" s="176"/>
    </row>
    <row r="20" spans="2:6" x14ac:dyDescent="0.35">
      <c r="B20" s="236"/>
      <c r="C20" s="476"/>
      <c r="D20" s="476"/>
      <c r="E20" s="476"/>
      <c r="F20" s="176"/>
    </row>
    <row r="21" spans="2:6" x14ac:dyDescent="0.35">
      <c r="B21" s="1311" t="s">
        <v>279</v>
      </c>
      <c r="C21" s="1312"/>
      <c r="D21" s="1312"/>
      <c r="E21" s="1313"/>
      <c r="F21" s="176"/>
    </row>
    <row r="22" spans="2:6" ht="17.5" x14ac:dyDescent="0.35">
      <c r="B22" s="474" t="s">
        <v>1391</v>
      </c>
      <c r="C22" s="475" t="s">
        <v>280</v>
      </c>
      <c r="D22" s="475" t="s">
        <v>281</v>
      </c>
      <c r="E22" s="475"/>
      <c r="F22" s="176"/>
    </row>
    <row r="23" spans="2:6" ht="17.5" x14ac:dyDescent="0.35">
      <c r="B23" s="474" t="s">
        <v>1391</v>
      </c>
      <c r="C23" s="475" t="s">
        <v>282</v>
      </c>
      <c r="D23" s="475" t="s">
        <v>1392</v>
      </c>
      <c r="E23" s="475"/>
      <c r="F23" s="176"/>
    </row>
    <row r="24" spans="2:6" ht="17.5" x14ac:dyDescent="0.35">
      <c r="B24" s="474" t="s">
        <v>283</v>
      </c>
      <c r="C24" s="475" t="s">
        <v>284</v>
      </c>
      <c r="D24" s="475" t="s">
        <v>285</v>
      </c>
      <c r="E24" s="475" t="s">
        <v>1393</v>
      </c>
      <c r="F24" s="176"/>
    </row>
    <row r="25" spans="2:6" ht="17.5" x14ac:dyDescent="0.35">
      <c r="B25" s="474" t="s">
        <v>286</v>
      </c>
      <c r="C25" s="475" t="s">
        <v>287</v>
      </c>
      <c r="D25" s="475" t="s">
        <v>288</v>
      </c>
      <c r="E25" s="475" t="s">
        <v>1394</v>
      </c>
      <c r="F25" s="176"/>
    </row>
    <row r="26" spans="2:6" ht="17.5" x14ac:dyDescent="0.35">
      <c r="B26" s="474" t="s">
        <v>289</v>
      </c>
      <c r="C26" s="475" t="s">
        <v>1395</v>
      </c>
      <c r="D26" s="475" t="s">
        <v>290</v>
      </c>
      <c r="E26" s="475"/>
      <c r="F26" s="176"/>
    </row>
    <row r="27" spans="2:6" ht="17.5" x14ac:dyDescent="0.35">
      <c r="B27" s="474" t="s">
        <v>1396</v>
      </c>
      <c r="C27" s="475" t="s">
        <v>291</v>
      </c>
      <c r="D27" s="475" t="s">
        <v>292</v>
      </c>
      <c r="E27" s="475" t="s">
        <v>293</v>
      </c>
      <c r="F27" s="176"/>
    </row>
    <row r="28" spans="2:6" x14ac:dyDescent="0.35">
      <c r="B28" s="236"/>
      <c r="C28" s="476"/>
      <c r="D28" s="476"/>
      <c r="E28" s="476"/>
      <c r="F28" s="176"/>
    </row>
    <row r="29" spans="2:6" x14ac:dyDescent="0.35">
      <c r="B29" s="1311" t="s">
        <v>7</v>
      </c>
      <c r="C29" s="1312"/>
      <c r="D29" s="1312"/>
      <c r="E29" s="1313"/>
      <c r="F29" s="176"/>
    </row>
    <row r="30" spans="2:6" x14ac:dyDescent="0.35">
      <c r="B30" s="474" t="s">
        <v>294</v>
      </c>
      <c r="C30" s="475" t="s">
        <v>295</v>
      </c>
      <c r="D30" s="475" t="s">
        <v>296</v>
      </c>
      <c r="E30" s="475"/>
      <c r="F30" s="176"/>
    </row>
    <row r="31" spans="2:6" x14ac:dyDescent="0.35">
      <c r="B31" s="474" t="s">
        <v>297</v>
      </c>
      <c r="C31" s="475" t="s">
        <v>298</v>
      </c>
      <c r="D31" s="475"/>
      <c r="E31" s="475"/>
      <c r="F31" s="176"/>
    </row>
    <row r="32" spans="2:6" x14ac:dyDescent="0.35">
      <c r="B32" s="474" t="s">
        <v>299</v>
      </c>
      <c r="C32" s="475" t="s">
        <v>300</v>
      </c>
      <c r="D32" s="475" t="s">
        <v>301</v>
      </c>
      <c r="E32" s="475"/>
      <c r="F32" s="176"/>
    </row>
    <row r="33" spans="2:6" x14ac:dyDescent="0.35">
      <c r="B33" s="474" t="s">
        <v>302</v>
      </c>
      <c r="C33" s="475" t="s">
        <v>303</v>
      </c>
      <c r="D33" s="475"/>
      <c r="E33" s="475"/>
      <c r="F33" s="176"/>
    </row>
    <row r="34" spans="2:6" x14ac:dyDescent="0.35">
      <c r="B34" s="474" t="s">
        <v>304</v>
      </c>
      <c r="C34" s="475" t="s">
        <v>305</v>
      </c>
      <c r="D34" s="475" t="s">
        <v>306</v>
      </c>
      <c r="E34" s="475"/>
      <c r="F34" s="176"/>
    </row>
    <row r="35" spans="2:6" x14ac:dyDescent="0.35">
      <c r="B35" s="474" t="s">
        <v>307</v>
      </c>
      <c r="C35" s="475" t="s">
        <v>308</v>
      </c>
      <c r="D35" s="475"/>
      <c r="E35" s="475"/>
      <c r="F35" s="176"/>
    </row>
    <row r="36" spans="2:6" x14ac:dyDescent="0.35">
      <c r="B36" s="236"/>
      <c r="C36" s="476"/>
      <c r="D36" s="476"/>
      <c r="E36" s="476"/>
      <c r="F36" s="176"/>
    </row>
    <row r="37" spans="2:6" x14ac:dyDescent="0.35">
      <c r="B37" s="1311" t="s">
        <v>309</v>
      </c>
      <c r="C37" s="1313"/>
      <c r="D37" s="476"/>
      <c r="E37" s="476"/>
      <c r="F37" s="176"/>
    </row>
    <row r="38" spans="2:6" x14ac:dyDescent="0.35">
      <c r="B38" s="474" t="s">
        <v>310</v>
      </c>
      <c r="C38" s="475" t="s">
        <v>311</v>
      </c>
      <c r="D38" s="476"/>
      <c r="E38" s="476"/>
      <c r="F38" s="176"/>
    </row>
    <row r="39" spans="2:6" x14ac:dyDescent="0.35">
      <c r="B39" s="474" t="s">
        <v>312</v>
      </c>
      <c r="C39" s="475" t="s">
        <v>313</v>
      </c>
      <c r="D39" s="476"/>
      <c r="E39" s="476"/>
      <c r="F39" s="176"/>
    </row>
    <row r="40" spans="2:6" x14ac:dyDescent="0.35">
      <c r="B40" s="236"/>
      <c r="C40" s="236"/>
      <c r="D40" s="476"/>
      <c r="E40" s="476"/>
      <c r="F40" s="176"/>
    </row>
    <row r="41" spans="2:6" x14ac:dyDescent="0.35">
      <c r="B41" s="1311" t="s">
        <v>314</v>
      </c>
      <c r="C41" s="1313"/>
      <c r="D41" s="476"/>
      <c r="E41" s="476"/>
      <c r="F41" s="176"/>
    </row>
    <row r="42" spans="2:6" ht="17.5" x14ac:dyDescent="0.35">
      <c r="B42" s="474" t="s">
        <v>315</v>
      </c>
      <c r="C42" s="477" t="s">
        <v>1397</v>
      </c>
      <c r="D42" s="476"/>
      <c r="E42" s="476"/>
      <c r="F42" s="176"/>
    </row>
    <row r="43" spans="2:6" ht="17.5" x14ac:dyDescent="0.35">
      <c r="B43" s="474" t="s">
        <v>316</v>
      </c>
      <c r="C43" s="477" t="s">
        <v>1398</v>
      </c>
      <c r="D43" s="476"/>
      <c r="E43" s="476"/>
      <c r="F43" s="176"/>
    </row>
    <row r="44" spans="2:6" ht="17.5" x14ac:dyDescent="0.35">
      <c r="B44" s="474" t="s">
        <v>317</v>
      </c>
      <c r="C44" s="477" t="s">
        <v>1399</v>
      </c>
      <c r="D44" s="476"/>
      <c r="E44" s="476"/>
      <c r="F44" s="176"/>
    </row>
    <row r="45" spans="2:6" ht="17.5" x14ac:dyDescent="0.35">
      <c r="B45" s="474" t="s">
        <v>318</v>
      </c>
      <c r="C45" s="477" t="s">
        <v>1400</v>
      </c>
      <c r="D45" s="476"/>
      <c r="E45" s="476"/>
      <c r="F45" s="176"/>
    </row>
    <row r="46" spans="2:6" x14ac:dyDescent="0.35">
      <c r="B46" s="474" t="s">
        <v>319</v>
      </c>
      <c r="C46" s="475">
        <v>12</v>
      </c>
      <c r="D46" s="476"/>
      <c r="E46" s="476"/>
      <c r="F46" s="176"/>
    </row>
    <row r="47" spans="2:6" ht="17.5" x14ac:dyDescent="0.35">
      <c r="B47" s="474" t="s">
        <v>1401</v>
      </c>
      <c r="C47" s="475">
        <v>44</v>
      </c>
      <c r="D47" s="476"/>
      <c r="E47" s="476"/>
      <c r="F47" s="176"/>
    </row>
    <row r="48" spans="2:6" x14ac:dyDescent="0.35">
      <c r="B48" s="236"/>
      <c r="C48" s="236"/>
      <c r="D48" s="236"/>
      <c r="E48" s="236"/>
      <c r="F48" s="176"/>
    </row>
    <row r="49" x14ac:dyDescent="0.35"/>
    <row r="50" x14ac:dyDescent="0.35"/>
  </sheetData>
  <sheetProtection algorithmName="SHA-512" hashValue="k5E69Duu9DObjguk5mPb6CEa3C0X/6R+qCUUIJR1FilOjRTT3XrVUivmZ/cs0Edut27AAgFAMJCu32+Vc43kTw==" saltValue="kOXg5cM1PSDleoGZ07WwPg==" spinCount="100000" sheet="1" objects="1" scenarios="1" selectLockedCells="1"/>
  <mergeCells count="5">
    <mergeCell ref="B15:E15"/>
    <mergeCell ref="B21:E21"/>
    <mergeCell ref="B29:E29"/>
    <mergeCell ref="B37:C37"/>
    <mergeCell ref="B41:C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6E291-EBAC-49F8-A58C-9606D966D01A}">
  <sheetPr codeName="Folha3">
    <tabColor rgb="FF58D4CC"/>
  </sheetPr>
  <dimension ref="A1:AC33"/>
  <sheetViews>
    <sheetView showGridLines="0" topLeftCell="A12" zoomScale="70" zoomScaleNormal="70" workbookViewId="0">
      <selection activeCell="P30" sqref="P30"/>
    </sheetView>
  </sheetViews>
  <sheetFormatPr defaultColWidth="0" defaultRowHeight="18.5" zeroHeight="1" x14ac:dyDescent="0.45"/>
  <cols>
    <col min="1" max="1" width="7.453125" style="391" customWidth="1"/>
    <col min="2" max="2" width="23.7265625" style="379" customWidth="1"/>
    <col min="3" max="29" width="8.7265625" style="379" customWidth="1"/>
    <col min="30" max="16384" width="8.7265625" style="379" hidden="1"/>
  </cols>
  <sheetData>
    <row r="1" spans="1:4" x14ac:dyDescent="0.45">
      <c r="A1" s="386"/>
      <c r="B1" s="386"/>
      <c r="C1" s="386"/>
      <c r="D1" s="386"/>
    </row>
    <row r="2" spans="1:4" x14ac:dyDescent="0.45">
      <c r="A2" s="386"/>
      <c r="B2" s="386"/>
      <c r="C2" s="386"/>
      <c r="D2" s="386"/>
    </row>
    <row r="3" spans="1:4" x14ac:dyDescent="0.45">
      <c r="A3" s="386"/>
      <c r="B3" s="386"/>
      <c r="C3" s="386"/>
      <c r="D3" s="386"/>
    </row>
    <row r="4" spans="1:4" x14ac:dyDescent="0.45">
      <c r="A4" s="386"/>
      <c r="B4" s="386"/>
      <c r="C4" s="386"/>
      <c r="D4" s="386"/>
    </row>
    <row r="5" spans="1:4" x14ac:dyDescent="0.45">
      <c r="A5" s="386"/>
      <c r="B5" s="386"/>
      <c r="C5" s="386"/>
      <c r="D5" s="386"/>
    </row>
    <row r="6" spans="1:4" x14ac:dyDescent="0.45">
      <c r="A6" s="386"/>
      <c r="B6" s="386"/>
      <c r="C6" s="386"/>
      <c r="D6" s="386"/>
    </row>
    <row r="7" spans="1:4" x14ac:dyDescent="0.45">
      <c r="A7" s="386"/>
      <c r="B7" s="386"/>
      <c r="C7" s="386"/>
      <c r="D7" s="386"/>
    </row>
    <row r="8" spans="1:4" x14ac:dyDescent="0.45">
      <c r="A8" s="386"/>
      <c r="B8" s="386"/>
      <c r="C8" s="386"/>
      <c r="D8" s="386"/>
    </row>
    <row r="9" spans="1:4" x14ac:dyDescent="0.45">
      <c r="A9" s="386"/>
      <c r="B9" s="386"/>
      <c r="C9" s="386"/>
      <c r="D9" s="386"/>
    </row>
    <row r="10" spans="1:4" x14ac:dyDescent="0.45">
      <c r="A10" s="386"/>
      <c r="B10" s="386"/>
      <c r="C10" s="386"/>
      <c r="D10" s="386"/>
    </row>
    <row r="11" spans="1:4" ht="21" x14ac:dyDescent="0.5">
      <c r="A11" s="386"/>
      <c r="B11" s="385" t="s">
        <v>1010</v>
      </c>
      <c r="C11" s="386"/>
      <c r="D11" s="386"/>
    </row>
    <row r="12" spans="1:4" x14ac:dyDescent="0.45">
      <c r="A12" s="387"/>
      <c r="B12" s="388" t="str">
        <f>Triagem!D28</f>
        <v>Dados Gerais</v>
      </c>
      <c r="C12" s="386"/>
      <c r="D12" s="386"/>
    </row>
    <row r="13" spans="1:4" x14ac:dyDescent="0.45">
      <c r="A13" s="389" t="str" cm="1">
        <f t="array" ref="A13">_xlfn._xlws.FILTER(Triagem!C29:D37,Triagem!C29:C37=FACM!$B$13,"")</f>
        <v/>
      </c>
      <c r="B13" s="388"/>
      <c r="C13" s="386"/>
      <c r="D13" s="386"/>
    </row>
    <row r="14" spans="1:4" x14ac:dyDescent="0.45">
      <c r="A14" s="389"/>
      <c r="B14" s="388"/>
      <c r="C14" s="386"/>
      <c r="D14" s="386"/>
    </row>
    <row r="15" spans="1:4" x14ac:dyDescent="0.45">
      <c r="A15" s="389"/>
      <c r="B15" s="388"/>
      <c r="C15" s="386"/>
      <c r="D15" s="386"/>
    </row>
    <row r="16" spans="1:4" x14ac:dyDescent="0.45">
      <c r="A16" s="389"/>
      <c r="B16" s="388"/>
      <c r="C16" s="386"/>
      <c r="D16" s="386"/>
    </row>
    <row r="17" spans="1:4" x14ac:dyDescent="0.45">
      <c r="A17" s="389"/>
      <c r="B17" s="388"/>
      <c r="C17" s="386"/>
      <c r="D17" s="386"/>
    </row>
    <row r="18" spans="1:4" x14ac:dyDescent="0.45">
      <c r="A18" s="389"/>
      <c r="B18" s="388"/>
      <c r="C18" s="390"/>
      <c r="D18" s="386"/>
    </row>
    <row r="19" spans="1:4" x14ac:dyDescent="0.45">
      <c r="A19" s="389"/>
      <c r="B19" s="388"/>
      <c r="C19" s="386"/>
      <c r="D19" s="386"/>
    </row>
    <row r="20" spans="1:4" x14ac:dyDescent="0.45">
      <c r="A20" s="389"/>
      <c r="B20" s="388"/>
      <c r="C20" s="386"/>
      <c r="D20" s="386"/>
    </row>
    <row r="21" spans="1:4" x14ac:dyDescent="0.45">
      <c r="A21" s="389"/>
      <c r="B21" s="388"/>
      <c r="C21" s="386"/>
      <c r="D21" s="386"/>
    </row>
    <row r="22" spans="1:4" x14ac:dyDescent="0.45">
      <c r="A22" s="387"/>
      <c r="B22" s="388"/>
      <c r="C22" s="386"/>
      <c r="D22" s="386"/>
    </row>
    <row r="23" spans="1:4" x14ac:dyDescent="0.45">
      <c r="A23" s="387"/>
      <c r="B23" s="388"/>
      <c r="C23" s="386"/>
      <c r="D23" s="386"/>
    </row>
    <row r="24" spans="1:4" x14ac:dyDescent="0.45">
      <c r="A24" s="387"/>
      <c r="B24" s="388"/>
      <c r="C24" s="386"/>
      <c r="D24" s="386"/>
    </row>
    <row r="25" spans="1:4" x14ac:dyDescent="0.45">
      <c r="B25" s="375"/>
    </row>
    <row r="26" spans="1:4" x14ac:dyDescent="0.45">
      <c r="B26" s="375"/>
    </row>
    <row r="27" spans="1:4" x14ac:dyDescent="0.45">
      <c r="B27" s="375"/>
    </row>
    <row r="28" spans="1:4" x14ac:dyDescent="0.45">
      <c r="B28" s="375"/>
    </row>
    <row r="29" spans="1:4" x14ac:dyDescent="0.45">
      <c r="B29" s="375"/>
    </row>
    <row r="30" spans="1:4" x14ac:dyDescent="0.45">
      <c r="B30" s="375"/>
    </row>
    <row r="31" spans="1:4" x14ac:dyDescent="0.45">
      <c r="B31" s="375"/>
    </row>
    <row r="32" spans="1:4" x14ac:dyDescent="0.45">
      <c r="B32" s="375"/>
    </row>
    <row r="33" spans="2:2" x14ac:dyDescent="0.45">
      <c r="B33" s="375"/>
    </row>
  </sheetData>
  <sheetProtection algorithmName="SHA-512" hashValue="TZnhNdH/oKMFvA4wVd7NHXMTYi1d3+MUoo+3EQTJyTwypDARfu6Tg9zdyD90IF2kXY5rBhK/BKm7GTN+socV6g==" saltValue="21g6FVGgR2Ochk8gbWk0RQ==" spinCount="100000" sheet="1" objects="1" selectLockedCells="1" selectUnlockedCells="1"/>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E7520-E744-41E1-A3BF-33204610377C}">
  <sheetPr codeName="Folha30">
    <tabColor rgb="FF58D4CC"/>
  </sheetPr>
  <dimension ref="A1:R55"/>
  <sheetViews>
    <sheetView showGridLines="0" tabSelected="1" topLeftCell="A18" zoomScaleNormal="100" workbookViewId="0">
      <selection activeCell="E22" sqref="E22"/>
    </sheetView>
  </sheetViews>
  <sheetFormatPr defaultColWidth="0" defaultRowHeight="15.65" customHeight="1" zeroHeight="1" x14ac:dyDescent="0.35"/>
  <cols>
    <col min="1" max="1" width="8.7265625" style="169" customWidth="1"/>
    <col min="2" max="2" width="34.26953125" style="169" customWidth="1"/>
    <col min="3" max="3" width="15.81640625" style="169" customWidth="1"/>
    <col min="4" max="4" width="16.26953125" style="169" customWidth="1"/>
    <col min="5" max="5" width="31.26953125" style="169" bestFit="1" customWidth="1"/>
    <col min="6" max="6" width="54.1796875" style="169" customWidth="1"/>
    <col min="7" max="18" width="8.7265625" style="169" customWidth="1"/>
    <col min="19" max="16384" width="8.7265625" style="169" hidden="1"/>
  </cols>
  <sheetData>
    <row r="1" spans="2:7" ht="15.5" x14ac:dyDescent="0.35"/>
    <row r="2" spans="2:7" ht="15.5" x14ac:dyDescent="0.35"/>
    <row r="3" spans="2:7" ht="15.5" x14ac:dyDescent="0.35"/>
    <row r="4" spans="2:7" ht="15.5" x14ac:dyDescent="0.35"/>
    <row r="5" spans="2:7" ht="15.5" x14ac:dyDescent="0.35"/>
    <row r="6" spans="2:7" ht="15.5" x14ac:dyDescent="0.35"/>
    <row r="7" spans="2:7" ht="15.5" x14ac:dyDescent="0.35"/>
    <row r="8" spans="2:7" ht="15.5" x14ac:dyDescent="0.35"/>
    <row r="9" spans="2:7" ht="15.5" x14ac:dyDescent="0.35"/>
    <row r="10" spans="2:7" ht="15.5" x14ac:dyDescent="0.35"/>
    <row r="11" spans="2:7" ht="15.5" x14ac:dyDescent="0.35"/>
    <row r="12" spans="2:7" ht="18.5" x14ac:dyDescent="0.45">
      <c r="B12" s="478" t="s">
        <v>1402</v>
      </c>
      <c r="C12" s="236"/>
      <c r="D12" s="236"/>
      <c r="E12" s="236"/>
      <c r="F12" s="176"/>
    </row>
    <row r="13" spans="2:7" ht="16" thickBot="1" x14ac:dyDescent="0.4">
      <c r="B13" s="473"/>
      <c r="C13" s="236"/>
      <c r="D13" s="236"/>
      <c r="E13" s="236"/>
      <c r="F13" s="176"/>
    </row>
    <row r="14" spans="2:7" ht="16.5" thickTop="1" thickBot="1" x14ac:dyDescent="0.4">
      <c r="B14" s="479" t="s">
        <v>1403</v>
      </c>
      <c r="C14" s="1318" t="s">
        <v>1574</v>
      </c>
      <c r="D14" s="1318"/>
      <c r="E14" s="1318"/>
      <c r="F14" s="482"/>
      <c r="G14" s="482"/>
    </row>
    <row r="15" spans="2:7" ht="25.9" customHeight="1" thickTop="1" thickBot="1" x14ac:dyDescent="0.4">
      <c r="B15" s="479" t="s">
        <v>1571</v>
      </c>
      <c r="C15" s="1318" t="s">
        <v>1570</v>
      </c>
      <c r="D15" s="1318"/>
      <c r="E15" s="1318"/>
      <c r="F15" s="1318"/>
      <c r="G15" s="1318"/>
    </row>
    <row r="16" spans="2:7" ht="16.5" thickTop="1" thickBot="1" x14ac:dyDescent="0.4">
      <c r="B16" s="479" t="s">
        <v>1522</v>
      </c>
      <c r="C16" s="1318" t="s">
        <v>1404</v>
      </c>
      <c r="D16" s="1318"/>
      <c r="E16" s="1318"/>
      <c r="F16" s="483"/>
      <c r="G16" s="482"/>
    </row>
    <row r="17" spans="2:7" ht="15.65" customHeight="1" thickTop="1" thickBot="1" x14ac:dyDescent="0.4">
      <c r="B17" s="479" t="s">
        <v>1405</v>
      </c>
      <c r="C17" s="1318" t="s">
        <v>1521</v>
      </c>
      <c r="D17" s="1318"/>
      <c r="E17" s="1318"/>
      <c r="F17" s="483"/>
      <c r="G17" s="482"/>
    </row>
    <row r="18" spans="2:7" ht="15.65" customHeight="1" thickTop="1" thickBot="1" x14ac:dyDescent="0.4">
      <c r="B18" s="479" t="s">
        <v>1406</v>
      </c>
      <c r="C18" s="1318" t="s">
        <v>1407</v>
      </c>
      <c r="D18" s="1318"/>
      <c r="E18" s="1318"/>
      <c r="F18" s="483"/>
      <c r="G18" s="482"/>
    </row>
    <row r="19" spans="2:7" ht="35.25" customHeight="1" thickTop="1" x14ac:dyDescent="0.35">
      <c r="B19" s="1317" t="s">
        <v>1573</v>
      </c>
      <c r="C19" s="1317"/>
      <c r="D19" s="1317"/>
      <c r="E19" s="1317"/>
      <c r="F19" s="1317"/>
      <c r="G19" s="1317"/>
    </row>
    <row r="20" spans="2:7" ht="15.65" customHeight="1" x14ac:dyDescent="0.35"/>
    <row r="21" spans="2:7" ht="15.65" customHeight="1" x14ac:dyDescent="0.35"/>
    <row r="22" spans="2:7" ht="15.65" customHeight="1" x14ac:dyDescent="0.45">
      <c r="B22" s="478" t="s">
        <v>1408</v>
      </c>
    </row>
    <row r="23" spans="2:7" ht="15.65" customHeight="1" x14ac:dyDescent="0.35"/>
    <row r="24" spans="2:7" ht="15.65" customHeight="1" x14ac:dyDescent="0.35">
      <c r="B24" s="480" t="s">
        <v>1409</v>
      </c>
      <c r="C24" s="480" t="s">
        <v>1410</v>
      </c>
      <c r="D24" s="1319" t="s">
        <v>1411</v>
      </c>
      <c r="E24" s="1319"/>
      <c r="F24" s="1319"/>
    </row>
    <row r="25" spans="2:7" ht="15.65" customHeight="1" x14ac:dyDescent="0.35">
      <c r="B25" s="481" t="s">
        <v>1634</v>
      </c>
      <c r="C25" s="1014">
        <v>46261</v>
      </c>
      <c r="D25" s="1314" t="s">
        <v>1635</v>
      </c>
      <c r="E25" s="1315"/>
      <c r="F25" s="1316"/>
    </row>
    <row r="26" spans="2:7" ht="15.65" customHeight="1" x14ac:dyDescent="0.35">
      <c r="B26" s="481" t="s">
        <v>1631</v>
      </c>
      <c r="C26" s="1014">
        <v>46174</v>
      </c>
      <c r="D26" s="1314" t="s">
        <v>1632</v>
      </c>
      <c r="E26" s="1315"/>
      <c r="F26" s="1316"/>
    </row>
    <row r="27" spans="2:7" ht="15.65" customHeight="1" x14ac:dyDescent="0.35">
      <c r="B27" s="481" t="s">
        <v>1575</v>
      </c>
      <c r="C27" s="1014">
        <v>45658</v>
      </c>
      <c r="D27" s="1314" t="s">
        <v>1595</v>
      </c>
      <c r="E27" s="1315"/>
      <c r="F27" s="1316"/>
    </row>
    <row r="28" spans="2:7" ht="15.65" customHeight="1" x14ac:dyDescent="0.35">
      <c r="B28" s="481" t="s">
        <v>1412</v>
      </c>
      <c r="C28" s="394"/>
      <c r="D28" s="1314" t="s">
        <v>50</v>
      </c>
      <c r="E28" s="1315"/>
      <c r="F28" s="1316"/>
    </row>
    <row r="29" spans="2:7" ht="15.65" customHeight="1" x14ac:dyDescent="0.35"/>
    <row r="30" spans="2:7" ht="15.65" customHeight="1" x14ac:dyDescent="0.35"/>
    <row r="31" spans="2:7" ht="15.65" customHeight="1" x14ac:dyDescent="0.35"/>
    <row r="32" spans="2:7" ht="15.65" customHeight="1" x14ac:dyDescent="0.35"/>
    <row r="33" ht="15.65" customHeight="1" x14ac:dyDescent="0.35"/>
    <row r="34" ht="15.65" customHeight="1" x14ac:dyDescent="0.35"/>
    <row r="35" ht="15.65" customHeight="1" x14ac:dyDescent="0.35"/>
    <row r="36" ht="15.65" customHeight="1" x14ac:dyDescent="0.35"/>
    <row r="37" ht="15.65" customHeight="1" x14ac:dyDescent="0.35"/>
    <row r="38" ht="15.65" customHeight="1" x14ac:dyDescent="0.35"/>
    <row r="39" ht="15.65" customHeight="1" x14ac:dyDescent="0.35"/>
    <row r="40" ht="15.65" customHeight="1" x14ac:dyDescent="0.35"/>
    <row r="41" ht="15.65" customHeight="1" x14ac:dyDescent="0.35"/>
    <row r="42" ht="15.65" customHeight="1" x14ac:dyDescent="0.35"/>
    <row r="43" ht="15.65" customHeight="1" x14ac:dyDescent="0.35"/>
    <row r="44" ht="15.65" customHeight="1" x14ac:dyDescent="0.35"/>
    <row r="45" ht="15.65" customHeight="1" x14ac:dyDescent="0.35"/>
    <row r="46" ht="15.65" customHeight="1" x14ac:dyDescent="0.35"/>
    <row r="47" ht="15.65" customHeight="1" x14ac:dyDescent="0.35"/>
    <row r="48" ht="15.65" customHeight="1" x14ac:dyDescent="0.35"/>
    <row r="49" ht="15.65" customHeight="1" x14ac:dyDescent="0.35"/>
    <row r="50" ht="15.65" customHeight="1" x14ac:dyDescent="0.35"/>
    <row r="51" ht="15.65" customHeight="1" x14ac:dyDescent="0.35"/>
    <row r="52" ht="15.65" customHeight="1" x14ac:dyDescent="0.35"/>
    <row r="53" ht="15.65" customHeight="1" x14ac:dyDescent="0.35"/>
    <row r="54" ht="15.65" customHeight="1" x14ac:dyDescent="0.35"/>
    <row r="55" ht="15.65" customHeight="1" x14ac:dyDescent="0.35"/>
  </sheetData>
  <sheetProtection selectLockedCells="1" selectUnlockedCells="1"/>
  <mergeCells count="11">
    <mergeCell ref="D25:F25"/>
    <mergeCell ref="D28:F28"/>
    <mergeCell ref="B19:G19"/>
    <mergeCell ref="C15:G15"/>
    <mergeCell ref="C14:E14"/>
    <mergeCell ref="C16:E16"/>
    <mergeCell ref="C17:E17"/>
    <mergeCell ref="C18:E18"/>
    <mergeCell ref="D24:F24"/>
    <mergeCell ref="D27:F27"/>
    <mergeCell ref="D26:F26"/>
  </mergeCells>
  <phoneticPr fontId="28"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8394-4A2D-40C3-B6D9-0ED96E5E671B}">
  <sheetPr codeName="Folha4">
    <tabColor rgb="FF58D4CC"/>
  </sheetPr>
  <dimension ref="A9:P37"/>
  <sheetViews>
    <sheetView showGridLines="0" topLeftCell="A33" zoomScale="70" zoomScaleNormal="70" workbookViewId="0">
      <selection activeCell="C29" sqref="C29:C37"/>
    </sheetView>
  </sheetViews>
  <sheetFormatPr defaultColWidth="0" defaultRowHeight="18.5" outlineLevelRow="1" x14ac:dyDescent="0.45"/>
  <cols>
    <col min="1" max="1" width="8.7265625" style="379" customWidth="1"/>
    <col min="2" max="2" width="70.7265625" style="379" customWidth="1"/>
    <col min="3" max="3" width="19.1796875" style="379" customWidth="1"/>
    <col min="4" max="4" width="64.7265625" style="379" customWidth="1"/>
    <col min="5" max="5" width="83.81640625" style="397" customWidth="1"/>
    <col min="6" max="6" width="8.7265625" style="379" customWidth="1"/>
    <col min="7" max="7" width="11.7265625" style="379" customWidth="1"/>
    <col min="8" max="11" width="8.7265625" style="379" customWidth="1"/>
    <col min="12" max="12" width="0" style="379" hidden="1" customWidth="1"/>
    <col min="13" max="16384" width="8.7265625" style="379" hidden="1"/>
  </cols>
  <sheetData>
    <row r="9" spans="2:11" ht="14.5" customHeight="1" x14ac:dyDescent="0.45">
      <c r="B9" s="1062" t="s">
        <v>526</v>
      </c>
      <c r="C9" s="1062"/>
      <c r="D9" s="1062"/>
      <c r="E9" s="1062"/>
      <c r="F9" s="395"/>
      <c r="G9" s="395"/>
      <c r="H9" s="395"/>
      <c r="I9" s="395"/>
      <c r="J9" s="395"/>
      <c r="K9" s="395"/>
    </row>
    <row r="10" spans="2:11" ht="14.5" customHeight="1" x14ac:dyDescent="0.45">
      <c r="B10" s="1062"/>
      <c r="C10" s="1062"/>
      <c r="D10" s="1062"/>
      <c r="E10" s="1062"/>
      <c r="F10" s="395"/>
      <c r="G10" s="395"/>
      <c r="H10" s="395"/>
      <c r="I10" s="395"/>
      <c r="J10" s="395"/>
      <c r="K10" s="395"/>
    </row>
    <row r="11" spans="2:11" ht="14.5" customHeight="1" x14ac:dyDescent="0.45">
      <c r="B11" s="1062"/>
      <c r="C11" s="1062"/>
      <c r="D11" s="1062"/>
      <c r="E11" s="1062"/>
      <c r="F11" s="395"/>
      <c r="G11" s="395"/>
      <c r="H11" s="395"/>
      <c r="I11" s="395"/>
      <c r="J11" s="395"/>
      <c r="K11" s="395"/>
    </row>
    <row r="12" spans="2:11" ht="14.5" customHeight="1" outlineLevel="1" x14ac:dyDescent="0.45">
      <c r="B12" s="1062"/>
      <c r="C12" s="1062"/>
      <c r="D12" s="1062"/>
      <c r="E12" s="1062"/>
      <c r="F12" s="395"/>
      <c r="G12" s="395"/>
      <c r="H12" s="395"/>
      <c r="I12" s="395"/>
      <c r="J12" s="395"/>
      <c r="K12" s="395"/>
    </row>
    <row r="13" spans="2:11" ht="21" outlineLevel="1" x14ac:dyDescent="0.45">
      <c r="B13" s="410" t="s">
        <v>0</v>
      </c>
      <c r="C13" s="396"/>
      <c r="D13" s="397"/>
      <c r="F13" s="397"/>
      <c r="G13" s="397"/>
      <c r="H13" s="397"/>
      <c r="I13" s="397"/>
      <c r="J13" s="397"/>
      <c r="K13" s="397"/>
    </row>
    <row r="14" spans="2:11" ht="48.65" customHeight="1" outlineLevel="1" x14ac:dyDescent="0.45">
      <c r="B14" s="1065" t="s">
        <v>1295</v>
      </c>
      <c r="C14" s="1065"/>
      <c r="D14" s="397"/>
      <c r="F14" s="397"/>
      <c r="G14" s="397"/>
      <c r="H14" s="397"/>
      <c r="I14" s="397"/>
      <c r="J14" s="397"/>
      <c r="K14" s="397"/>
    </row>
    <row r="15" spans="2:11" ht="52.9" customHeight="1" outlineLevel="1" x14ac:dyDescent="0.45">
      <c r="B15" s="1065" t="s">
        <v>1296</v>
      </c>
      <c r="C15" s="1065"/>
      <c r="D15" s="397"/>
      <c r="F15" s="397"/>
      <c r="G15" s="397"/>
      <c r="H15" s="397"/>
      <c r="I15" s="397"/>
      <c r="J15" s="397"/>
      <c r="K15" s="397"/>
    </row>
    <row r="16" spans="2:11" ht="57" customHeight="1" outlineLevel="1" x14ac:dyDescent="0.45">
      <c r="B16" s="1065" t="s">
        <v>1297</v>
      </c>
      <c r="C16" s="1065"/>
      <c r="D16" s="397"/>
      <c r="F16" s="397"/>
      <c r="G16" s="397"/>
      <c r="H16" s="397"/>
      <c r="I16" s="397"/>
      <c r="J16" s="397"/>
      <c r="K16" s="397"/>
    </row>
    <row r="17" spans="2:5" ht="26.5" customHeight="1" outlineLevel="1" x14ac:dyDescent="0.45">
      <c r="B17" s="1066" t="s">
        <v>1298</v>
      </c>
      <c r="C17" s="1066"/>
    </row>
    <row r="18" spans="2:5" ht="69" customHeight="1" outlineLevel="1" x14ac:dyDescent="0.45">
      <c r="B18" s="1066" t="s">
        <v>1001</v>
      </c>
      <c r="C18" s="1066"/>
    </row>
    <row r="19" spans="2:5" outlineLevel="1" x14ac:dyDescent="0.45">
      <c r="B19" s="380"/>
      <c r="C19" s="398"/>
    </row>
    <row r="20" spans="2:5" outlineLevel="1" x14ac:dyDescent="0.45">
      <c r="B20" s="380"/>
      <c r="C20" s="398"/>
    </row>
    <row r="21" spans="2:5" outlineLevel="1" x14ac:dyDescent="0.45">
      <c r="B21" s="380"/>
      <c r="C21" s="398"/>
    </row>
    <row r="22" spans="2:5" outlineLevel="1" x14ac:dyDescent="0.45">
      <c r="B22" s="380"/>
      <c r="C22" s="398"/>
    </row>
    <row r="23" spans="2:5" outlineLevel="1" x14ac:dyDescent="0.45">
      <c r="B23" s="380"/>
      <c r="C23" s="398"/>
    </row>
    <row r="24" spans="2:5" outlineLevel="1" x14ac:dyDescent="0.45">
      <c r="B24" s="380"/>
      <c r="C24" s="398"/>
    </row>
    <row r="25" spans="2:5" outlineLevel="1" x14ac:dyDescent="0.45">
      <c r="C25" s="399"/>
    </row>
    <row r="26" spans="2:5" x14ac:dyDescent="0.45">
      <c r="C26" s="399"/>
    </row>
    <row r="27" spans="2:5" x14ac:dyDescent="0.45">
      <c r="B27" s="400" t="s">
        <v>525</v>
      </c>
      <c r="C27" s="400" t="s">
        <v>535</v>
      </c>
      <c r="D27" s="400" t="s">
        <v>592</v>
      </c>
      <c r="E27" s="400" t="s">
        <v>964</v>
      </c>
    </row>
    <row r="28" spans="2:5" x14ac:dyDescent="0.45">
      <c r="B28" s="401" t="s">
        <v>50</v>
      </c>
      <c r="C28" s="402" t="s">
        <v>50</v>
      </c>
      <c r="D28" s="403" t="s">
        <v>617</v>
      </c>
      <c r="E28" s="404"/>
    </row>
    <row r="29" spans="2:5" ht="74" x14ac:dyDescent="0.45">
      <c r="B29" s="405" t="s">
        <v>669</v>
      </c>
      <c r="C29" s="406"/>
      <c r="D29" s="407" t="str">
        <f>IF(C29="Sim", "Combustão Estacionária","")</f>
        <v/>
      </c>
      <c r="E29" s="408" t="s">
        <v>1054</v>
      </c>
    </row>
    <row r="30" spans="2:5" ht="92.5" x14ac:dyDescent="0.45">
      <c r="B30" s="405" t="s">
        <v>1303</v>
      </c>
      <c r="C30" s="406"/>
      <c r="D30" s="408" t="str">
        <f>IF(C30="Sim", "Combustão móvel","")</f>
        <v/>
      </c>
      <c r="E30" s="408" t="s">
        <v>1055</v>
      </c>
    </row>
    <row r="31" spans="2:5" ht="74" x14ac:dyDescent="0.45">
      <c r="B31" s="405" t="s">
        <v>1321</v>
      </c>
      <c r="C31" s="406"/>
      <c r="D31" s="408" t="str">
        <f>IF(C31="Sim", "Emissões fugitivas","")</f>
        <v/>
      </c>
      <c r="E31" s="408" t="s">
        <v>1322</v>
      </c>
    </row>
    <row r="32" spans="2:5" ht="111" x14ac:dyDescent="0.45">
      <c r="B32" s="405" t="s">
        <v>1088</v>
      </c>
      <c r="C32" s="406"/>
      <c r="D32" s="408" t="str">
        <f>IF(C32="Sim", "Processos industriais","")</f>
        <v/>
      </c>
      <c r="E32" s="408" t="s">
        <v>1323</v>
      </c>
    </row>
    <row r="33" spans="2:16" ht="185" x14ac:dyDescent="0.45">
      <c r="B33" s="405" t="s">
        <v>1304</v>
      </c>
      <c r="C33" s="406"/>
      <c r="D33" s="408" t="str">
        <f>IF(C33="Sim", "Outras emissões de processo","")</f>
        <v/>
      </c>
      <c r="E33" s="408" t="s">
        <v>1538</v>
      </c>
      <c r="G33" s="1063"/>
      <c r="H33" s="1063"/>
      <c r="I33" s="1063"/>
      <c r="J33" s="1063"/>
      <c r="K33" s="1063"/>
      <c r="L33" s="1063"/>
      <c r="M33" s="1063"/>
      <c r="N33" s="1063"/>
      <c r="O33" s="1063"/>
      <c r="P33" s="1063"/>
    </row>
    <row r="34" spans="2:16" ht="88.15" customHeight="1" x14ac:dyDescent="0.45">
      <c r="B34" s="409" t="s">
        <v>987</v>
      </c>
      <c r="C34" s="406"/>
      <c r="D34" s="408" t="str">
        <f>IF(C34="Sim", "Energia elétrica e térmica","")</f>
        <v/>
      </c>
      <c r="E34" s="408" t="s">
        <v>1542</v>
      </c>
      <c r="G34" s="1064"/>
      <c r="H34" s="1064"/>
      <c r="I34" s="1064"/>
      <c r="J34" s="1064"/>
      <c r="K34" s="1064"/>
      <c r="L34" s="1064"/>
      <c r="M34" s="1064"/>
      <c r="N34" s="1064"/>
      <c r="O34" s="1064"/>
      <c r="P34" s="1064"/>
    </row>
    <row r="35" spans="2:16" ht="74" x14ac:dyDescent="0.45">
      <c r="B35" s="409" t="s">
        <v>1206</v>
      </c>
      <c r="C35" s="406"/>
      <c r="D35" s="408" t="str">
        <f>IF(C35="Sim", "Emissões evitadas","")</f>
        <v/>
      </c>
      <c r="E35" s="408" t="s">
        <v>1529</v>
      </c>
    </row>
    <row r="36" spans="2:16" ht="118.15" customHeight="1" x14ac:dyDescent="0.45">
      <c r="B36" s="409" t="s">
        <v>1302</v>
      </c>
      <c r="C36" s="406"/>
      <c r="D36" s="408" t="str">
        <f>IF(C36="Sim", "Aquisição de bens e serviços","")</f>
        <v/>
      </c>
      <c r="E36" s="408" t="s">
        <v>1305</v>
      </c>
    </row>
    <row r="37" spans="2:16" ht="92.5" x14ac:dyDescent="0.45">
      <c r="B37" s="409" t="s">
        <v>1284</v>
      </c>
      <c r="C37" s="406"/>
      <c r="D37" s="408" t="str">
        <f>IF(C37="Sim", "Usos dos produtos do projeto","")</f>
        <v/>
      </c>
      <c r="E37" s="408" t="s">
        <v>1551</v>
      </c>
    </row>
  </sheetData>
  <sheetProtection algorithmName="SHA-512" hashValue="gai1d7pJnwqzmKJdK7VEaV8vK9fVsDys7FhCmgEyL1XgDdfnus2GvAE5/l0yK0zEuOBygC2HQ66sRBvJFXlD3w==" saltValue="nvNiLHb7ayUX4G+vE4Ug0w==" spinCount="100000" sheet="1" objects="1" scenarios="1" formatRows="0" selectLockedCells="1"/>
  <protectedRanges>
    <protectedRange sqref="C29:C37" name="Dados gerais"/>
  </protectedRanges>
  <mergeCells count="8">
    <mergeCell ref="B9:E12"/>
    <mergeCell ref="G33:P33"/>
    <mergeCell ref="G34:P34"/>
    <mergeCell ref="B14:C14"/>
    <mergeCell ref="B15:C15"/>
    <mergeCell ref="B16:C16"/>
    <mergeCell ref="B17:C17"/>
    <mergeCell ref="B18:C18"/>
  </mergeCells>
  <conditionalFormatting sqref="D29:D37">
    <cfRule type="expression" dxfId="90" priority="1">
      <formula>$C29="Não"</formula>
    </cfRule>
    <cfRule type="expression" dxfId="89" priority="2">
      <formula>$C29="Sim"</formula>
    </cfRule>
    <cfRule type="expression" dxfId="88" priority="3">
      <formula>$C29=""</formula>
    </cfRule>
  </conditionalFormatting>
  <dataValidations count="1">
    <dataValidation type="list" showInputMessage="1" showErrorMessage="1" error="Falta responder a esta questão" prompt="a responder" sqref="C29:C37" xr:uid="{02A30456-203A-4203-8893-8E05938A4339}">
      <formula1>"Sim, Não"</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CC77F-6384-4F3B-8DEB-F10107BC1E15}">
  <sheetPr codeName="Folha5">
    <tabColor rgb="FF58D4CC"/>
  </sheetPr>
  <dimension ref="A1:Z61"/>
  <sheetViews>
    <sheetView showGridLines="0" topLeftCell="B26" zoomScaleNormal="100" workbookViewId="0">
      <selection activeCell="G33" sqref="G33"/>
    </sheetView>
  </sheetViews>
  <sheetFormatPr defaultColWidth="0" defaultRowHeight="15.5" zeroHeight="1" x14ac:dyDescent="0.35"/>
  <cols>
    <col min="1" max="3" width="8.7265625" style="169" customWidth="1"/>
    <col min="4" max="4" width="42.81640625" style="169" customWidth="1"/>
    <col min="5" max="5" width="19.1796875" style="169" customWidth="1"/>
    <col min="6" max="6" width="16.26953125" style="169" customWidth="1"/>
    <col min="7" max="7" width="31.7265625" style="169" customWidth="1"/>
    <col min="8" max="26" width="8.7265625" style="169" customWidth="1"/>
    <col min="27" max="16384" width="8.7265625" style="169" hidden="1"/>
  </cols>
  <sheetData>
    <row r="1" spans="2:20" x14ac:dyDescent="0.35"/>
    <row r="2" spans="2:20" x14ac:dyDescent="0.35"/>
    <row r="3" spans="2:20" x14ac:dyDescent="0.35"/>
    <row r="4" spans="2:20" x14ac:dyDescent="0.35"/>
    <row r="5" spans="2:20" x14ac:dyDescent="0.35"/>
    <row r="6" spans="2:20" x14ac:dyDescent="0.35">
      <c r="E6" s="1069" t="str">
        <f>IF(Triagem!C28="", "", IF(Triagem!C28="Não", "Não necessita de preencher esta folha", "Folha a ser preenchida"))</f>
        <v>Folha a ser preenchida</v>
      </c>
      <c r="F6" s="1069"/>
      <c r="G6" s="1069"/>
      <c r="H6" s="1069"/>
      <c r="I6" s="1069"/>
      <c r="J6" s="1069"/>
      <c r="K6" s="1069"/>
      <c r="L6" s="1069"/>
      <c r="M6" s="1069"/>
      <c r="N6" s="1069"/>
      <c r="O6" s="1069"/>
    </row>
    <row r="7" spans="2:20" x14ac:dyDescent="0.35">
      <c r="E7" s="1069"/>
      <c r="F7" s="1069"/>
      <c r="G7" s="1069"/>
      <c r="H7" s="1069"/>
      <c r="I7" s="1069"/>
      <c r="J7" s="1069"/>
      <c r="K7" s="1069"/>
      <c r="L7" s="1069"/>
      <c r="M7" s="1069"/>
      <c r="N7" s="1069"/>
      <c r="O7" s="1069"/>
      <c r="P7" s="304"/>
      <c r="Q7" s="304"/>
    </row>
    <row r="8" spans="2:20" x14ac:dyDescent="0.35"/>
    <row r="9" spans="2:20" x14ac:dyDescent="0.35"/>
    <row r="10" spans="2:20" x14ac:dyDescent="0.35"/>
    <row r="11" spans="2:20" ht="18.5" x14ac:dyDescent="0.35">
      <c r="B11" s="411" t="s">
        <v>536</v>
      </c>
      <c r="C11" s="412"/>
      <c r="D11" s="176"/>
    </row>
    <row r="12" spans="2:20" x14ac:dyDescent="0.35">
      <c r="B12" s="176"/>
      <c r="C12" s="412"/>
      <c r="D12" s="176"/>
    </row>
    <row r="13" spans="2:20" ht="18.5" x14ac:dyDescent="0.45">
      <c r="B13" s="420" t="s">
        <v>1</v>
      </c>
      <c r="C13" s="177"/>
      <c r="D13" s="177"/>
      <c r="E13" s="172"/>
      <c r="F13" s="172"/>
      <c r="G13" s="172"/>
      <c r="H13" s="172"/>
      <c r="I13" s="172"/>
      <c r="J13" s="172"/>
      <c r="K13" s="172"/>
      <c r="L13" s="172"/>
      <c r="M13" s="172"/>
      <c r="N13" s="172"/>
      <c r="O13" s="172"/>
      <c r="P13" s="172"/>
      <c r="Q13" s="172"/>
      <c r="R13" s="172"/>
      <c r="S13" s="172"/>
      <c r="T13" s="172"/>
    </row>
    <row r="14" spans="2:20" ht="32.5" customHeight="1" x14ac:dyDescent="0.35">
      <c r="B14" s="1068" t="s">
        <v>1299</v>
      </c>
      <c r="C14" s="1068"/>
      <c r="D14" s="1068"/>
      <c r="E14" s="1068"/>
      <c r="F14" s="1068"/>
      <c r="G14" s="1068"/>
      <c r="H14" s="1068"/>
      <c r="I14" s="1068"/>
      <c r="J14" s="1068"/>
      <c r="K14" s="1068"/>
      <c r="L14" s="1068"/>
      <c r="M14" s="1068"/>
      <c r="N14" s="1068"/>
      <c r="O14" s="1068"/>
      <c r="P14" s="1068"/>
      <c r="Q14" s="1068"/>
      <c r="R14" s="1068"/>
      <c r="S14" s="1068"/>
      <c r="T14" s="1068"/>
    </row>
    <row r="15" spans="2:20" x14ac:dyDescent="0.35">
      <c r="B15" s="312" t="s">
        <v>1300</v>
      </c>
      <c r="C15" s="414"/>
      <c r="D15" s="414"/>
      <c r="E15" s="421"/>
      <c r="F15" s="421"/>
      <c r="G15" s="421"/>
      <c r="H15" s="421"/>
      <c r="I15" s="421"/>
      <c r="J15" s="421"/>
      <c r="K15" s="421"/>
      <c r="L15" s="421"/>
      <c r="M15" s="421"/>
      <c r="N15" s="421"/>
      <c r="O15" s="421"/>
      <c r="P15" s="421"/>
      <c r="Q15" s="421"/>
      <c r="R15" s="421"/>
      <c r="S15" s="421"/>
      <c r="T15" s="421"/>
    </row>
    <row r="16" spans="2:20" x14ac:dyDescent="0.35">
      <c r="B16" s="313" t="s">
        <v>426</v>
      </c>
      <c r="C16" s="414"/>
      <c r="D16" s="414"/>
      <c r="E16" s="421"/>
      <c r="F16" s="421"/>
      <c r="G16" s="421"/>
      <c r="H16" s="421"/>
      <c r="I16" s="421"/>
      <c r="J16" s="421"/>
      <c r="K16" s="421"/>
      <c r="L16" s="421"/>
      <c r="M16" s="421"/>
      <c r="N16" s="421"/>
      <c r="O16" s="421"/>
      <c r="P16" s="421"/>
      <c r="Q16" s="421"/>
      <c r="R16" s="421"/>
      <c r="S16" s="421"/>
      <c r="T16" s="421"/>
    </row>
    <row r="17" spans="2:20" ht="19.899999999999999" customHeight="1" x14ac:dyDescent="0.35">
      <c r="B17" s="312" t="s">
        <v>427</v>
      </c>
      <c r="C17" s="422"/>
      <c r="D17" s="422"/>
      <c r="E17" s="421"/>
      <c r="F17" s="421"/>
      <c r="G17" s="421"/>
      <c r="H17" s="421"/>
      <c r="I17" s="421"/>
      <c r="J17" s="421"/>
      <c r="K17" s="421"/>
      <c r="L17" s="421"/>
      <c r="M17" s="421"/>
      <c r="N17" s="421"/>
      <c r="O17" s="421"/>
      <c r="P17" s="421"/>
      <c r="Q17" s="421"/>
      <c r="R17" s="421"/>
      <c r="S17" s="421"/>
      <c r="T17" s="421"/>
    </row>
    <row r="18" spans="2:20" x14ac:dyDescent="0.35">
      <c r="B18" s="415"/>
      <c r="C18" s="176"/>
      <c r="D18" s="176"/>
    </row>
    <row r="19" spans="2:20" x14ac:dyDescent="0.35">
      <c r="B19" s="416"/>
      <c r="C19" s="176"/>
      <c r="D19" s="176"/>
    </row>
    <row r="20" spans="2:20" ht="16" thickBot="1" x14ac:dyDescent="0.4">
      <c r="B20" s="178"/>
      <c r="C20" s="176"/>
      <c r="D20" s="176"/>
    </row>
    <row r="21" spans="2:20" ht="16" thickBot="1" x14ac:dyDescent="0.4">
      <c r="B21" s="413"/>
      <c r="C21" s="417"/>
      <c r="D21" s="417" t="s">
        <v>236</v>
      </c>
      <c r="E21" s="1070"/>
      <c r="F21" s="1071"/>
      <c r="G21" s="1071"/>
      <c r="H21" s="1071"/>
      <c r="I21" s="1071"/>
      <c r="J21" s="1071"/>
      <c r="K21" s="1071"/>
      <c r="L21" s="1071"/>
      <c r="M21" s="1071"/>
      <c r="N21" s="1071"/>
      <c r="O21" s="1071"/>
      <c r="P21" s="1072"/>
    </row>
    <row r="22" spans="2:20" ht="16" thickBot="1" x14ac:dyDescent="0.4">
      <c r="D22" s="303" t="s">
        <v>2</v>
      </c>
      <c r="E22" s="1070"/>
      <c r="F22" s="1071"/>
      <c r="G22" s="1071"/>
      <c r="H22" s="1071"/>
      <c r="I22" s="1071"/>
      <c r="J22" s="1071"/>
      <c r="K22" s="1071"/>
      <c r="L22" s="1071"/>
      <c r="M22" s="1071"/>
      <c r="N22" s="1071"/>
      <c r="O22" s="1071"/>
      <c r="P22" s="1072"/>
    </row>
    <row r="23" spans="2:20" ht="16" thickBot="1" x14ac:dyDescent="0.4">
      <c r="D23" s="303" t="s">
        <v>1301</v>
      </c>
      <c r="E23" s="1070"/>
      <c r="F23" s="1071"/>
      <c r="G23" s="1071"/>
      <c r="H23" s="1071"/>
      <c r="I23" s="1071"/>
      <c r="J23" s="1071"/>
      <c r="K23" s="1071"/>
      <c r="L23" s="1071"/>
      <c r="M23" s="1071"/>
      <c r="N23" s="1071"/>
      <c r="O23" s="1071"/>
      <c r="P23" s="1072"/>
    </row>
    <row r="24" spans="2:20" x14ac:dyDescent="0.35">
      <c r="B24" s="418"/>
      <c r="C24" s="176"/>
      <c r="D24" s="303"/>
      <c r="E24" s="314"/>
      <c r="F24" s="314"/>
      <c r="G24" s="314"/>
      <c r="H24" s="314"/>
      <c r="I24" s="314"/>
      <c r="J24" s="314"/>
      <c r="K24" s="314"/>
      <c r="L24" s="314"/>
      <c r="M24" s="314"/>
      <c r="N24" s="314"/>
      <c r="O24" s="314"/>
      <c r="P24" s="314"/>
    </row>
    <row r="25" spans="2:20" x14ac:dyDescent="0.35">
      <c r="B25" s="418"/>
      <c r="C25" s="176"/>
      <c r="D25" s="303"/>
      <c r="E25" s="314"/>
      <c r="F25" s="314"/>
      <c r="G25" s="314"/>
      <c r="H25" s="314"/>
      <c r="I25" s="314"/>
      <c r="J25" s="314"/>
      <c r="K25" s="314"/>
      <c r="L25" s="314"/>
      <c r="M25" s="314"/>
      <c r="N25" s="314"/>
      <c r="O25" s="314"/>
      <c r="P25" s="314"/>
    </row>
    <row r="26" spans="2:20" ht="18.5" x14ac:dyDescent="0.45">
      <c r="D26" s="375" t="s">
        <v>1580</v>
      </c>
      <c r="E26" s="176"/>
    </row>
    <row r="27" spans="2:20" x14ac:dyDescent="0.35">
      <c r="B27" s="418"/>
      <c r="C27" s="176"/>
      <c r="D27" s="378" t="str">
        <f>"Os projetos são divididos em 3 fases: "&amp;'Fatores de Emissão'!B12&amp;", "&amp;'Fatores de Emissão'!B13&amp;" e "&amp;'Fatores de Emissão'!B14&amp;"."</f>
        <v>Os projetos são divididos em 3 fases: Construção ou fase preparatória, Exploração e Desativação.</v>
      </c>
      <c r="E27" s="172"/>
      <c r="F27" s="378"/>
      <c r="G27" s="378"/>
      <c r="H27" s="378"/>
      <c r="I27" s="378"/>
      <c r="J27" s="378"/>
      <c r="K27" s="378"/>
      <c r="L27" s="378"/>
      <c r="M27" s="378"/>
      <c r="N27" s="378"/>
      <c r="O27" s="419"/>
      <c r="P27" s="419"/>
      <c r="Q27" s="172"/>
      <c r="R27" s="172"/>
      <c r="S27" s="172"/>
      <c r="T27" s="172"/>
    </row>
    <row r="28" spans="2:20" x14ac:dyDescent="0.35">
      <c r="B28" s="418"/>
      <c r="C28" s="176"/>
      <c r="D28" s="378" t="s">
        <v>256</v>
      </c>
      <c r="E28" s="172"/>
      <c r="F28" s="378"/>
      <c r="G28" s="378"/>
      <c r="H28" s="378"/>
      <c r="I28" s="378"/>
      <c r="J28" s="378"/>
      <c r="K28" s="378"/>
      <c r="L28" s="378"/>
      <c r="M28" s="378"/>
      <c r="N28" s="378"/>
      <c r="O28" s="419"/>
      <c r="P28" s="419"/>
      <c r="Q28" s="172"/>
      <c r="R28" s="172"/>
      <c r="S28" s="172"/>
      <c r="T28" s="172"/>
    </row>
    <row r="29" spans="2:20" ht="18" customHeight="1" x14ac:dyDescent="0.35">
      <c r="B29" s="418"/>
      <c r="C29" s="176"/>
      <c r="D29" s="1067" t="s">
        <v>1581</v>
      </c>
      <c r="E29" s="1067"/>
      <c r="F29" s="1067"/>
      <c r="G29" s="1067"/>
      <c r="H29" s="1067"/>
      <c r="I29" s="1067"/>
      <c r="J29" s="1067"/>
      <c r="K29" s="1067"/>
      <c r="L29" s="1067"/>
      <c r="M29" s="1067"/>
      <c r="N29" s="1067"/>
      <c r="O29" s="1067"/>
      <c r="P29" s="1067"/>
      <c r="Q29" s="1067"/>
      <c r="R29" s="1067"/>
      <c r="S29" s="1067"/>
      <c r="T29" s="1067"/>
    </row>
    <row r="30" spans="2:20" ht="66" customHeight="1" x14ac:dyDescent="0.35">
      <c r="B30" s="418"/>
      <c r="C30" s="176"/>
      <c r="D30" s="1067" t="s">
        <v>1528</v>
      </c>
      <c r="E30" s="1067"/>
      <c r="F30" s="1067"/>
      <c r="G30" s="1067"/>
      <c r="H30" s="1067"/>
      <c r="I30" s="1067"/>
      <c r="J30" s="1067"/>
      <c r="K30" s="1067"/>
      <c r="L30" s="1067"/>
      <c r="M30" s="1067"/>
      <c r="N30" s="1067"/>
      <c r="O30" s="1067"/>
      <c r="P30" s="1067"/>
      <c r="Q30" s="1067"/>
      <c r="R30" s="1067"/>
      <c r="S30" s="1067"/>
      <c r="T30" s="1067"/>
    </row>
    <row r="31" spans="2:20" x14ac:dyDescent="0.35">
      <c r="B31" s="418"/>
      <c r="C31" s="176"/>
      <c r="K31" s="314"/>
      <c r="L31" s="314"/>
      <c r="M31" s="314"/>
      <c r="N31" s="314"/>
      <c r="O31" s="314"/>
      <c r="P31" s="314"/>
    </row>
    <row r="32" spans="2:20" ht="60.65" customHeight="1" x14ac:dyDescent="0.35">
      <c r="B32" s="418"/>
      <c r="C32" s="176"/>
      <c r="E32" s="363" t="s">
        <v>424</v>
      </c>
      <c r="F32" s="365" t="s">
        <v>593</v>
      </c>
      <c r="G32" s="365" t="s">
        <v>594</v>
      </c>
      <c r="K32" s="314"/>
      <c r="L32" s="314"/>
      <c r="M32" s="314"/>
      <c r="N32" s="314"/>
      <c r="O32" s="314"/>
      <c r="P32" s="364"/>
    </row>
    <row r="33" spans="4:16" x14ac:dyDescent="0.35">
      <c r="D33" s="282" t="str">
        <f>'Fatores de Emissão'!B12</f>
        <v>Construção ou fase preparatória</v>
      </c>
      <c r="E33" s="801"/>
      <c r="F33" s="801"/>
      <c r="G33" s="944"/>
      <c r="P33" s="364"/>
    </row>
    <row r="34" spans="4:16" x14ac:dyDescent="0.35">
      <c r="D34" s="283" t="s">
        <v>36</v>
      </c>
      <c r="E34" s="801"/>
      <c r="F34" s="801"/>
      <c r="G34" s="944"/>
      <c r="P34" s="364"/>
    </row>
    <row r="35" spans="4:16" x14ac:dyDescent="0.35">
      <c r="D35" s="208" t="s">
        <v>255</v>
      </c>
      <c r="E35" s="801"/>
      <c r="F35" s="801"/>
      <c r="G35" s="944"/>
    </row>
    <row r="36" spans="4:16" x14ac:dyDescent="0.35">
      <c r="F36" s="169" t="str">
        <f>"(a) Se não souber, deixe por preencher. A ferramenta considerará "&amp;'Fatores de Emissão'!E12&amp;" anos, "&amp;'Fatores de Emissão'!E13&amp;" anos e "&amp;'Fatores de Emissão'!E14&amp;" ano, respetivamente."</f>
        <v>(a) Se não souber, deixe por preencher. A ferramenta considerará 2 anos, 30 anos e 1 ano, respetivamente.</v>
      </c>
    </row>
    <row r="37" spans="4:16" x14ac:dyDescent="0.35"/>
    <row r="38" spans="4:16" x14ac:dyDescent="0.35"/>
    <row r="39" spans="4:16" x14ac:dyDescent="0.35"/>
    <row r="40" spans="4:16" x14ac:dyDescent="0.35"/>
    <row r="41" spans="4:16" x14ac:dyDescent="0.35"/>
    <row r="42" spans="4:16" x14ac:dyDescent="0.35"/>
    <row r="43" spans="4:16" ht="29.5" customHeight="1" x14ac:dyDescent="0.35"/>
    <row r="44" spans="4:16" x14ac:dyDescent="0.35"/>
    <row r="45" spans="4:16" x14ac:dyDescent="0.35"/>
    <row r="46" spans="4:16" x14ac:dyDescent="0.35"/>
    <row r="47" spans="4:16" x14ac:dyDescent="0.35"/>
    <row r="48" spans="4:16" x14ac:dyDescent="0.35"/>
    <row r="49" x14ac:dyDescent="0.35"/>
    <row r="50" x14ac:dyDescent="0.35"/>
    <row r="51" x14ac:dyDescent="0.35"/>
    <row r="52" x14ac:dyDescent="0.35"/>
    <row r="53" x14ac:dyDescent="0.35"/>
    <row r="54" x14ac:dyDescent="0.35"/>
    <row r="57" x14ac:dyDescent="0.35"/>
    <row r="58" x14ac:dyDescent="0.35"/>
    <row r="59" x14ac:dyDescent="0.35"/>
    <row r="60" x14ac:dyDescent="0.35"/>
    <row r="61" x14ac:dyDescent="0.35"/>
  </sheetData>
  <sheetProtection algorithmName="SHA-512" hashValue="l/JeU+rb4T4wM75ABFpg/bQDX//39t1t6MCOwxNdSkrD6IYQ8eXPr/YGgUjPhpojQmlBc1ubSnR3tBHPke+8nQ==" saltValue="eRmEvq+FRZnbrrxmpBekLw==" spinCount="100000" sheet="1" objects="1" scenarios="1" selectLockedCells="1"/>
  <protectedRanges>
    <protectedRange sqref="E33:G35" name="DG2"/>
    <protectedRange sqref="E21:P23" name="DG1"/>
  </protectedRanges>
  <mergeCells count="7">
    <mergeCell ref="D30:T30"/>
    <mergeCell ref="B14:T14"/>
    <mergeCell ref="E6:O7"/>
    <mergeCell ref="D29:T29"/>
    <mergeCell ref="E21:P21"/>
    <mergeCell ref="E22:P22"/>
    <mergeCell ref="E23:P2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6F179-E5C9-463E-8328-2AAD5F9B18E9}">
  <sheetPr codeName="Folha6">
    <tabColor rgb="FF02A39C"/>
  </sheetPr>
  <dimension ref="A1:U651"/>
  <sheetViews>
    <sheetView showGridLines="0" topLeftCell="A395" zoomScale="55" zoomScaleNormal="55" workbookViewId="0">
      <selection activeCell="D37" sqref="D37:G37"/>
    </sheetView>
  </sheetViews>
  <sheetFormatPr defaultColWidth="0" defaultRowHeight="15.5" zeroHeight="1" outlineLevelRow="2" x14ac:dyDescent="0.35"/>
  <cols>
    <col min="1" max="1" width="13.81640625" style="169" customWidth="1"/>
    <col min="2" max="2" width="40.81640625" style="169" customWidth="1"/>
    <col min="3" max="3" width="47.453125" style="169" customWidth="1"/>
    <col min="4" max="4" width="37.7265625" style="169" customWidth="1"/>
    <col min="5" max="5" width="32.453125" style="169" customWidth="1"/>
    <col min="6" max="6" width="31.54296875" style="169" customWidth="1"/>
    <col min="7" max="10" width="29" style="169" customWidth="1"/>
    <col min="11" max="11" width="17.26953125" style="169" customWidth="1"/>
    <col min="12" max="12" width="7.26953125" style="169" customWidth="1"/>
    <col min="13" max="13" width="15.26953125" style="169" bestFit="1" customWidth="1"/>
    <col min="14" max="14" width="22" style="169" customWidth="1"/>
    <col min="15" max="15" width="16.7265625" style="169" customWidth="1"/>
    <col min="16" max="16" width="20.7265625" style="169" customWidth="1"/>
    <col min="17" max="17" width="25.81640625" style="169" customWidth="1"/>
    <col min="18" max="19" width="5.7265625" style="169" customWidth="1"/>
    <col min="20" max="20" width="14.26953125" style="169" customWidth="1"/>
    <col min="21" max="16378" width="5.7265625" style="169" customWidth="1"/>
    <col min="16379" max="16379" width="11" style="169" customWidth="1"/>
    <col min="16380" max="16380" width="7.81640625" style="169" customWidth="1"/>
    <col min="16381" max="16381" width="7" style="169" customWidth="1"/>
    <col min="16382" max="16382" width="8.453125" style="169" customWidth="1"/>
    <col min="16383" max="16383" width="5.26953125" style="169" customWidth="1"/>
    <col min="16384" max="16384" width="4.54296875" style="169" customWidth="1"/>
  </cols>
  <sheetData>
    <row r="1" spans="2:13" ht="14.65" hidden="1" customHeight="1" x14ac:dyDescent="0.35"/>
    <row r="2" spans="2:13" x14ac:dyDescent="0.35"/>
    <row r="3" spans="2:13" x14ac:dyDescent="0.35"/>
    <row r="4" spans="2:13" x14ac:dyDescent="0.35"/>
    <row r="5" spans="2:13" x14ac:dyDescent="0.35"/>
    <row r="6" spans="2:13" x14ac:dyDescent="0.35"/>
    <row r="7" spans="2:13" x14ac:dyDescent="0.35"/>
    <row r="8" spans="2:13" x14ac:dyDescent="0.35">
      <c r="C8" s="1104" t="str">
        <f>IF(Triagem!C29="", "Não indicou na TRIAGEM se esta folha se adequa ao projeto", IF(Triagem!C29="Não", "Não necessita de preencher esta folha", "Folha a ser preenchida"))</f>
        <v>Não indicou na TRIAGEM se esta folha se adequa ao projeto</v>
      </c>
      <c r="D8" s="1104"/>
      <c r="E8" s="1104"/>
      <c r="F8" s="1104"/>
      <c r="G8" s="1104"/>
      <c r="H8" s="376"/>
      <c r="I8" s="376"/>
      <c r="J8" s="376"/>
    </row>
    <row r="9" spans="2:13" x14ac:dyDescent="0.35"/>
    <row r="10" spans="2:13" x14ac:dyDescent="0.35"/>
    <row r="11" spans="2:13" ht="18.5" x14ac:dyDescent="0.45">
      <c r="B11" s="913" t="s">
        <v>235</v>
      </c>
      <c r="C11" s="170"/>
      <c r="D11" s="171"/>
      <c r="E11" s="170"/>
      <c r="F11" s="171"/>
      <c r="G11" s="171"/>
      <c r="H11" s="171"/>
      <c r="I11" s="171"/>
      <c r="J11" s="171"/>
      <c r="K11" s="171"/>
      <c r="L11" s="171"/>
      <c r="M11" s="171"/>
    </row>
    <row r="12" spans="2:13" x14ac:dyDescent="0.35">
      <c r="B12" s="171" t="s">
        <v>1056</v>
      </c>
      <c r="C12" s="170"/>
      <c r="D12" s="171"/>
      <c r="E12" s="170"/>
      <c r="F12" s="171"/>
      <c r="G12" s="171"/>
      <c r="H12" s="171"/>
      <c r="I12" s="171"/>
      <c r="J12" s="171"/>
      <c r="K12" s="171"/>
      <c r="L12" s="171"/>
      <c r="M12" s="171"/>
    </row>
    <row r="13" spans="2:13" x14ac:dyDescent="0.35">
      <c r="B13" s="171" t="s">
        <v>1569</v>
      </c>
      <c r="C13" s="171"/>
      <c r="D13" s="171"/>
      <c r="E13" s="171"/>
      <c r="F13" s="171"/>
      <c r="G13" s="171"/>
      <c r="H13" s="171"/>
      <c r="I13" s="171"/>
      <c r="J13" s="171"/>
      <c r="K13" s="171"/>
      <c r="L13" s="171"/>
      <c r="M13" s="171"/>
    </row>
    <row r="14" spans="2:13" x14ac:dyDescent="0.35">
      <c r="B14" s="170" t="s">
        <v>8</v>
      </c>
      <c r="C14" s="171"/>
      <c r="D14" s="171"/>
      <c r="E14" s="171"/>
      <c r="F14" s="171"/>
      <c r="G14" s="171"/>
      <c r="H14" s="171"/>
      <c r="I14" s="171"/>
      <c r="J14" s="171"/>
      <c r="K14" s="171"/>
      <c r="L14" s="171"/>
      <c r="M14" s="171"/>
    </row>
    <row r="15" spans="2:13" x14ac:dyDescent="0.35"/>
    <row r="16" spans="2:13" x14ac:dyDescent="0.35"/>
    <row r="17" spans="2:19" x14ac:dyDescent="0.35"/>
    <row r="18" spans="2:19" x14ac:dyDescent="0.35">
      <c r="B18" s="167" t="s">
        <v>0</v>
      </c>
      <c r="C18" s="172"/>
      <c r="D18" s="172"/>
      <c r="E18" s="172"/>
      <c r="F18" s="172"/>
      <c r="G18" s="172"/>
    </row>
    <row r="19" spans="2:19" x14ac:dyDescent="0.35">
      <c r="B19" s="422" t="s">
        <v>595</v>
      </c>
      <c r="C19" s="172"/>
      <c r="D19" s="172"/>
      <c r="E19" s="172"/>
      <c r="F19" s="172"/>
      <c r="G19" s="172"/>
    </row>
    <row r="20" spans="2:19" x14ac:dyDescent="0.35">
      <c r="B20" s="422" t="s">
        <v>643</v>
      </c>
      <c r="C20" s="172"/>
      <c r="D20" s="172"/>
      <c r="E20" s="172"/>
      <c r="F20" s="172"/>
      <c r="G20" s="172"/>
    </row>
    <row r="21" spans="2:19" x14ac:dyDescent="0.35">
      <c r="B21" s="422" t="s">
        <v>1076</v>
      </c>
      <c r="C21" s="172"/>
      <c r="D21" s="172"/>
      <c r="E21" s="172"/>
      <c r="F21" s="172"/>
      <c r="G21" s="172"/>
    </row>
    <row r="22" spans="2:19" ht="17.5" x14ac:dyDescent="0.35">
      <c r="B22" s="422" t="s">
        <v>1077</v>
      </c>
      <c r="C22" s="172"/>
      <c r="D22" s="172"/>
      <c r="E22" s="172"/>
      <c r="F22" s="172"/>
      <c r="G22" s="172"/>
      <c r="K22" s="175"/>
    </row>
    <row r="23" spans="2:19" x14ac:dyDescent="0.35">
      <c r="B23" s="303"/>
      <c r="K23" s="175"/>
    </row>
    <row r="24" spans="2:19" x14ac:dyDescent="0.35">
      <c r="B24" s="303"/>
      <c r="K24" s="175"/>
    </row>
    <row r="25" spans="2:19" ht="18.5" x14ac:dyDescent="0.45">
      <c r="B25" s="375" t="s">
        <v>642</v>
      </c>
      <c r="C25" s="176"/>
    </row>
    <row r="26" spans="2:19" ht="39.65" customHeight="1" x14ac:dyDescent="0.35">
      <c r="B26" s="1082" t="s">
        <v>1583</v>
      </c>
      <c r="C26" s="1082"/>
      <c r="D26" s="1082"/>
      <c r="E26" s="1082"/>
      <c r="F26" s="1082"/>
      <c r="G26" s="1082"/>
      <c r="H26" s="601"/>
      <c r="I26" s="601"/>
      <c r="J26" s="601"/>
    </row>
    <row r="27" spans="2:19" x14ac:dyDescent="0.35">
      <c r="B27" s="914" t="s">
        <v>1584</v>
      </c>
      <c r="C27" s="172"/>
      <c r="D27" s="172"/>
      <c r="E27" s="172"/>
      <c r="F27" s="172"/>
      <c r="G27" s="172"/>
    </row>
    <row r="28" spans="2:19" x14ac:dyDescent="0.35">
      <c r="B28" s="915" t="s">
        <v>26</v>
      </c>
      <c r="C28" s="916" t="s">
        <v>4</v>
      </c>
      <c r="D28" s="917"/>
      <c r="E28" s="916" t="s">
        <v>659</v>
      </c>
      <c r="F28" s="918"/>
      <c r="G28" s="917"/>
    </row>
    <row r="29" spans="2:19" ht="21.65" customHeight="1" x14ac:dyDescent="0.35">
      <c r="B29" s="919" t="s">
        <v>7</v>
      </c>
      <c r="C29" s="1091" t="s">
        <v>655</v>
      </c>
      <c r="D29" s="1092"/>
      <c r="E29" s="920" t="s">
        <v>1585</v>
      </c>
      <c r="F29" s="921"/>
      <c r="G29" s="922"/>
      <c r="H29" s="423"/>
      <c r="I29" s="423"/>
      <c r="J29" s="423"/>
      <c r="K29" s="423"/>
      <c r="L29" s="423"/>
      <c r="M29" s="423"/>
      <c r="N29" s="423"/>
      <c r="O29" s="423"/>
      <c r="P29" s="423"/>
      <c r="Q29" s="423"/>
      <c r="R29" s="423"/>
      <c r="S29" s="423"/>
    </row>
    <row r="30" spans="2:19" ht="70.5" customHeight="1" x14ac:dyDescent="0.35">
      <c r="B30" s="919" t="s">
        <v>514</v>
      </c>
      <c r="C30" s="1091" t="s">
        <v>656</v>
      </c>
      <c r="D30" s="1092"/>
      <c r="E30" s="1083" t="s">
        <v>1057</v>
      </c>
      <c r="F30" s="1084"/>
      <c r="G30" s="1085"/>
      <c r="H30" s="602"/>
      <c r="I30" s="602"/>
      <c r="J30" s="602"/>
      <c r="K30" s="424"/>
      <c r="L30" s="424"/>
      <c r="M30" s="424"/>
      <c r="N30" s="424"/>
      <c r="O30" s="424"/>
      <c r="P30" s="424"/>
      <c r="Q30" s="424"/>
      <c r="R30" s="424"/>
      <c r="S30" s="424"/>
    </row>
    <row r="31" spans="2:19" ht="40.9" customHeight="1" x14ac:dyDescent="0.35">
      <c r="B31" s="919" t="s">
        <v>515</v>
      </c>
      <c r="C31" s="1091" t="s">
        <v>657</v>
      </c>
      <c r="D31" s="1092"/>
      <c r="E31" s="1083" t="s">
        <v>1058</v>
      </c>
      <c r="F31" s="1084"/>
      <c r="G31" s="1085"/>
      <c r="H31" s="602"/>
      <c r="I31" s="602"/>
      <c r="J31" s="602"/>
      <c r="K31" s="423"/>
      <c r="L31" s="423"/>
      <c r="M31" s="423"/>
      <c r="N31" s="423"/>
      <c r="O31" s="423"/>
      <c r="P31" s="423"/>
      <c r="Q31" s="423"/>
      <c r="R31" s="423"/>
      <c r="S31" s="423"/>
    </row>
    <row r="32" spans="2:19" ht="43.9" customHeight="1" x14ac:dyDescent="0.35">
      <c r="B32" s="919" t="s">
        <v>516</v>
      </c>
      <c r="C32" s="1091" t="s">
        <v>658</v>
      </c>
      <c r="D32" s="1092"/>
      <c r="E32" s="1083" t="s">
        <v>1035</v>
      </c>
      <c r="F32" s="1084"/>
      <c r="G32" s="1085"/>
      <c r="H32" s="602"/>
      <c r="I32" s="602"/>
      <c r="J32" s="602"/>
      <c r="K32" s="423"/>
      <c r="L32" s="423"/>
      <c r="M32" s="423"/>
      <c r="N32" s="423"/>
      <c r="O32" s="423"/>
      <c r="P32" s="423"/>
      <c r="Q32" s="423"/>
      <c r="R32" s="423"/>
      <c r="S32" s="423"/>
    </row>
    <row r="33" spans="2:11" x14ac:dyDescent="0.35">
      <c r="B33" s="914"/>
      <c r="C33" s="172"/>
      <c r="D33" s="172"/>
      <c r="E33" s="172"/>
      <c r="F33" s="172"/>
      <c r="G33" s="172"/>
    </row>
    <row r="34" spans="2:11" x14ac:dyDescent="0.35">
      <c r="B34" s="177" t="s">
        <v>468</v>
      </c>
      <c r="C34" s="172"/>
      <c r="D34" s="172"/>
      <c r="E34" s="172"/>
      <c r="F34" s="172"/>
      <c r="G34" s="172"/>
    </row>
    <row r="35" spans="2:11" x14ac:dyDescent="0.35">
      <c r="B35" s="177"/>
      <c r="C35" s="172"/>
      <c r="D35" s="172"/>
      <c r="E35" s="172"/>
      <c r="F35" s="172"/>
      <c r="G35" s="172"/>
    </row>
    <row r="36" spans="2:11" x14ac:dyDescent="0.35">
      <c r="B36" s="168"/>
    </row>
    <row r="37" spans="2:11" ht="43.9" customHeight="1" x14ac:dyDescent="0.35">
      <c r="B37" s="1105" t="s">
        <v>1582</v>
      </c>
      <c r="C37" s="1106"/>
      <c r="D37" s="1093"/>
      <c r="E37" s="1094"/>
      <c r="F37" s="1094"/>
      <c r="G37" s="1095"/>
      <c r="H37" s="180"/>
      <c r="I37" s="180"/>
      <c r="J37" s="180"/>
      <c r="K37" s="182"/>
    </row>
    <row r="38" spans="2:11" x14ac:dyDescent="0.35"/>
    <row r="39" spans="2:11" x14ac:dyDescent="0.35"/>
    <row r="40" spans="2:11" x14ac:dyDescent="0.35"/>
    <row r="41" spans="2:11" x14ac:dyDescent="0.35"/>
    <row r="42" spans="2:11" ht="18.5" x14ac:dyDescent="0.45">
      <c r="B42" s="375" t="s">
        <v>644</v>
      </c>
      <c r="C42" s="176"/>
    </row>
    <row r="43" spans="2:11" x14ac:dyDescent="0.35">
      <c r="B43" s="172" t="s">
        <v>1078</v>
      </c>
      <c r="C43" s="172"/>
      <c r="D43" s="172"/>
      <c r="E43" s="172"/>
      <c r="F43" s="172"/>
      <c r="G43" s="172"/>
    </row>
    <row r="44" spans="2:11" x14ac:dyDescent="0.35">
      <c r="B44" s="172" t="s">
        <v>647</v>
      </c>
      <c r="C44" s="172"/>
      <c r="D44" s="172"/>
      <c r="E44" s="172"/>
      <c r="F44" s="172"/>
      <c r="G44" s="172"/>
    </row>
    <row r="45" spans="2:11" x14ac:dyDescent="0.35">
      <c r="B45" s="172" t="s">
        <v>1030</v>
      </c>
      <c r="C45" s="172"/>
      <c r="D45" s="172"/>
      <c r="E45" s="172"/>
      <c r="F45" s="172"/>
      <c r="G45" s="172"/>
    </row>
    <row r="46" spans="2:11" x14ac:dyDescent="0.35">
      <c r="B46" s="172" t="s">
        <v>1031</v>
      </c>
      <c r="C46" s="172"/>
      <c r="D46" s="172"/>
      <c r="E46" s="172"/>
      <c r="F46" s="172"/>
      <c r="G46" s="172"/>
    </row>
    <row r="47" spans="2:11" x14ac:dyDescent="0.35">
      <c r="B47" s="172" t="s">
        <v>1032</v>
      </c>
      <c r="C47" s="172"/>
      <c r="D47" s="172"/>
      <c r="E47" s="172"/>
      <c r="F47" s="172"/>
      <c r="G47" s="172"/>
    </row>
    <row r="48" spans="2:11" x14ac:dyDescent="0.35">
      <c r="B48" s="172" t="s">
        <v>1033</v>
      </c>
      <c r="C48" s="172"/>
      <c r="D48" s="172"/>
      <c r="E48" s="172"/>
      <c r="F48" s="172"/>
      <c r="G48" s="172"/>
    </row>
    <row r="49" spans="1:21" x14ac:dyDescent="0.35"/>
    <row r="50" spans="1:21" x14ac:dyDescent="0.35">
      <c r="B50" s="168"/>
      <c r="C50" s="178"/>
      <c r="K50" s="175"/>
    </row>
    <row r="51" spans="1:21" s="487" customFormat="1" ht="30" customHeight="1" x14ac:dyDescent="0.35">
      <c r="A51" s="608"/>
      <c r="B51" s="486" t="s">
        <v>1059</v>
      </c>
    </row>
    <row r="52" spans="1:21" outlineLevel="1" x14ac:dyDescent="0.35">
      <c r="C52" s="179"/>
      <c r="D52" s="179"/>
      <c r="E52" s="180"/>
      <c r="F52" s="181"/>
      <c r="G52" s="182"/>
      <c r="H52" s="182"/>
      <c r="I52" s="182"/>
      <c r="J52" s="182"/>
      <c r="M52" s="175"/>
    </row>
    <row r="53" spans="1:21" ht="18.5" outlineLevel="1" x14ac:dyDescent="0.35">
      <c r="B53" s="169" t="s">
        <v>1180</v>
      </c>
      <c r="E53" s="180"/>
      <c r="F53" s="610" t="str">
        <f>IF(D58&gt;0, IF($D$37="", "Tem de indicar o setor de atividade em cima", ""),"")</f>
        <v/>
      </c>
      <c r="G53" s="182"/>
      <c r="H53" s="182"/>
      <c r="I53" s="182"/>
      <c r="J53" s="182"/>
      <c r="M53" s="175"/>
    </row>
    <row r="54" spans="1:21" ht="55.15" customHeight="1" outlineLevel="1" x14ac:dyDescent="0.35">
      <c r="B54" s="1089" t="s">
        <v>645</v>
      </c>
      <c r="C54" s="1089" t="s">
        <v>28</v>
      </c>
      <c r="D54" s="1101" t="s">
        <v>530</v>
      </c>
      <c r="E54" s="1089" t="s">
        <v>29</v>
      </c>
      <c r="F54" s="184" t="s">
        <v>1509</v>
      </c>
      <c r="G54" s="184" t="s">
        <v>1510</v>
      </c>
      <c r="H54" s="184" t="s">
        <v>1559</v>
      </c>
      <c r="I54" s="184" t="s">
        <v>1511</v>
      </c>
      <c r="J54" s="184" t="s">
        <v>665</v>
      </c>
      <c r="L54" s="172"/>
      <c r="M54" s="185" t="s">
        <v>618</v>
      </c>
      <c r="N54" s="172"/>
      <c r="O54" s="173"/>
      <c r="P54" s="172"/>
      <c r="Q54" s="172"/>
      <c r="R54" s="172"/>
      <c r="S54" s="172"/>
      <c r="T54" s="172"/>
      <c r="U54" s="172"/>
    </row>
    <row r="55" spans="1:21" ht="18" customHeight="1" outlineLevel="1" x14ac:dyDescent="0.35">
      <c r="B55" s="1090"/>
      <c r="C55" s="1090"/>
      <c r="D55" s="1102"/>
      <c r="E55" s="1090"/>
      <c r="F55" s="186" t="s">
        <v>1506</v>
      </c>
      <c r="G55" s="186" t="s">
        <v>1506</v>
      </c>
      <c r="H55" s="186" t="s">
        <v>1422</v>
      </c>
      <c r="I55" s="186" t="s">
        <v>1422</v>
      </c>
      <c r="J55" s="186" t="s">
        <v>1080</v>
      </c>
      <c r="L55" s="172"/>
      <c r="M55" s="172" t="s">
        <v>1034</v>
      </c>
      <c r="N55" s="172"/>
      <c r="O55" s="1096"/>
      <c r="P55" s="1097"/>
      <c r="Q55" s="1098"/>
      <c r="R55" s="172"/>
      <c r="S55" s="172"/>
      <c r="T55" s="172"/>
      <c r="U55" s="172"/>
    </row>
    <row r="56" spans="1:21" ht="0.65" customHeight="1" outlineLevel="1" x14ac:dyDescent="0.35">
      <c r="B56" s="1100"/>
      <c r="C56" s="1100"/>
      <c r="D56" s="187"/>
      <c r="E56" s="188"/>
      <c r="F56" s="188" t="s">
        <v>664</v>
      </c>
      <c r="G56" s="188" t="s">
        <v>664</v>
      </c>
      <c r="J56" s="188" t="s">
        <v>664</v>
      </c>
      <c r="L56" s="172"/>
      <c r="M56" s="172"/>
      <c r="N56" s="172"/>
      <c r="O56" s="173"/>
      <c r="P56" s="172"/>
      <c r="Q56" s="172"/>
      <c r="R56" s="172"/>
      <c r="S56" s="172"/>
      <c r="T56" s="172"/>
      <c r="U56" s="172"/>
    </row>
    <row r="57" spans="1:21" outlineLevel="1" x14ac:dyDescent="0.35">
      <c r="A57" s="189" t="s">
        <v>39</v>
      </c>
      <c r="B57" s="190" t="s">
        <v>646</v>
      </c>
      <c r="C57" s="488" t="s">
        <v>1430</v>
      </c>
      <c r="D57" s="489">
        <v>10000</v>
      </c>
      <c r="E57" s="191" t="s">
        <v>34</v>
      </c>
      <c r="F57" s="955">
        <v>2.6509555455839999</v>
      </c>
      <c r="G57" s="491"/>
      <c r="H57" s="489">
        <v>26509.464005975453</v>
      </c>
      <c r="I57" s="489"/>
      <c r="J57" s="1026">
        <v>2.2411459459459465E-2</v>
      </c>
      <c r="L57" s="172"/>
      <c r="M57" s="1073" t="str">
        <f>IF(O55="","",VLOOKUP(O55,FACE!$C$10:$D$40,2,FALSE))</f>
        <v/>
      </c>
      <c r="N57" s="1074"/>
      <c r="O57" s="1074"/>
      <c r="P57" s="1074"/>
      <c r="Q57" s="1074"/>
      <c r="R57" s="1074"/>
      <c r="S57" s="1074"/>
      <c r="T57" s="1075"/>
      <c r="U57" s="172"/>
    </row>
    <row r="58" spans="1:21" outlineLevel="1" x14ac:dyDescent="0.35">
      <c r="A58" s="192"/>
      <c r="B58" s="193"/>
      <c r="C58" s="454"/>
      <c r="D58" s="490"/>
      <c r="E58" s="492" t="str">
        <f>IF(C58="","",VLOOKUP(C58,FACE!$B$47:$D$92,3,FALSE))</f>
        <v/>
      </c>
      <c r="F58" s="957" t="str">
        <f>IFERROR(VLOOKUP(C58,FACE!$B$47:$H$82,5,FALSE)+VLOOKUP(C58,FACE!$B$47:$H$82,6,FALSE)*'Fatores de Emissão'!E248+VLOOKUP(C58,FACE!$B$47:$H$82,7,FALSE)*'Fatores de Emissão'!E249,"")</f>
        <v/>
      </c>
      <c r="G58" s="956" t="str">
        <f>IFERROR(VLOOKUP(C58,FACE!$B$84:$H$92,5,FALSE)+VLOOKUP(C58,FACE!$B$84:$H$92,6,FALSE)*'Fatores de Emissão'!F248+VLOOKUP(C58,FACE!$B$84:$H$92,7,FALSE)*'Fatores de Emissão'!F249,"")</f>
        <v/>
      </c>
      <c r="H58" s="802" t="str">
        <f>IFERROR(F58*D58,"")</f>
        <v/>
      </c>
      <c r="I58" s="802" t="str">
        <f>IFERROR(G58*D58,"")</f>
        <v/>
      </c>
      <c r="J58" s="1022" t="str">
        <f>IF(D58="","",SUMIF('Fatores de Emissão'!$B$31:$B$75, $C58, 'Fatores de Emissão'!$R$31:$R$75)*D58)</f>
        <v/>
      </c>
      <c r="L58" s="172"/>
      <c r="M58" s="1076"/>
      <c r="N58" s="1077"/>
      <c r="O58" s="1077"/>
      <c r="P58" s="1077"/>
      <c r="Q58" s="1077"/>
      <c r="R58" s="1077"/>
      <c r="S58" s="1077"/>
      <c r="T58" s="1078"/>
      <c r="U58" s="172"/>
    </row>
    <row r="59" spans="1:21" ht="19.899999999999999" customHeight="1" outlineLevel="1" x14ac:dyDescent="0.35">
      <c r="A59" s="192"/>
      <c r="B59" s="193"/>
      <c r="C59" s="454"/>
      <c r="D59" s="490"/>
      <c r="E59" s="492" t="str">
        <f>IF(C59="","",VLOOKUP(C59,FACE!$B$47:$D$92,3,FALSE))</f>
        <v/>
      </c>
      <c r="F59" s="957" t="str">
        <f>IFERROR(VLOOKUP(C59,FACE!$B$47:$H$82,5,FALSE)+VLOOKUP(C59,FACE!$B$47:$H$82,6,FALSE)*'Fatores de Emissão'!E249+VLOOKUP(C59,FACE!$B$47:$H$82,7,FALSE)*'Fatores de Emissão'!E250,"")</f>
        <v/>
      </c>
      <c r="G59" s="956" t="str">
        <f>IFERROR(VLOOKUP(C59,FACE!$B$84:$H$92,5,FALSE)+VLOOKUP(C59,FACE!$B$84:$H$92,6,FALSE)*'Fatores de Emissão'!F249+VLOOKUP(C59,FACE!$B$84:$H$92,7,FALSE)*'Fatores de Emissão'!F250,"")</f>
        <v/>
      </c>
      <c r="H59" s="802" t="str">
        <f t="shared" ref="H59:H122" si="0">IFERROR(F59*D59,"")</f>
        <v/>
      </c>
      <c r="I59" s="802" t="str">
        <f t="shared" ref="I59:I122" si="1">IFERROR(G59*D59,"")</f>
        <v/>
      </c>
      <c r="J59" s="956" t="str">
        <f>IF(D59="","",SUMIF('Fatores de Emissão'!$B$31:$B$75, $C59, 'Fatores de Emissão'!$R$31:$R$75)*D59)</f>
        <v/>
      </c>
      <c r="L59" s="172"/>
      <c r="M59" s="1076"/>
      <c r="N59" s="1077"/>
      <c r="O59" s="1077"/>
      <c r="P59" s="1077"/>
      <c r="Q59" s="1077"/>
      <c r="R59" s="1077"/>
      <c r="S59" s="1077"/>
      <c r="T59" s="1078"/>
      <c r="U59" s="172"/>
    </row>
    <row r="60" spans="1:21" ht="19.899999999999999" customHeight="1" outlineLevel="1" x14ac:dyDescent="0.35">
      <c r="A60" s="192"/>
      <c r="B60" s="193"/>
      <c r="C60" s="454"/>
      <c r="D60" s="490"/>
      <c r="E60" s="492" t="str">
        <f>IF(C60="","",VLOOKUP(C60,FACE!$B$47:$D$92,3,FALSE))</f>
        <v/>
      </c>
      <c r="F60" s="957" t="str">
        <f>IFERROR(VLOOKUP(C60,FACE!$B$47:$H$82,5,FALSE)+VLOOKUP(C60,FACE!$B$47:$H$82,6,FALSE)*'Fatores de Emissão'!E250+VLOOKUP(C60,FACE!$B$47:$H$82,7,FALSE)*'Fatores de Emissão'!E251,"")</f>
        <v/>
      </c>
      <c r="G60" s="956" t="str">
        <f>IFERROR(VLOOKUP(C60,FACE!$B$84:$H$92,5,FALSE)+VLOOKUP(C60,FACE!$B$84:$H$92,6,FALSE)*'Fatores de Emissão'!F250+VLOOKUP(C60,FACE!$B$84:$H$92,7,FALSE)*'Fatores de Emissão'!F251,"")</f>
        <v/>
      </c>
      <c r="H60" s="802" t="str">
        <f t="shared" si="0"/>
        <v/>
      </c>
      <c r="I60" s="802" t="str">
        <f t="shared" si="1"/>
        <v/>
      </c>
      <c r="J60" s="956" t="str">
        <f>IF(D60="","",SUMIF('Fatores de Emissão'!$B$31:$B$75, $C60, 'Fatores de Emissão'!$R$31:$R$75)*D60)</f>
        <v/>
      </c>
      <c r="L60" s="172"/>
      <c r="M60" s="1076"/>
      <c r="N60" s="1077"/>
      <c r="O60" s="1077"/>
      <c r="P60" s="1077"/>
      <c r="Q60" s="1077"/>
      <c r="R60" s="1077"/>
      <c r="S60" s="1077"/>
      <c r="T60" s="1078"/>
      <c r="U60" s="172"/>
    </row>
    <row r="61" spans="1:21" ht="19.899999999999999" customHeight="1" outlineLevel="1" x14ac:dyDescent="0.35">
      <c r="A61" s="192"/>
      <c r="B61" s="193"/>
      <c r="C61" s="454"/>
      <c r="D61" s="490"/>
      <c r="E61" s="492" t="str">
        <f>IF(C61="","",VLOOKUP(C61,FACE!$B$47:$D$92,3,FALSE))</f>
        <v/>
      </c>
      <c r="F61" s="957" t="str">
        <f>IFERROR(VLOOKUP(C61,FACE!$B$47:$H$82,5,FALSE)+VLOOKUP(C61,FACE!$B$47:$H$82,6,FALSE)*'Fatores de Emissão'!E251+VLOOKUP(C61,FACE!$B$47:$H$82,7,FALSE)*'Fatores de Emissão'!E252,"")</f>
        <v/>
      </c>
      <c r="G61" s="956" t="str">
        <f>IFERROR(VLOOKUP(C61,FACE!$B$84:$H$92,5,FALSE)+VLOOKUP(C61,FACE!$B$84:$H$92,6,FALSE)*'Fatores de Emissão'!F251+VLOOKUP(C61,FACE!$B$84:$H$92,7,FALSE)*'Fatores de Emissão'!F252,"")</f>
        <v/>
      </c>
      <c r="H61" s="802" t="str">
        <f t="shared" si="0"/>
        <v/>
      </c>
      <c r="I61" s="802" t="str">
        <f t="shared" si="1"/>
        <v/>
      </c>
      <c r="J61" s="956" t="str">
        <f>IF(D61="","",SUMIF('Fatores de Emissão'!$B$31:$B$75, $C61, 'Fatores de Emissão'!$R$31:$R$75)*D61)</f>
        <v/>
      </c>
      <c r="L61" s="172"/>
      <c r="M61" s="1076"/>
      <c r="N61" s="1077"/>
      <c r="O61" s="1077"/>
      <c r="P61" s="1077"/>
      <c r="Q61" s="1077"/>
      <c r="R61" s="1077"/>
      <c r="S61" s="1077"/>
      <c r="T61" s="1078"/>
      <c r="U61" s="172"/>
    </row>
    <row r="62" spans="1:21" ht="19.899999999999999" customHeight="1" outlineLevel="1" x14ac:dyDescent="0.35">
      <c r="A62" s="192"/>
      <c r="B62" s="193"/>
      <c r="C62" s="454"/>
      <c r="D62" s="490"/>
      <c r="E62" s="492" t="str">
        <f>IF(C62="","",VLOOKUP(C62,FACE!$B$47:$D$92,3,FALSE))</f>
        <v/>
      </c>
      <c r="F62" s="957" t="str">
        <f>IFERROR(VLOOKUP(C62,FACE!$B$47:$H$82,5,FALSE)+VLOOKUP(C62,FACE!$B$47:$H$82,6,FALSE)*'Fatores de Emissão'!E252+VLOOKUP(C62,FACE!$B$47:$H$82,7,FALSE)*'Fatores de Emissão'!E253,"")</f>
        <v/>
      </c>
      <c r="G62" s="956" t="str">
        <f>IFERROR(VLOOKUP(C62,FACE!$B$84:$H$92,5,FALSE)+VLOOKUP(C62,FACE!$B$84:$H$92,6,FALSE)*'Fatores de Emissão'!F252+VLOOKUP(C62,FACE!$B$84:$H$92,7,FALSE)*'Fatores de Emissão'!F253,"")</f>
        <v/>
      </c>
      <c r="H62" s="802" t="str">
        <f t="shared" si="0"/>
        <v/>
      </c>
      <c r="I62" s="802" t="str">
        <f t="shared" si="1"/>
        <v/>
      </c>
      <c r="J62" s="956" t="str">
        <f>IF(D62="","",SUMIF('Fatores de Emissão'!$B$31:$B$75, $C62, 'Fatores de Emissão'!$R$31:$R$75)*D62)</f>
        <v/>
      </c>
      <c r="L62" s="172"/>
      <c r="M62" s="1076"/>
      <c r="N62" s="1077"/>
      <c r="O62" s="1077"/>
      <c r="P62" s="1077"/>
      <c r="Q62" s="1077"/>
      <c r="R62" s="1077"/>
      <c r="S62" s="1077"/>
      <c r="T62" s="1078"/>
      <c r="U62" s="172"/>
    </row>
    <row r="63" spans="1:21" ht="55.9" customHeight="1" outlineLevel="1" x14ac:dyDescent="0.35">
      <c r="A63" s="192"/>
      <c r="B63" s="193"/>
      <c r="C63" s="454"/>
      <c r="D63" s="490"/>
      <c r="E63" s="492" t="str">
        <f>IF(C63="","",VLOOKUP(C63,FACE!$B$47:$D$92,3,FALSE))</f>
        <v/>
      </c>
      <c r="F63" s="957" t="str">
        <f>IFERROR(VLOOKUP(C63,FACE!$B$47:$H$82,5,FALSE)+VLOOKUP(C63,FACE!$B$47:$H$82,6,FALSE)*'Fatores de Emissão'!E253+VLOOKUP(C63,FACE!$B$47:$H$82,7,FALSE)*'Fatores de Emissão'!E254,"")</f>
        <v/>
      </c>
      <c r="G63" s="956" t="str">
        <f>IFERROR(VLOOKUP(C63,FACE!$B$84:$H$92,5,FALSE)+VLOOKUP(C63,FACE!$B$84:$H$92,6,FALSE)*'Fatores de Emissão'!F253+VLOOKUP(C63,FACE!$B$84:$H$92,7,FALSE)*'Fatores de Emissão'!F254,"")</f>
        <v/>
      </c>
      <c r="H63" s="802" t="str">
        <f t="shared" si="0"/>
        <v/>
      </c>
      <c r="I63" s="802" t="str">
        <f t="shared" si="1"/>
        <v/>
      </c>
      <c r="J63" s="956" t="str">
        <f>IF(D63="","",SUMIF('Fatores de Emissão'!$B$31:$B$75, $C63, 'Fatores de Emissão'!$R$31:$R$75)*D63)</f>
        <v/>
      </c>
      <c r="L63" s="172"/>
      <c r="M63" s="1079"/>
      <c r="N63" s="1080"/>
      <c r="O63" s="1080"/>
      <c r="P63" s="1080"/>
      <c r="Q63" s="1080"/>
      <c r="R63" s="1080"/>
      <c r="S63" s="1080"/>
      <c r="T63" s="1081"/>
      <c r="U63" s="172"/>
    </row>
    <row r="64" spans="1:21" ht="35.5" customHeight="1" outlineLevel="1" x14ac:dyDescent="0.35">
      <c r="A64" s="192"/>
      <c r="B64" s="193"/>
      <c r="C64" s="454"/>
      <c r="D64" s="490"/>
      <c r="E64" s="492" t="str">
        <f>IF(C64="","",VLOOKUP(C64,FACE!$B$47:$D$92,3,FALSE))</f>
        <v/>
      </c>
      <c r="F64" s="957" t="str">
        <f>IFERROR(VLOOKUP(C64,FACE!$B$47:$H$82,5,FALSE)+VLOOKUP(C64,FACE!$B$47:$H$82,6,FALSE)*'Fatores de Emissão'!E254+VLOOKUP(C64,FACE!$B$47:$H$82,7,FALSE)*'Fatores de Emissão'!E255,"")</f>
        <v/>
      </c>
      <c r="G64" s="956" t="str">
        <f>IFERROR(VLOOKUP(C64,FACE!$B$84:$H$92,5,FALSE)+VLOOKUP(C64,FACE!$B$84:$H$92,6,FALSE)*'Fatores de Emissão'!F254+VLOOKUP(C64,FACE!$B$84:$H$92,7,FALSE)*'Fatores de Emissão'!F255,"")</f>
        <v/>
      </c>
      <c r="H64" s="802" t="str">
        <f t="shared" si="0"/>
        <v/>
      </c>
      <c r="I64" s="802" t="str">
        <f t="shared" si="1"/>
        <v/>
      </c>
      <c r="J64" s="956" t="str">
        <f>IF(D64="","",SUMIF('Fatores de Emissão'!$B$31:$B$75, $C64, 'Fatores de Emissão'!$R$31:$R$75)*D64)</f>
        <v/>
      </c>
      <c r="L64" s="172"/>
      <c r="M64" s="172" t="s">
        <v>1060</v>
      </c>
      <c r="N64" s="172"/>
      <c r="O64" s="173"/>
      <c r="P64" s="172"/>
      <c r="Q64" s="172"/>
      <c r="R64" s="172"/>
      <c r="S64" s="172"/>
      <c r="T64" s="172"/>
      <c r="U64" s="172"/>
    </row>
    <row r="65" spans="1:10" ht="20.5" customHeight="1" outlineLevel="1" x14ac:dyDescent="0.35">
      <c r="A65" s="192"/>
      <c r="B65" s="193"/>
      <c r="C65" s="454"/>
      <c r="D65" s="490"/>
      <c r="E65" s="492" t="str">
        <f>IF(C65="","",VLOOKUP(C65,FACE!$B$47:$D$92,3,FALSE))</f>
        <v/>
      </c>
      <c r="F65" s="957" t="str">
        <f>IFERROR(VLOOKUP(C65,FACE!$B$47:$H$82,5,FALSE)+VLOOKUP(C65,FACE!$B$47:$H$82,6,FALSE)*'Fatores de Emissão'!E255+VLOOKUP(C65,FACE!$B$47:$H$82,7,FALSE)*'Fatores de Emissão'!E256,"")</f>
        <v/>
      </c>
      <c r="G65" s="956" t="str">
        <f>IFERROR(VLOOKUP(C65,FACE!$B$84:$H$92,5,FALSE)+VLOOKUP(C65,FACE!$B$84:$H$92,6,FALSE)*'Fatores de Emissão'!F255+VLOOKUP(C65,FACE!$B$84:$H$92,7,FALSE)*'Fatores de Emissão'!F256,"")</f>
        <v/>
      </c>
      <c r="H65" s="802" t="str">
        <f t="shared" si="0"/>
        <v/>
      </c>
      <c r="I65" s="802" t="str">
        <f t="shared" si="1"/>
        <v/>
      </c>
      <c r="J65" s="956" t="str">
        <f>IF(D65="","",SUMIF('Fatores de Emissão'!$B$31:$B$75, $C65, 'Fatores de Emissão'!$R$31:$R$75)*D65)</f>
        <v/>
      </c>
    </row>
    <row r="66" spans="1:10" ht="18.649999999999999" customHeight="1" outlineLevel="1" x14ac:dyDescent="0.35">
      <c r="A66" s="192"/>
      <c r="B66" s="193"/>
      <c r="C66" s="454"/>
      <c r="D66" s="490"/>
      <c r="E66" s="492" t="str">
        <f>IF(C66="","",VLOOKUP(C66,FACE!$B$47:$D$92,3,FALSE))</f>
        <v/>
      </c>
      <c r="F66" s="957" t="str">
        <f>IFERROR(VLOOKUP(C66,FACE!$B$47:$H$82,5,FALSE)+VLOOKUP(C66,FACE!$B$47:$H$82,6,FALSE)*'Fatores de Emissão'!E256+VLOOKUP(C66,FACE!$B$47:$H$82,7,FALSE)*'Fatores de Emissão'!E257,"")</f>
        <v/>
      </c>
      <c r="G66" s="956" t="str">
        <f>IFERROR(VLOOKUP(C66,FACE!$B$84:$H$92,5,FALSE)+VLOOKUP(C66,FACE!$B$84:$H$92,6,FALSE)*'Fatores de Emissão'!F256+VLOOKUP(C66,FACE!$B$84:$H$92,7,FALSE)*'Fatores de Emissão'!F257,"")</f>
        <v/>
      </c>
      <c r="H66" s="802" t="str">
        <f t="shared" si="0"/>
        <v/>
      </c>
      <c r="I66" s="802" t="str">
        <f t="shared" si="1"/>
        <v/>
      </c>
      <c r="J66" s="956" t="str">
        <f>IF(D66="","",SUMIF('Fatores de Emissão'!$B$31:$B$75, $C66, 'Fatores de Emissão'!$R$31:$R$75)*D66)</f>
        <v/>
      </c>
    </row>
    <row r="67" spans="1:10" ht="20.5" hidden="1" customHeight="1" outlineLevel="2" x14ac:dyDescent="0.35">
      <c r="A67" s="192"/>
      <c r="B67" s="193"/>
      <c r="C67" s="454"/>
      <c r="D67" s="490"/>
      <c r="E67" s="492" t="str">
        <f>IF(C67="","",VLOOKUP(C67,FACE!$B$47:$D$92,3,FALSE))</f>
        <v/>
      </c>
      <c r="F67" s="493" t="str">
        <f>IFERROR(VLOOKUP(C67,FACE!$B$47:$H$82,5,FALSE)+VLOOKUP(C67,FACE!$B$47:$H$82,6,FALSE)*'Fatores de Emissão'!E257+VLOOKUP(C67,FACE!$B$47:$H$82,7,FALSE)*'Fatores de Emissão'!E258,"")</f>
        <v/>
      </c>
      <c r="G67" s="493" t="str">
        <f>IFERROR(VLOOKUP(C67,FACE!$B$84:$H$92,5,FALSE)+VLOOKUP(C67,FACE!$B$84:$H$92,6,FALSE)*'Fatores de Emissão'!F257+VLOOKUP(C67,FACE!$B$84:$H$92,7,FALSE)*'Fatores de Emissão'!F258,"")</f>
        <v/>
      </c>
      <c r="H67" s="802" t="str">
        <f t="shared" si="0"/>
        <v/>
      </c>
      <c r="I67" s="802" t="str">
        <f t="shared" si="1"/>
        <v/>
      </c>
      <c r="J67" s="956" t="str">
        <f>IF(D67="","",SUMIF('Fatores de Emissão'!$B$31:$B$75, $C67, 'Fatores de Emissão'!$R$31:$R$75)*D67)</f>
        <v/>
      </c>
    </row>
    <row r="68" spans="1:10" ht="20.5" hidden="1" customHeight="1" outlineLevel="2" x14ac:dyDescent="0.35">
      <c r="A68" s="192"/>
      <c r="B68" s="193"/>
      <c r="C68" s="454"/>
      <c r="D68" s="490"/>
      <c r="E68" s="492" t="str">
        <f>IF(C68="","",VLOOKUP(C68,FACE!$B$47:$D$92,3,FALSE))</f>
        <v/>
      </c>
      <c r="F68" s="493" t="str">
        <f>IFERROR(VLOOKUP(C68,FACE!$B$47:$H$82,5,FALSE)+VLOOKUP(C68,FACE!$B$47:$H$82,6,FALSE)*'Fatores de Emissão'!E258+VLOOKUP(C68,FACE!$B$47:$H$82,7,FALSE)*'Fatores de Emissão'!E259,"")</f>
        <v/>
      </c>
      <c r="G68" s="493" t="str">
        <f>IFERROR(VLOOKUP(C68,FACE!$B$84:$H$92,5,FALSE)+VLOOKUP(C68,FACE!$B$84:$H$92,6,FALSE)*'Fatores de Emissão'!F258+VLOOKUP(C68,FACE!$B$84:$H$92,7,FALSE)*'Fatores de Emissão'!F259,"")</f>
        <v/>
      </c>
      <c r="H68" s="802" t="str">
        <f t="shared" si="0"/>
        <v/>
      </c>
      <c r="I68" s="802" t="str">
        <f t="shared" si="1"/>
        <v/>
      </c>
      <c r="J68" s="956" t="str">
        <f>IF(D68="","",SUMIF('Fatores de Emissão'!$B$31:$B$75, $C68, 'Fatores de Emissão'!$R$31:$R$75)*D68)</f>
        <v/>
      </c>
    </row>
    <row r="69" spans="1:10" ht="20.5" hidden="1" customHeight="1" outlineLevel="2" x14ac:dyDescent="0.35">
      <c r="A69" s="192"/>
      <c r="B69" s="193"/>
      <c r="C69" s="454"/>
      <c r="D69" s="490"/>
      <c r="E69" s="492" t="str">
        <f>IF(C69="","",VLOOKUP(C69,FACE!$B$47:$D$92,3,FALSE))</f>
        <v/>
      </c>
      <c r="F69" s="493" t="str">
        <f>IFERROR(VLOOKUP(C69,FACE!$B$47:$H$82,5,FALSE)+VLOOKUP(C69,FACE!$B$47:$H$82,6,FALSE)*'Fatores de Emissão'!E259+VLOOKUP(C69,FACE!$B$47:$H$82,7,FALSE)*'Fatores de Emissão'!E260,"")</f>
        <v/>
      </c>
      <c r="G69" s="493" t="str">
        <f>IFERROR(VLOOKUP(C69,FACE!$B$84:$H$92,5,FALSE)+VLOOKUP(C69,FACE!$B$84:$H$92,6,FALSE)*'Fatores de Emissão'!F259+VLOOKUP(C69,FACE!$B$84:$H$92,7,FALSE)*'Fatores de Emissão'!F260,"")</f>
        <v/>
      </c>
      <c r="H69" s="802" t="str">
        <f t="shared" si="0"/>
        <v/>
      </c>
      <c r="I69" s="802" t="str">
        <f t="shared" si="1"/>
        <v/>
      </c>
      <c r="J69" s="956" t="str">
        <f>IF(D69="","",SUMIF('Fatores de Emissão'!$B$31:$B$75, $C69, 'Fatores de Emissão'!$R$31:$R$75)*D69)</f>
        <v/>
      </c>
    </row>
    <row r="70" spans="1:10" ht="20.5" hidden="1" customHeight="1" outlineLevel="2" x14ac:dyDescent="0.35">
      <c r="A70" s="192"/>
      <c r="B70" s="193"/>
      <c r="C70" s="454"/>
      <c r="D70" s="490"/>
      <c r="E70" s="492" t="str">
        <f>IF(C70="","",VLOOKUP(C70,FACE!$B$47:$D$92,3,FALSE))</f>
        <v/>
      </c>
      <c r="F70" s="493" t="str">
        <f>IFERROR(VLOOKUP(C70,FACE!$B$47:$H$82,5,FALSE)+VLOOKUP(C70,FACE!$B$47:$H$82,6,FALSE)*'Fatores de Emissão'!E260+VLOOKUP(C70,FACE!$B$47:$H$82,7,FALSE)*'Fatores de Emissão'!E261,"")</f>
        <v/>
      </c>
      <c r="G70" s="493" t="str">
        <f>IFERROR(VLOOKUP(C70,FACE!$B$84:$H$92,5,FALSE)+VLOOKUP(C70,FACE!$B$84:$H$92,6,FALSE)*'Fatores de Emissão'!F260+VLOOKUP(C70,FACE!$B$84:$H$92,7,FALSE)*'Fatores de Emissão'!F261,"")</f>
        <v/>
      </c>
      <c r="H70" s="802" t="str">
        <f t="shared" si="0"/>
        <v/>
      </c>
      <c r="I70" s="802" t="str">
        <f t="shared" si="1"/>
        <v/>
      </c>
      <c r="J70" s="956" t="str">
        <f>IF(D70="","",SUMIF('Fatores de Emissão'!$B$31:$B$75, $C70, 'Fatores de Emissão'!$R$31:$R$75)*D70)</f>
        <v/>
      </c>
    </row>
    <row r="71" spans="1:10" ht="20.5" hidden="1" customHeight="1" outlineLevel="2" x14ac:dyDescent="0.35">
      <c r="A71" s="192"/>
      <c r="B71" s="193"/>
      <c r="C71" s="454"/>
      <c r="D71" s="490"/>
      <c r="E71" s="492" t="str">
        <f>IF(C71="","",VLOOKUP(C71,FACE!$B$47:$D$92,3,FALSE))</f>
        <v/>
      </c>
      <c r="F71" s="493" t="str">
        <f>IFERROR(VLOOKUP(C71,FACE!$B$47:$H$82,5,FALSE)+VLOOKUP(C71,FACE!$B$47:$H$82,6,FALSE)*'Fatores de Emissão'!E261+VLOOKUP(C71,FACE!$B$47:$H$82,7,FALSE)*'Fatores de Emissão'!E262,"")</f>
        <v/>
      </c>
      <c r="G71" s="493" t="str">
        <f>IFERROR(VLOOKUP(C71,FACE!$B$84:$H$92,5,FALSE)+VLOOKUP(C71,FACE!$B$84:$H$92,6,FALSE)*'Fatores de Emissão'!F261+VLOOKUP(C71,FACE!$B$84:$H$92,7,FALSE)*'Fatores de Emissão'!F262,"")</f>
        <v/>
      </c>
      <c r="H71" s="802" t="str">
        <f t="shared" si="0"/>
        <v/>
      </c>
      <c r="I71" s="802" t="str">
        <f t="shared" si="1"/>
        <v/>
      </c>
      <c r="J71" s="956" t="str">
        <f>IF(D71="","",SUMIF('Fatores de Emissão'!$B$31:$B$75, $C71, 'Fatores de Emissão'!$R$31:$R$75)*D71)</f>
        <v/>
      </c>
    </row>
    <row r="72" spans="1:10" ht="20.5" hidden="1" customHeight="1" outlineLevel="2" x14ac:dyDescent="0.35">
      <c r="A72" s="192"/>
      <c r="B72" s="193"/>
      <c r="C72" s="454"/>
      <c r="D72" s="490"/>
      <c r="E72" s="492" t="str">
        <f>IF(C72="","",VLOOKUP(C72,FACE!$B$47:$D$92,3,FALSE))</f>
        <v/>
      </c>
      <c r="F72" s="493" t="str">
        <f>IFERROR(VLOOKUP(C72,FACE!$B$47:$H$82,5,FALSE)+VLOOKUP(C72,FACE!$B$47:$H$82,6,FALSE)*'Fatores de Emissão'!E262+VLOOKUP(C72,FACE!$B$47:$H$82,7,FALSE)*'Fatores de Emissão'!E263,"")</f>
        <v/>
      </c>
      <c r="G72" s="493" t="str">
        <f>IFERROR(VLOOKUP(C72,FACE!$B$84:$H$92,5,FALSE)+VLOOKUP(C72,FACE!$B$84:$H$92,6,FALSE)*'Fatores de Emissão'!F262+VLOOKUP(C72,FACE!$B$84:$H$92,7,FALSE)*'Fatores de Emissão'!F263,"")</f>
        <v/>
      </c>
      <c r="H72" s="802" t="str">
        <f t="shared" si="0"/>
        <v/>
      </c>
      <c r="I72" s="802" t="str">
        <f t="shared" si="1"/>
        <v/>
      </c>
      <c r="J72" s="956" t="str">
        <f>IF(D72="","",SUMIF('Fatores de Emissão'!$B$31:$B$75, $C72, 'Fatores de Emissão'!$R$31:$R$75)*D72)</f>
        <v/>
      </c>
    </row>
    <row r="73" spans="1:10" ht="20.5" hidden="1" customHeight="1" outlineLevel="2" x14ac:dyDescent="0.35">
      <c r="A73" s="192"/>
      <c r="B73" s="193"/>
      <c r="C73" s="454"/>
      <c r="D73" s="490"/>
      <c r="E73" s="492" t="str">
        <f>IF(C73="","",VLOOKUP(C73,FACE!$B$47:$D$92,3,FALSE))</f>
        <v/>
      </c>
      <c r="F73" s="493" t="str">
        <f>IFERROR(VLOOKUP(C73,FACE!$B$47:$H$82,5,FALSE)+VLOOKUP(C73,FACE!$B$47:$H$82,6,FALSE)*'Fatores de Emissão'!E263+VLOOKUP(C73,FACE!$B$47:$H$82,7,FALSE)*'Fatores de Emissão'!E264,"")</f>
        <v/>
      </c>
      <c r="G73" s="493" t="str">
        <f>IFERROR(VLOOKUP(C73,FACE!$B$84:$H$92,5,FALSE)+VLOOKUP(C73,FACE!$B$84:$H$92,6,FALSE)*'Fatores de Emissão'!F263+VLOOKUP(C73,FACE!$B$84:$H$92,7,FALSE)*'Fatores de Emissão'!F264,"")</f>
        <v/>
      </c>
      <c r="H73" s="802" t="str">
        <f t="shared" si="0"/>
        <v/>
      </c>
      <c r="I73" s="802" t="str">
        <f t="shared" si="1"/>
        <v/>
      </c>
      <c r="J73" s="956" t="str">
        <f>IF(D73="","",SUMIF('Fatores de Emissão'!$B$31:$B$75, $C73, 'Fatores de Emissão'!$R$31:$R$75)*D73)</f>
        <v/>
      </c>
    </row>
    <row r="74" spans="1:10" ht="20.5" hidden="1" customHeight="1" outlineLevel="2" x14ac:dyDescent="0.35">
      <c r="A74" s="192"/>
      <c r="B74" s="193"/>
      <c r="C74" s="454"/>
      <c r="D74" s="490"/>
      <c r="E74" s="492" t="str">
        <f>IF(C74="","",VLOOKUP(C74,FACE!$B$47:$D$92,3,FALSE))</f>
        <v/>
      </c>
      <c r="F74" s="493" t="str">
        <f>IFERROR(VLOOKUP(C74,FACE!$B$47:$H$82,5,FALSE)+VLOOKUP(C74,FACE!$B$47:$H$82,6,FALSE)*'Fatores de Emissão'!E264+VLOOKUP(C74,FACE!$B$47:$H$82,7,FALSE)*'Fatores de Emissão'!E265,"")</f>
        <v/>
      </c>
      <c r="G74" s="493" t="str">
        <f>IFERROR(VLOOKUP(C74,FACE!$B$84:$H$92,5,FALSE)+VLOOKUP(C74,FACE!$B$84:$H$92,6,FALSE)*'Fatores de Emissão'!F264+VLOOKUP(C74,FACE!$B$84:$H$92,7,FALSE)*'Fatores de Emissão'!F265,"")</f>
        <v/>
      </c>
      <c r="H74" s="802" t="str">
        <f t="shared" si="0"/>
        <v/>
      </c>
      <c r="I74" s="802" t="str">
        <f t="shared" si="1"/>
        <v/>
      </c>
      <c r="J74" s="956" t="str">
        <f>IF(D74="","",SUMIF('Fatores de Emissão'!$B$31:$B$75, $C74, 'Fatores de Emissão'!$R$31:$R$75)*D74)</f>
        <v/>
      </c>
    </row>
    <row r="75" spans="1:10" ht="20.5" hidden="1" customHeight="1" outlineLevel="2" x14ac:dyDescent="0.35">
      <c r="A75" s="192"/>
      <c r="B75" s="193"/>
      <c r="C75" s="454"/>
      <c r="D75" s="490"/>
      <c r="E75" s="492" t="str">
        <f>IF(C75="","",VLOOKUP(C75,FACE!$B$47:$D$92,3,FALSE))</f>
        <v/>
      </c>
      <c r="F75" s="493" t="str">
        <f>IFERROR(VLOOKUP(C75,FACE!$B$47:$H$82,5,FALSE)+VLOOKUP(C75,FACE!$B$47:$H$82,6,FALSE)*'Fatores de Emissão'!E265+VLOOKUP(C75,FACE!$B$47:$H$82,7,FALSE)*'Fatores de Emissão'!E266,"")</f>
        <v/>
      </c>
      <c r="G75" s="493" t="str">
        <f>IFERROR(VLOOKUP(C75,FACE!$B$84:$H$92,5,FALSE)+VLOOKUP(C75,FACE!$B$84:$H$92,6,FALSE)*'Fatores de Emissão'!F265+VLOOKUP(C75,FACE!$B$84:$H$92,7,FALSE)*'Fatores de Emissão'!F266,"")</f>
        <v/>
      </c>
      <c r="H75" s="802" t="str">
        <f t="shared" si="0"/>
        <v/>
      </c>
      <c r="I75" s="802" t="str">
        <f t="shared" si="1"/>
        <v/>
      </c>
      <c r="J75" s="956" t="str">
        <f>IF(D75="","",SUMIF('Fatores de Emissão'!$B$31:$B$75, $C75, 'Fatores de Emissão'!$R$31:$R$75)*D75)</f>
        <v/>
      </c>
    </row>
    <row r="76" spans="1:10" ht="20.5" hidden="1" customHeight="1" outlineLevel="2" x14ac:dyDescent="0.35">
      <c r="A76" s="192"/>
      <c r="B76" s="193"/>
      <c r="C76" s="454"/>
      <c r="D76" s="490"/>
      <c r="E76" s="492" t="str">
        <f>IF(C76="","",VLOOKUP(C76,FACE!$B$47:$D$92,3,FALSE))</f>
        <v/>
      </c>
      <c r="F76" s="493" t="str">
        <f>IFERROR(VLOOKUP(C76,FACE!$B$47:$H$82,5,FALSE)+VLOOKUP(C76,FACE!$B$47:$H$82,6,FALSE)*'Fatores de Emissão'!E266+VLOOKUP(C76,FACE!$B$47:$H$82,7,FALSE)*'Fatores de Emissão'!E267,"")</f>
        <v/>
      </c>
      <c r="G76" s="493" t="str">
        <f>IFERROR(VLOOKUP(C76,FACE!$B$84:$H$92,5,FALSE)+VLOOKUP(C76,FACE!$B$84:$H$92,6,FALSE)*'Fatores de Emissão'!F266+VLOOKUP(C76,FACE!$B$84:$H$92,7,FALSE)*'Fatores de Emissão'!F267,"")</f>
        <v/>
      </c>
      <c r="H76" s="802" t="str">
        <f t="shared" si="0"/>
        <v/>
      </c>
      <c r="I76" s="802" t="str">
        <f t="shared" si="1"/>
        <v/>
      </c>
      <c r="J76" s="956" t="str">
        <f>IF(D76="","",SUMIF('Fatores de Emissão'!$B$31:$B$75, $C76, 'Fatores de Emissão'!$R$31:$R$75)*D76)</f>
        <v/>
      </c>
    </row>
    <row r="77" spans="1:10" ht="20.5" hidden="1" customHeight="1" outlineLevel="2" x14ac:dyDescent="0.35">
      <c r="A77" s="192"/>
      <c r="B77" s="193"/>
      <c r="C77" s="454"/>
      <c r="D77" s="490"/>
      <c r="E77" s="492" t="str">
        <f>IF(C77="","",VLOOKUP(C77,FACE!$B$47:$D$92,3,FALSE))</f>
        <v/>
      </c>
      <c r="F77" s="493" t="str">
        <f>IFERROR(VLOOKUP(C77,FACE!$B$47:$H$82,5,FALSE)+VLOOKUP(C77,FACE!$B$47:$H$82,6,FALSE)*'Fatores de Emissão'!E267+VLOOKUP(C77,FACE!$B$47:$H$82,7,FALSE)*'Fatores de Emissão'!E268,"")</f>
        <v/>
      </c>
      <c r="G77" s="493" t="str">
        <f>IFERROR(VLOOKUP(C77,FACE!$B$84:$H$92,5,FALSE)+VLOOKUP(C77,FACE!$B$84:$H$92,6,FALSE)*'Fatores de Emissão'!F267+VLOOKUP(C77,FACE!$B$84:$H$92,7,FALSE)*'Fatores de Emissão'!F268,"")</f>
        <v/>
      </c>
      <c r="H77" s="802" t="str">
        <f t="shared" si="0"/>
        <v/>
      </c>
      <c r="I77" s="802" t="str">
        <f t="shared" si="1"/>
        <v/>
      </c>
      <c r="J77" s="956" t="str">
        <f>IF(D77="","",SUMIF('Fatores de Emissão'!$B$31:$B$75, $C77, 'Fatores de Emissão'!$R$31:$R$75)*D77)</f>
        <v/>
      </c>
    </row>
    <row r="78" spans="1:10" ht="20.5" hidden="1" customHeight="1" outlineLevel="2" x14ac:dyDescent="0.35">
      <c r="A78" s="192"/>
      <c r="B78" s="193"/>
      <c r="C78" s="454"/>
      <c r="D78" s="490"/>
      <c r="E78" s="492" t="str">
        <f>IF(C78="","",VLOOKUP(C78,FACE!$B$47:$D$92,3,FALSE))</f>
        <v/>
      </c>
      <c r="F78" s="493" t="str">
        <f>IFERROR(VLOOKUP(C78,FACE!$B$47:$H$82,5,FALSE)+VLOOKUP(C78,FACE!$B$47:$H$82,6,FALSE)*'Fatores de Emissão'!E268+VLOOKUP(C78,FACE!$B$47:$H$82,7,FALSE)*'Fatores de Emissão'!E269,"")</f>
        <v/>
      </c>
      <c r="G78" s="493" t="str">
        <f>IFERROR(VLOOKUP(C78,FACE!$B$84:$H$92,5,FALSE)+VLOOKUP(C78,FACE!$B$84:$H$92,6,FALSE)*'Fatores de Emissão'!F268+VLOOKUP(C78,FACE!$B$84:$H$92,7,FALSE)*'Fatores de Emissão'!F269,"")</f>
        <v/>
      </c>
      <c r="H78" s="802" t="str">
        <f t="shared" si="0"/>
        <v/>
      </c>
      <c r="I78" s="802" t="str">
        <f t="shared" si="1"/>
        <v/>
      </c>
      <c r="J78" s="956" t="str">
        <f>IF(D78="","",SUMIF('Fatores de Emissão'!$B$31:$B$75, $C78, 'Fatores de Emissão'!$R$31:$R$75)*D78)</f>
        <v/>
      </c>
    </row>
    <row r="79" spans="1:10" ht="20.5" hidden="1" customHeight="1" outlineLevel="2" x14ac:dyDescent="0.35">
      <c r="A79" s="192"/>
      <c r="B79" s="193"/>
      <c r="C79" s="454"/>
      <c r="D79" s="490"/>
      <c r="E79" s="492" t="str">
        <f>IF(C79="","",VLOOKUP(C79,FACE!$B$47:$D$92,3,FALSE))</f>
        <v/>
      </c>
      <c r="F79" s="493" t="str">
        <f>IFERROR(VLOOKUP(C79,FACE!$B$47:$H$82,5,FALSE)+VLOOKUP(C79,FACE!$B$47:$H$82,6,FALSE)*'Fatores de Emissão'!E269+VLOOKUP(C79,FACE!$B$47:$H$82,7,FALSE)*'Fatores de Emissão'!E270,"")</f>
        <v/>
      </c>
      <c r="G79" s="493" t="str">
        <f>IFERROR(VLOOKUP(C79,FACE!$B$84:$H$92,5,FALSE)+VLOOKUP(C79,FACE!$B$84:$H$92,6,FALSE)*'Fatores de Emissão'!F269+VLOOKUP(C79,FACE!$B$84:$H$92,7,FALSE)*'Fatores de Emissão'!F270,"")</f>
        <v/>
      </c>
      <c r="H79" s="802" t="str">
        <f t="shared" si="0"/>
        <v/>
      </c>
      <c r="I79" s="802" t="str">
        <f t="shared" si="1"/>
        <v/>
      </c>
      <c r="J79" s="956" t="str">
        <f>IF(D79="","",SUMIF('Fatores de Emissão'!$B$31:$B$75, $C79, 'Fatores de Emissão'!$R$31:$R$75)*D79)</f>
        <v/>
      </c>
    </row>
    <row r="80" spans="1:10" ht="20.5" hidden="1" customHeight="1" outlineLevel="2" x14ac:dyDescent="0.35">
      <c r="A80" s="192"/>
      <c r="B80" s="193"/>
      <c r="C80" s="454"/>
      <c r="D80" s="490"/>
      <c r="E80" s="492" t="str">
        <f>IF(C80="","",VLOOKUP(C80,FACE!$B$47:$D$92,3,FALSE))</f>
        <v/>
      </c>
      <c r="F80" s="493" t="str">
        <f>IFERROR(VLOOKUP(C80,FACE!$B$47:$H$82,5,FALSE)+VLOOKUP(C80,FACE!$B$47:$H$82,6,FALSE)*'Fatores de Emissão'!E270+VLOOKUP(C80,FACE!$B$47:$H$82,7,FALSE)*'Fatores de Emissão'!E271,"")</f>
        <v/>
      </c>
      <c r="G80" s="493" t="str">
        <f>IFERROR(VLOOKUP(C80,FACE!$B$84:$H$92,5,FALSE)+VLOOKUP(C80,FACE!$B$84:$H$92,6,FALSE)*'Fatores de Emissão'!F270+VLOOKUP(C80,FACE!$B$84:$H$92,7,FALSE)*'Fatores de Emissão'!F271,"")</f>
        <v/>
      </c>
      <c r="H80" s="802" t="str">
        <f t="shared" si="0"/>
        <v/>
      </c>
      <c r="I80" s="802" t="str">
        <f t="shared" si="1"/>
        <v/>
      </c>
      <c r="J80" s="956" t="str">
        <f>IF(D80="","",SUMIF('Fatores de Emissão'!$B$31:$B$75, $C80, 'Fatores de Emissão'!$R$31:$R$75)*D80)</f>
        <v/>
      </c>
    </row>
    <row r="81" spans="1:10" ht="20.5" hidden="1" customHeight="1" outlineLevel="2" x14ac:dyDescent="0.35">
      <c r="A81" s="192"/>
      <c r="B81" s="193"/>
      <c r="C81" s="454"/>
      <c r="D81" s="490"/>
      <c r="E81" s="492" t="str">
        <f>IF(C81="","",VLOOKUP(C81,FACE!$B$47:$D$92,3,FALSE))</f>
        <v/>
      </c>
      <c r="F81" s="493" t="str">
        <f>IFERROR(VLOOKUP(C81,FACE!$B$47:$H$82,5,FALSE)+VLOOKUP(C81,FACE!$B$47:$H$82,6,FALSE)*'Fatores de Emissão'!E271+VLOOKUP(C81,FACE!$B$47:$H$82,7,FALSE)*'Fatores de Emissão'!E272,"")</f>
        <v/>
      </c>
      <c r="G81" s="493" t="str">
        <f>IFERROR(VLOOKUP(C81,FACE!$B$84:$H$92,5,FALSE)+VLOOKUP(C81,FACE!$B$84:$H$92,6,FALSE)*'Fatores de Emissão'!F271+VLOOKUP(C81,FACE!$B$84:$H$92,7,FALSE)*'Fatores de Emissão'!F272,"")</f>
        <v/>
      </c>
      <c r="H81" s="802" t="str">
        <f t="shared" si="0"/>
        <v/>
      </c>
      <c r="I81" s="802" t="str">
        <f t="shared" si="1"/>
        <v/>
      </c>
      <c r="J81" s="956" t="str">
        <f>IF(D81="","",SUMIF('Fatores de Emissão'!$B$31:$B$75, $C81, 'Fatores de Emissão'!$R$31:$R$75)*D81)</f>
        <v/>
      </c>
    </row>
    <row r="82" spans="1:10" ht="20.5" hidden="1" customHeight="1" outlineLevel="2" x14ac:dyDescent="0.35">
      <c r="A82" s="192"/>
      <c r="B82" s="193"/>
      <c r="C82" s="454"/>
      <c r="D82" s="490"/>
      <c r="E82" s="492" t="str">
        <f>IF(C82="","",VLOOKUP(C82,FACE!$B$47:$D$92,3,FALSE))</f>
        <v/>
      </c>
      <c r="F82" s="493" t="str">
        <f>IFERROR(VLOOKUP(C82,FACE!$B$47:$H$82,5,FALSE)+VLOOKUP(C82,FACE!$B$47:$H$82,6,FALSE)*'Fatores de Emissão'!E272+VLOOKUP(C82,FACE!$B$47:$H$82,7,FALSE)*'Fatores de Emissão'!E273,"")</f>
        <v/>
      </c>
      <c r="G82" s="493" t="str">
        <f>IFERROR(VLOOKUP(C82,FACE!$B$84:$H$92,5,FALSE)+VLOOKUP(C82,FACE!$B$84:$H$92,6,FALSE)*'Fatores de Emissão'!F272+VLOOKUP(C82,FACE!$B$84:$H$92,7,FALSE)*'Fatores de Emissão'!F273,"")</f>
        <v/>
      </c>
      <c r="H82" s="802" t="str">
        <f t="shared" si="0"/>
        <v/>
      </c>
      <c r="I82" s="802" t="str">
        <f t="shared" si="1"/>
        <v/>
      </c>
      <c r="J82" s="956" t="str">
        <f>IF(D82="","",SUMIF('Fatores de Emissão'!$B$31:$B$75, $C82, 'Fatores de Emissão'!$R$31:$R$75)*D82)</f>
        <v/>
      </c>
    </row>
    <row r="83" spans="1:10" ht="20.5" hidden="1" customHeight="1" outlineLevel="2" x14ac:dyDescent="0.35">
      <c r="A83" s="192"/>
      <c r="B83" s="193"/>
      <c r="C83" s="454"/>
      <c r="D83" s="490"/>
      <c r="E83" s="492" t="str">
        <f>IF(C83="","",VLOOKUP(C83,FACE!$B$47:$D$92,3,FALSE))</f>
        <v/>
      </c>
      <c r="F83" s="493" t="str">
        <f>IFERROR(VLOOKUP(C83,FACE!$B$47:$H$82,5,FALSE)+VLOOKUP(C83,FACE!$B$47:$H$82,6,FALSE)*'Fatores de Emissão'!E273+VLOOKUP(C83,FACE!$B$47:$H$82,7,FALSE)*'Fatores de Emissão'!E274,"")</f>
        <v/>
      </c>
      <c r="G83" s="493" t="str">
        <f>IFERROR(VLOOKUP(C83,FACE!$B$84:$H$92,5,FALSE)+VLOOKUP(C83,FACE!$B$84:$H$92,6,FALSE)*'Fatores de Emissão'!F273+VLOOKUP(C83,FACE!$B$84:$H$92,7,FALSE)*'Fatores de Emissão'!F274,"")</f>
        <v/>
      </c>
      <c r="H83" s="802" t="str">
        <f t="shared" si="0"/>
        <v/>
      </c>
      <c r="I83" s="802" t="str">
        <f t="shared" si="1"/>
        <v/>
      </c>
      <c r="J83" s="956" t="str">
        <f>IF(D83="","",SUMIF('Fatores de Emissão'!$B$31:$B$75, $C83, 'Fatores de Emissão'!$R$31:$R$75)*D83)</f>
        <v/>
      </c>
    </row>
    <row r="84" spans="1:10" ht="20.5" hidden="1" customHeight="1" outlineLevel="2" x14ac:dyDescent="0.35">
      <c r="A84" s="192"/>
      <c r="B84" s="193"/>
      <c r="C84" s="454"/>
      <c r="D84" s="490"/>
      <c r="E84" s="492" t="str">
        <f>IF(C84="","",VLOOKUP(C84,FACE!$B$47:$D$92,3,FALSE))</f>
        <v/>
      </c>
      <c r="F84" s="493" t="str">
        <f>IFERROR(VLOOKUP(C84,FACE!$B$47:$H$82,5,FALSE)+VLOOKUP(C84,FACE!$B$47:$H$82,6,FALSE)*'Fatores de Emissão'!E274+VLOOKUP(C84,FACE!$B$47:$H$82,7,FALSE)*'Fatores de Emissão'!E275,"")</f>
        <v/>
      </c>
      <c r="G84" s="493" t="str">
        <f>IFERROR(VLOOKUP(C84,FACE!$B$84:$H$92,5,FALSE)+VLOOKUP(C84,FACE!$B$84:$H$92,6,FALSE)*'Fatores de Emissão'!F274+VLOOKUP(C84,FACE!$B$84:$H$92,7,FALSE)*'Fatores de Emissão'!F275,"")</f>
        <v/>
      </c>
      <c r="H84" s="802" t="str">
        <f t="shared" si="0"/>
        <v/>
      </c>
      <c r="I84" s="802" t="str">
        <f t="shared" si="1"/>
        <v/>
      </c>
      <c r="J84" s="956" t="str">
        <f>IF(D84="","",SUMIF('Fatores de Emissão'!$B$31:$B$75, $C84, 'Fatores de Emissão'!$R$31:$R$75)*D84)</f>
        <v/>
      </c>
    </row>
    <row r="85" spans="1:10" ht="20.5" hidden="1" customHeight="1" outlineLevel="2" x14ac:dyDescent="0.35">
      <c r="A85" s="192"/>
      <c r="B85" s="193"/>
      <c r="C85" s="454"/>
      <c r="D85" s="490"/>
      <c r="E85" s="492" t="str">
        <f>IF(C85="","",VLOOKUP(C85,FACE!$B$47:$D$92,3,FALSE))</f>
        <v/>
      </c>
      <c r="F85" s="493" t="str">
        <f>IFERROR(VLOOKUP(C85,FACE!$B$47:$H$82,5,FALSE)+VLOOKUP(C85,FACE!$B$47:$H$82,6,FALSE)*'Fatores de Emissão'!E275+VLOOKUP(C85,FACE!$B$47:$H$82,7,FALSE)*'Fatores de Emissão'!E276,"")</f>
        <v/>
      </c>
      <c r="G85" s="493" t="str">
        <f>IFERROR(VLOOKUP(C85,FACE!$B$84:$H$92,5,FALSE)+VLOOKUP(C85,FACE!$B$84:$H$92,6,FALSE)*'Fatores de Emissão'!F275+VLOOKUP(C85,FACE!$B$84:$H$92,7,FALSE)*'Fatores de Emissão'!F276,"")</f>
        <v/>
      </c>
      <c r="H85" s="802" t="str">
        <f t="shared" si="0"/>
        <v/>
      </c>
      <c r="I85" s="802" t="str">
        <f t="shared" si="1"/>
        <v/>
      </c>
      <c r="J85" s="956" t="str">
        <f>IF(D85="","",SUMIF('Fatores de Emissão'!$B$31:$B$75, $C85, 'Fatores de Emissão'!$R$31:$R$75)*D85)</f>
        <v/>
      </c>
    </row>
    <row r="86" spans="1:10" ht="20.5" hidden="1" customHeight="1" outlineLevel="2" x14ac:dyDescent="0.35">
      <c r="A86" s="192"/>
      <c r="B86" s="193"/>
      <c r="C86" s="454"/>
      <c r="D86" s="490"/>
      <c r="E86" s="492" t="str">
        <f>IF(C86="","",VLOOKUP(C86,FACE!$B$47:$D$92,3,FALSE))</f>
        <v/>
      </c>
      <c r="F86" s="493" t="str">
        <f>IFERROR(VLOOKUP(C86,FACE!$B$47:$H$82,5,FALSE)+VLOOKUP(C86,FACE!$B$47:$H$82,6,FALSE)*'Fatores de Emissão'!E276+VLOOKUP(C86,FACE!$B$47:$H$82,7,FALSE)*'Fatores de Emissão'!E277,"")</f>
        <v/>
      </c>
      <c r="G86" s="493" t="str">
        <f>IFERROR(VLOOKUP(C86,FACE!$B$84:$H$92,5,FALSE)+VLOOKUP(C86,FACE!$B$84:$H$92,6,FALSE)*'Fatores de Emissão'!F276+VLOOKUP(C86,FACE!$B$84:$H$92,7,FALSE)*'Fatores de Emissão'!F277,"")</f>
        <v/>
      </c>
      <c r="H86" s="802" t="str">
        <f t="shared" si="0"/>
        <v/>
      </c>
      <c r="I86" s="802" t="str">
        <f t="shared" si="1"/>
        <v/>
      </c>
      <c r="J86" s="956" t="str">
        <f>IF(D86="","",SUMIF('Fatores de Emissão'!$B$31:$B$75, $C86, 'Fatores de Emissão'!$R$31:$R$75)*D86)</f>
        <v/>
      </c>
    </row>
    <row r="87" spans="1:10" ht="20.5" hidden="1" customHeight="1" outlineLevel="2" x14ac:dyDescent="0.35">
      <c r="A87" s="192"/>
      <c r="B87" s="193"/>
      <c r="C87" s="454"/>
      <c r="D87" s="490"/>
      <c r="E87" s="492" t="str">
        <f>IF(C87="","",VLOOKUP(C87,FACE!$B$47:$D$92,3,FALSE))</f>
        <v/>
      </c>
      <c r="F87" s="493" t="str">
        <f>IFERROR(VLOOKUP(C87,FACE!$B$47:$H$82,5,FALSE)+VLOOKUP(C87,FACE!$B$47:$H$82,6,FALSE)*'Fatores de Emissão'!E277+VLOOKUP(C87,FACE!$B$47:$H$82,7,FALSE)*'Fatores de Emissão'!E278,"")</f>
        <v/>
      </c>
      <c r="G87" s="493" t="str">
        <f>IFERROR(VLOOKUP(C87,FACE!$B$84:$H$92,5,FALSE)+VLOOKUP(C87,FACE!$B$84:$H$92,6,FALSE)*'Fatores de Emissão'!F277+VLOOKUP(C87,FACE!$B$84:$H$92,7,FALSE)*'Fatores de Emissão'!F278,"")</f>
        <v/>
      </c>
      <c r="H87" s="802" t="str">
        <f t="shared" si="0"/>
        <v/>
      </c>
      <c r="I87" s="802" t="str">
        <f t="shared" si="1"/>
        <v/>
      </c>
      <c r="J87" s="956" t="str">
        <f>IF(D87="","",SUMIF('Fatores de Emissão'!$B$31:$B$75, $C87, 'Fatores de Emissão'!$R$31:$R$75)*D87)</f>
        <v/>
      </c>
    </row>
    <row r="88" spans="1:10" ht="20.5" hidden="1" customHeight="1" outlineLevel="2" x14ac:dyDescent="0.35">
      <c r="A88" s="192"/>
      <c r="B88" s="193"/>
      <c r="C88" s="454"/>
      <c r="D88" s="490"/>
      <c r="E88" s="492" t="str">
        <f>IF(C88="","",VLOOKUP(C88,FACE!$B$47:$D$92,3,FALSE))</f>
        <v/>
      </c>
      <c r="F88" s="493" t="str">
        <f>IFERROR(VLOOKUP(C88,FACE!$B$47:$H$82,5,FALSE)+VLOOKUP(C88,FACE!$B$47:$H$82,6,FALSE)*'Fatores de Emissão'!E278+VLOOKUP(C88,FACE!$B$47:$H$82,7,FALSE)*'Fatores de Emissão'!E279,"")</f>
        <v/>
      </c>
      <c r="G88" s="493" t="str">
        <f>IFERROR(VLOOKUP(C88,FACE!$B$84:$H$92,5,FALSE)+VLOOKUP(C88,FACE!$B$84:$H$92,6,FALSE)*'Fatores de Emissão'!F278+VLOOKUP(C88,FACE!$B$84:$H$92,7,FALSE)*'Fatores de Emissão'!F279,"")</f>
        <v/>
      </c>
      <c r="H88" s="802" t="str">
        <f t="shared" si="0"/>
        <v/>
      </c>
      <c r="I88" s="802" t="str">
        <f t="shared" si="1"/>
        <v/>
      </c>
      <c r="J88" s="956" t="str">
        <f>IF(D88="","",SUMIF('Fatores de Emissão'!$B$31:$B$75, $C88, 'Fatores de Emissão'!$R$31:$R$75)*D88)</f>
        <v/>
      </c>
    </row>
    <row r="89" spans="1:10" ht="20.5" hidden="1" customHeight="1" outlineLevel="2" x14ac:dyDescent="0.35">
      <c r="A89" s="192"/>
      <c r="B89" s="193"/>
      <c r="C89" s="454"/>
      <c r="D89" s="490"/>
      <c r="E89" s="492" t="str">
        <f>IF(C89="","",VLOOKUP(C89,FACE!$B$47:$D$92,3,FALSE))</f>
        <v/>
      </c>
      <c r="F89" s="493" t="str">
        <f>IFERROR(VLOOKUP(C89,FACE!$B$47:$H$82,5,FALSE)+VLOOKUP(C89,FACE!$B$47:$H$82,6,FALSE)*'Fatores de Emissão'!E279+VLOOKUP(C89,FACE!$B$47:$H$82,7,FALSE)*'Fatores de Emissão'!E280,"")</f>
        <v/>
      </c>
      <c r="G89" s="493" t="str">
        <f>IFERROR(VLOOKUP(C89,FACE!$B$84:$H$92,5,FALSE)+VLOOKUP(C89,FACE!$B$84:$H$92,6,FALSE)*'Fatores de Emissão'!F279+VLOOKUP(C89,FACE!$B$84:$H$92,7,FALSE)*'Fatores de Emissão'!F280,"")</f>
        <v/>
      </c>
      <c r="H89" s="802" t="str">
        <f t="shared" si="0"/>
        <v/>
      </c>
      <c r="I89" s="802" t="str">
        <f t="shared" si="1"/>
        <v/>
      </c>
      <c r="J89" s="956" t="str">
        <f>IF(D89="","",SUMIF('Fatores de Emissão'!$B$31:$B$75, $C89, 'Fatores de Emissão'!$R$31:$R$75)*D89)</f>
        <v/>
      </c>
    </row>
    <row r="90" spans="1:10" ht="20.5" hidden="1" customHeight="1" outlineLevel="2" x14ac:dyDescent="0.35">
      <c r="A90" s="192"/>
      <c r="B90" s="193"/>
      <c r="C90" s="454"/>
      <c r="D90" s="490"/>
      <c r="E90" s="492" t="str">
        <f>IF(C90="","",VLOOKUP(C90,FACE!$B$47:$D$92,3,FALSE))</f>
        <v/>
      </c>
      <c r="F90" s="493" t="str">
        <f>IFERROR(VLOOKUP(C90,FACE!$B$47:$H$82,5,FALSE)+VLOOKUP(C90,FACE!$B$47:$H$82,6,FALSE)*'Fatores de Emissão'!E280+VLOOKUP(C90,FACE!$B$47:$H$82,7,FALSE)*'Fatores de Emissão'!E281,"")</f>
        <v/>
      </c>
      <c r="G90" s="493" t="str">
        <f>IFERROR(VLOOKUP(C90,FACE!$B$84:$H$92,5,FALSE)+VLOOKUP(C90,FACE!$B$84:$H$92,6,FALSE)*'Fatores de Emissão'!F280+VLOOKUP(C90,FACE!$B$84:$H$92,7,FALSE)*'Fatores de Emissão'!F281,"")</f>
        <v/>
      </c>
      <c r="H90" s="802" t="str">
        <f t="shared" si="0"/>
        <v/>
      </c>
      <c r="I90" s="802" t="str">
        <f t="shared" si="1"/>
        <v/>
      </c>
      <c r="J90" s="956" t="str">
        <f>IF(D90="","",SUMIF('Fatores de Emissão'!$B$31:$B$75, $C90, 'Fatores de Emissão'!$R$31:$R$75)*D90)</f>
        <v/>
      </c>
    </row>
    <row r="91" spans="1:10" ht="20.5" hidden="1" customHeight="1" outlineLevel="2" x14ac:dyDescent="0.35">
      <c r="A91" s="192"/>
      <c r="B91" s="193"/>
      <c r="C91" s="454"/>
      <c r="D91" s="490"/>
      <c r="E91" s="492" t="str">
        <f>IF(C91="","",VLOOKUP(C91,FACE!$B$47:$D$92,3,FALSE))</f>
        <v/>
      </c>
      <c r="F91" s="493" t="str">
        <f>IFERROR(VLOOKUP(C91,FACE!$B$47:$H$82,5,FALSE)+VLOOKUP(C91,FACE!$B$47:$H$82,6,FALSE)*'Fatores de Emissão'!E281+VLOOKUP(C91,FACE!$B$47:$H$82,7,FALSE)*'Fatores de Emissão'!E282,"")</f>
        <v/>
      </c>
      <c r="G91" s="493" t="str">
        <f>IFERROR(VLOOKUP(C91,FACE!$B$84:$H$92,5,FALSE)+VLOOKUP(C91,FACE!$B$84:$H$92,6,FALSE)*'Fatores de Emissão'!F281+VLOOKUP(C91,FACE!$B$84:$H$92,7,FALSE)*'Fatores de Emissão'!F282,"")</f>
        <v/>
      </c>
      <c r="H91" s="802" t="str">
        <f t="shared" si="0"/>
        <v/>
      </c>
      <c r="I91" s="802" t="str">
        <f t="shared" si="1"/>
        <v/>
      </c>
      <c r="J91" s="956" t="str">
        <f>IF(D91="","",SUMIF('Fatores de Emissão'!$B$31:$B$75, $C91, 'Fatores de Emissão'!$R$31:$R$75)*D91)</f>
        <v/>
      </c>
    </row>
    <row r="92" spans="1:10" ht="20.5" hidden="1" customHeight="1" outlineLevel="2" x14ac:dyDescent="0.35">
      <c r="A92" s="192"/>
      <c r="B92" s="193"/>
      <c r="C92" s="454"/>
      <c r="D92" s="490"/>
      <c r="E92" s="492" t="str">
        <f>IF(C92="","",VLOOKUP(C92,FACE!$B$47:$D$92,3,FALSE))</f>
        <v/>
      </c>
      <c r="F92" s="493" t="str">
        <f>IFERROR(VLOOKUP(C92,FACE!$B$47:$H$82,5,FALSE)+VLOOKUP(C92,FACE!$B$47:$H$82,6,FALSE)*'Fatores de Emissão'!E282+VLOOKUP(C92,FACE!$B$47:$H$82,7,FALSE)*'Fatores de Emissão'!E283,"")</f>
        <v/>
      </c>
      <c r="G92" s="493" t="str">
        <f>IFERROR(VLOOKUP(C92,FACE!$B$84:$H$92,5,FALSE)+VLOOKUP(C92,FACE!$B$84:$H$92,6,FALSE)*'Fatores de Emissão'!F282+VLOOKUP(C92,FACE!$B$84:$H$92,7,FALSE)*'Fatores de Emissão'!F283,"")</f>
        <v/>
      </c>
      <c r="H92" s="802" t="str">
        <f t="shared" si="0"/>
        <v/>
      </c>
      <c r="I92" s="802" t="str">
        <f t="shared" si="1"/>
        <v/>
      </c>
      <c r="J92" s="956" t="str">
        <f>IF(D92="","",SUMIF('Fatores de Emissão'!$B$31:$B$75, $C92, 'Fatores de Emissão'!$R$31:$R$75)*D92)</f>
        <v/>
      </c>
    </row>
    <row r="93" spans="1:10" ht="20.5" hidden="1" customHeight="1" outlineLevel="2" x14ac:dyDescent="0.35">
      <c r="A93" s="192"/>
      <c r="B93" s="193"/>
      <c r="C93" s="454"/>
      <c r="D93" s="490"/>
      <c r="E93" s="492" t="str">
        <f>IF(C93="","",VLOOKUP(C93,FACE!$B$47:$D$92,3,FALSE))</f>
        <v/>
      </c>
      <c r="F93" s="493" t="str">
        <f>IFERROR(VLOOKUP(C93,FACE!$B$47:$H$82,5,FALSE)+VLOOKUP(C93,FACE!$B$47:$H$82,6,FALSE)*'Fatores de Emissão'!E283+VLOOKUP(C93,FACE!$B$47:$H$82,7,FALSE)*'Fatores de Emissão'!E284,"")</f>
        <v/>
      </c>
      <c r="G93" s="493" t="str">
        <f>IFERROR(VLOOKUP(C93,FACE!$B$84:$H$92,5,FALSE)+VLOOKUP(C93,FACE!$B$84:$H$92,6,FALSE)*'Fatores de Emissão'!F283+VLOOKUP(C93,FACE!$B$84:$H$92,7,FALSE)*'Fatores de Emissão'!F284,"")</f>
        <v/>
      </c>
      <c r="H93" s="802" t="str">
        <f t="shared" si="0"/>
        <v/>
      </c>
      <c r="I93" s="802" t="str">
        <f t="shared" si="1"/>
        <v/>
      </c>
      <c r="J93" s="956" t="str">
        <f>IF(D93="","",SUMIF('Fatores de Emissão'!$B$31:$B$75, $C93, 'Fatores de Emissão'!$R$31:$R$75)*D93)</f>
        <v/>
      </c>
    </row>
    <row r="94" spans="1:10" ht="20.5" hidden="1" customHeight="1" outlineLevel="2" x14ac:dyDescent="0.35">
      <c r="A94" s="192"/>
      <c r="B94" s="193"/>
      <c r="C94" s="454"/>
      <c r="D94" s="490"/>
      <c r="E94" s="492" t="str">
        <f>IF(C94="","",VLOOKUP(C94,FACE!$B$47:$D$92,3,FALSE))</f>
        <v/>
      </c>
      <c r="F94" s="493" t="str">
        <f>IFERROR(VLOOKUP(C94,FACE!$B$47:$H$82,5,FALSE)+VLOOKUP(C94,FACE!$B$47:$H$82,6,FALSE)*'Fatores de Emissão'!E284+VLOOKUP(C94,FACE!$B$47:$H$82,7,FALSE)*'Fatores de Emissão'!E285,"")</f>
        <v/>
      </c>
      <c r="G94" s="493" t="str">
        <f>IFERROR(VLOOKUP(C94,FACE!$B$84:$H$92,5,FALSE)+VLOOKUP(C94,FACE!$B$84:$H$92,6,FALSE)*'Fatores de Emissão'!F284+VLOOKUP(C94,FACE!$B$84:$H$92,7,FALSE)*'Fatores de Emissão'!F285,"")</f>
        <v/>
      </c>
      <c r="H94" s="802" t="str">
        <f t="shared" si="0"/>
        <v/>
      </c>
      <c r="I94" s="802" t="str">
        <f t="shared" si="1"/>
        <v/>
      </c>
      <c r="J94" s="956" t="str">
        <f>IF(D94="","",SUMIF('Fatores de Emissão'!$B$31:$B$75, $C94, 'Fatores de Emissão'!$R$31:$R$75)*D94)</f>
        <v/>
      </c>
    </row>
    <row r="95" spans="1:10" ht="20.5" hidden="1" customHeight="1" outlineLevel="2" x14ac:dyDescent="0.35">
      <c r="A95" s="192"/>
      <c r="B95" s="193"/>
      <c r="C95" s="454"/>
      <c r="D95" s="490"/>
      <c r="E95" s="492" t="str">
        <f>IF(C95="","",VLOOKUP(C95,FACE!$B$47:$D$92,3,FALSE))</f>
        <v/>
      </c>
      <c r="F95" s="493" t="str">
        <f>IFERROR(VLOOKUP(C95,FACE!$B$47:$H$82,5,FALSE)+VLOOKUP(C95,FACE!$B$47:$H$82,6,FALSE)*'Fatores de Emissão'!E285+VLOOKUP(C95,FACE!$B$47:$H$82,7,FALSE)*'Fatores de Emissão'!E286,"")</f>
        <v/>
      </c>
      <c r="G95" s="493" t="str">
        <f>IFERROR(VLOOKUP(C95,FACE!$B$84:$H$92,5,FALSE)+VLOOKUP(C95,FACE!$B$84:$H$92,6,FALSE)*'Fatores de Emissão'!F285+VLOOKUP(C95,FACE!$B$84:$H$92,7,FALSE)*'Fatores de Emissão'!F286,"")</f>
        <v/>
      </c>
      <c r="H95" s="802" t="str">
        <f t="shared" si="0"/>
        <v/>
      </c>
      <c r="I95" s="802" t="str">
        <f t="shared" si="1"/>
        <v/>
      </c>
      <c r="J95" s="956" t="str">
        <f>IF(D95="","",SUMIF('Fatores de Emissão'!$B$31:$B$75, $C95, 'Fatores de Emissão'!$R$31:$R$75)*D95)</f>
        <v/>
      </c>
    </row>
    <row r="96" spans="1:10" ht="20.5" hidden="1" customHeight="1" outlineLevel="2" x14ac:dyDescent="0.35">
      <c r="A96" s="192"/>
      <c r="B96" s="193"/>
      <c r="C96" s="454"/>
      <c r="D96" s="490"/>
      <c r="E96" s="492" t="str">
        <f>IF(C96="","",VLOOKUP(C96,FACE!$B$47:$D$92,3,FALSE))</f>
        <v/>
      </c>
      <c r="F96" s="493" t="str">
        <f>IFERROR(VLOOKUP(C96,FACE!$B$47:$H$82,5,FALSE)+VLOOKUP(C96,FACE!$B$47:$H$82,6,FALSE)*'Fatores de Emissão'!E286+VLOOKUP(C96,FACE!$B$47:$H$82,7,FALSE)*'Fatores de Emissão'!E287,"")</f>
        <v/>
      </c>
      <c r="G96" s="493" t="str">
        <f>IFERROR(VLOOKUP(C96,FACE!$B$84:$H$92,5,FALSE)+VLOOKUP(C96,FACE!$B$84:$H$92,6,FALSE)*'Fatores de Emissão'!F286+VLOOKUP(C96,FACE!$B$84:$H$92,7,FALSE)*'Fatores de Emissão'!F287,"")</f>
        <v/>
      </c>
      <c r="H96" s="802" t="str">
        <f t="shared" si="0"/>
        <v/>
      </c>
      <c r="I96" s="802" t="str">
        <f t="shared" si="1"/>
        <v/>
      </c>
      <c r="J96" s="956" t="str">
        <f>IF(D96="","",SUMIF('Fatores de Emissão'!$B$31:$B$75, $C96, 'Fatores de Emissão'!$R$31:$R$75)*D96)</f>
        <v/>
      </c>
    </row>
    <row r="97" spans="1:10" ht="20.5" hidden="1" customHeight="1" outlineLevel="2" x14ac:dyDescent="0.35">
      <c r="A97" s="192"/>
      <c r="B97" s="193"/>
      <c r="C97" s="454"/>
      <c r="D97" s="490"/>
      <c r="E97" s="492" t="str">
        <f>IF(C97="","",VLOOKUP(C97,FACE!$B$47:$D$92,3,FALSE))</f>
        <v/>
      </c>
      <c r="F97" s="493" t="str">
        <f>IFERROR(VLOOKUP(C97,FACE!$B$47:$H$82,5,FALSE)+VLOOKUP(C97,FACE!$B$47:$H$82,6,FALSE)*'Fatores de Emissão'!E287+VLOOKUP(C97,FACE!$B$47:$H$82,7,FALSE)*'Fatores de Emissão'!E288,"")</f>
        <v/>
      </c>
      <c r="G97" s="493" t="str">
        <f>IFERROR(VLOOKUP(C97,FACE!$B$84:$H$92,5,FALSE)+VLOOKUP(C97,FACE!$B$84:$H$92,6,FALSE)*'Fatores de Emissão'!F287+VLOOKUP(C97,FACE!$B$84:$H$92,7,FALSE)*'Fatores de Emissão'!F288,"")</f>
        <v/>
      </c>
      <c r="H97" s="802" t="str">
        <f t="shared" si="0"/>
        <v/>
      </c>
      <c r="I97" s="802" t="str">
        <f t="shared" si="1"/>
        <v/>
      </c>
      <c r="J97" s="956" t="str">
        <f>IF(D97="","",SUMIF('Fatores de Emissão'!$B$31:$B$75, $C97, 'Fatores de Emissão'!$R$31:$R$75)*D97)</f>
        <v/>
      </c>
    </row>
    <row r="98" spans="1:10" ht="20.5" hidden="1" customHeight="1" outlineLevel="2" x14ac:dyDescent="0.35">
      <c r="A98" s="192"/>
      <c r="B98" s="193"/>
      <c r="C98" s="454"/>
      <c r="D98" s="490"/>
      <c r="E98" s="492" t="str">
        <f>IF(C98="","",VLOOKUP(C98,FACE!$B$47:$D$92,3,FALSE))</f>
        <v/>
      </c>
      <c r="F98" s="493" t="str">
        <f>IFERROR(VLOOKUP(C98,FACE!$B$47:$H$82,5,FALSE)+VLOOKUP(C98,FACE!$B$47:$H$82,6,FALSE)*'Fatores de Emissão'!E288+VLOOKUP(C98,FACE!$B$47:$H$82,7,FALSE)*'Fatores de Emissão'!E289,"")</f>
        <v/>
      </c>
      <c r="G98" s="493" t="str">
        <f>IFERROR(VLOOKUP(C98,FACE!$B$84:$H$92,5,FALSE)+VLOOKUP(C98,FACE!$B$84:$H$92,6,FALSE)*'Fatores de Emissão'!F288+VLOOKUP(C98,FACE!$B$84:$H$92,7,FALSE)*'Fatores de Emissão'!F289,"")</f>
        <v/>
      </c>
      <c r="H98" s="802" t="str">
        <f t="shared" si="0"/>
        <v/>
      </c>
      <c r="I98" s="802" t="str">
        <f t="shared" si="1"/>
        <v/>
      </c>
      <c r="J98" s="956" t="str">
        <f>IF(D98="","",SUMIF('Fatores de Emissão'!$B$31:$B$75, $C98, 'Fatores de Emissão'!$R$31:$R$75)*D98)</f>
        <v/>
      </c>
    </row>
    <row r="99" spans="1:10" ht="20.5" hidden="1" customHeight="1" outlineLevel="2" x14ac:dyDescent="0.35">
      <c r="A99" s="192"/>
      <c r="B99" s="193"/>
      <c r="C99" s="454"/>
      <c r="D99" s="490"/>
      <c r="E99" s="492" t="str">
        <f>IF(C99="","",VLOOKUP(C99,FACE!$B$47:$D$92,3,FALSE))</f>
        <v/>
      </c>
      <c r="F99" s="493" t="str">
        <f>IFERROR(VLOOKUP(C99,FACE!$B$47:$H$82,5,FALSE)+VLOOKUP(C99,FACE!$B$47:$H$82,6,FALSE)*'Fatores de Emissão'!E289+VLOOKUP(C99,FACE!$B$47:$H$82,7,FALSE)*'Fatores de Emissão'!E290,"")</f>
        <v/>
      </c>
      <c r="G99" s="493" t="str">
        <f>IFERROR(VLOOKUP(C99,FACE!$B$84:$H$92,5,FALSE)+VLOOKUP(C99,FACE!$B$84:$H$92,6,FALSE)*'Fatores de Emissão'!F289+VLOOKUP(C99,FACE!$B$84:$H$92,7,FALSE)*'Fatores de Emissão'!F290,"")</f>
        <v/>
      </c>
      <c r="H99" s="802" t="str">
        <f t="shared" si="0"/>
        <v/>
      </c>
      <c r="I99" s="802" t="str">
        <f t="shared" si="1"/>
        <v/>
      </c>
      <c r="J99" s="956" t="str">
        <f>IF(D99="","",SUMIF('Fatores de Emissão'!$B$31:$B$75, $C99, 'Fatores de Emissão'!$R$31:$R$75)*D99)</f>
        <v/>
      </c>
    </row>
    <row r="100" spans="1:10" ht="20.5" hidden="1" customHeight="1" outlineLevel="2" x14ac:dyDescent="0.35">
      <c r="A100" s="192"/>
      <c r="B100" s="193"/>
      <c r="C100" s="454"/>
      <c r="D100" s="490"/>
      <c r="E100" s="492" t="str">
        <f>IF(C100="","",VLOOKUP(C100,FACE!$B$47:$D$92,3,FALSE))</f>
        <v/>
      </c>
      <c r="F100" s="493" t="str">
        <f>IFERROR(VLOOKUP(C100,FACE!$B$47:$H$82,5,FALSE)+VLOOKUP(C100,FACE!$B$47:$H$82,6,FALSE)*'Fatores de Emissão'!E290+VLOOKUP(C100,FACE!$B$47:$H$82,7,FALSE)*'Fatores de Emissão'!E291,"")</f>
        <v/>
      </c>
      <c r="G100" s="493" t="str">
        <f>IFERROR(VLOOKUP(C100,FACE!$B$84:$H$92,5,FALSE)+VLOOKUP(C100,FACE!$B$84:$H$92,6,FALSE)*'Fatores de Emissão'!F290+VLOOKUP(C100,FACE!$B$84:$H$92,7,FALSE)*'Fatores de Emissão'!F291,"")</f>
        <v/>
      </c>
      <c r="H100" s="802" t="str">
        <f t="shared" si="0"/>
        <v/>
      </c>
      <c r="I100" s="802" t="str">
        <f t="shared" si="1"/>
        <v/>
      </c>
      <c r="J100" s="956" t="str">
        <f>IF(D100="","",SUMIF('Fatores de Emissão'!$B$31:$B$75, $C100, 'Fatores de Emissão'!$R$31:$R$75)*D100)</f>
        <v/>
      </c>
    </row>
    <row r="101" spans="1:10" ht="20.5" hidden="1" customHeight="1" outlineLevel="2" x14ac:dyDescent="0.35">
      <c r="A101" s="192"/>
      <c r="B101" s="193"/>
      <c r="C101" s="454"/>
      <c r="D101" s="490"/>
      <c r="E101" s="492" t="str">
        <f>IF(C101="","",VLOOKUP(C101,FACE!$B$47:$D$92,3,FALSE))</f>
        <v/>
      </c>
      <c r="F101" s="493" t="str">
        <f>IFERROR(VLOOKUP(C101,FACE!$B$47:$H$82,5,FALSE)+VLOOKUP(C101,FACE!$B$47:$H$82,6,FALSE)*'Fatores de Emissão'!E291+VLOOKUP(C101,FACE!$B$47:$H$82,7,FALSE)*'Fatores de Emissão'!E292,"")</f>
        <v/>
      </c>
      <c r="G101" s="493" t="str">
        <f>IFERROR(VLOOKUP(C101,FACE!$B$84:$H$92,5,FALSE)+VLOOKUP(C101,FACE!$B$84:$H$92,6,FALSE)*'Fatores de Emissão'!F291+VLOOKUP(C101,FACE!$B$84:$H$92,7,FALSE)*'Fatores de Emissão'!F292,"")</f>
        <v/>
      </c>
      <c r="H101" s="802" t="str">
        <f t="shared" si="0"/>
        <v/>
      </c>
      <c r="I101" s="802" t="str">
        <f t="shared" si="1"/>
        <v/>
      </c>
      <c r="J101" s="956" t="str">
        <f>IF(D101="","",SUMIF('Fatores de Emissão'!$B$31:$B$75, $C101, 'Fatores de Emissão'!$R$31:$R$75)*D101)</f>
        <v/>
      </c>
    </row>
    <row r="102" spans="1:10" ht="20.5" hidden="1" customHeight="1" outlineLevel="2" x14ac:dyDescent="0.35">
      <c r="A102" s="192"/>
      <c r="B102" s="193"/>
      <c r="C102" s="454"/>
      <c r="D102" s="490"/>
      <c r="E102" s="492" t="str">
        <f>IF(C102="","",VLOOKUP(C102,FACE!$B$47:$D$92,3,FALSE))</f>
        <v/>
      </c>
      <c r="F102" s="493" t="str">
        <f>IFERROR(VLOOKUP(C102,FACE!$B$47:$H$82,5,FALSE)+VLOOKUP(C102,FACE!$B$47:$H$82,6,FALSE)*'Fatores de Emissão'!E292+VLOOKUP(C102,FACE!$B$47:$H$82,7,FALSE)*'Fatores de Emissão'!E293,"")</f>
        <v/>
      </c>
      <c r="G102" s="493" t="str">
        <f>IFERROR(VLOOKUP(C102,FACE!$B$84:$H$92,5,FALSE)+VLOOKUP(C102,FACE!$B$84:$H$92,6,FALSE)*'Fatores de Emissão'!F292+VLOOKUP(C102,FACE!$B$84:$H$92,7,FALSE)*'Fatores de Emissão'!F293,"")</f>
        <v/>
      </c>
      <c r="H102" s="802" t="str">
        <f t="shared" si="0"/>
        <v/>
      </c>
      <c r="I102" s="802" t="str">
        <f t="shared" si="1"/>
        <v/>
      </c>
      <c r="J102" s="956" t="str">
        <f>IF(D102="","",SUMIF('Fatores de Emissão'!$B$31:$B$75, $C102, 'Fatores de Emissão'!$R$31:$R$75)*D102)</f>
        <v/>
      </c>
    </row>
    <row r="103" spans="1:10" ht="20.5" hidden="1" customHeight="1" outlineLevel="2" x14ac:dyDescent="0.35">
      <c r="A103" s="192"/>
      <c r="B103" s="193"/>
      <c r="C103" s="454"/>
      <c r="D103" s="490"/>
      <c r="E103" s="492" t="str">
        <f>IF(C103="","",VLOOKUP(C103,FACE!$B$47:$D$92,3,FALSE))</f>
        <v/>
      </c>
      <c r="F103" s="493" t="str">
        <f>IFERROR(VLOOKUP(C103,FACE!$B$47:$H$82,5,FALSE)+VLOOKUP(C103,FACE!$B$47:$H$82,6,FALSE)*'Fatores de Emissão'!E293+VLOOKUP(C103,FACE!$B$47:$H$82,7,FALSE)*'Fatores de Emissão'!E294,"")</f>
        <v/>
      </c>
      <c r="G103" s="493" t="str">
        <f>IFERROR(VLOOKUP(C103,FACE!$B$84:$H$92,5,FALSE)+VLOOKUP(C103,FACE!$B$84:$H$92,6,FALSE)*'Fatores de Emissão'!F293+VLOOKUP(C103,FACE!$B$84:$H$92,7,FALSE)*'Fatores de Emissão'!F294,"")</f>
        <v/>
      </c>
      <c r="H103" s="802" t="str">
        <f t="shared" si="0"/>
        <v/>
      </c>
      <c r="I103" s="802" t="str">
        <f t="shared" si="1"/>
        <v/>
      </c>
      <c r="J103" s="956" t="str">
        <f>IF(D103="","",SUMIF('Fatores de Emissão'!$B$31:$B$75, $C103, 'Fatores de Emissão'!$R$31:$R$75)*D103)</f>
        <v/>
      </c>
    </row>
    <row r="104" spans="1:10" ht="20.5" hidden="1" customHeight="1" outlineLevel="2" x14ac:dyDescent="0.35">
      <c r="A104" s="192"/>
      <c r="B104" s="193"/>
      <c r="C104" s="454"/>
      <c r="D104" s="490"/>
      <c r="E104" s="492" t="str">
        <f>IF(C104="","",VLOOKUP(C104,FACE!$B$47:$D$92,3,FALSE))</f>
        <v/>
      </c>
      <c r="F104" s="493" t="str">
        <f>IFERROR(VLOOKUP(C104,FACE!$B$47:$H$82,5,FALSE)+VLOOKUP(C104,FACE!$B$47:$H$82,6,FALSE)*'Fatores de Emissão'!E294+VLOOKUP(C104,FACE!$B$47:$H$82,7,FALSE)*'Fatores de Emissão'!E295,"")</f>
        <v/>
      </c>
      <c r="G104" s="493" t="str">
        <f>IFERROR(VLOOKUP(C104,FACE!$B$84:$H$92,5,FALSE)+VLOOKUP(C104,FACE!$B$84:$H$92,6,FALSE)*'Fatores de Emissão'!F294+VLOOKUP(C104,FACE!$B$84:$H$92,7,FALSE)*'Fatores de Emissão'!F295,"")</f>
        <v/>
      </c>
      <c r="H104" s="802" t="str">
        <f t="shared" si="0"/>
        <v/>
      </c>
      <c r="I104" s="802" t="str">
        <f t="shared" si="1"/>
        <v/>
      </c>
      <c r="J104" s="956" t="str">
        <f>IF(D104="","",SUMIF('Fatores de Emissão'!$B$31:$B$75, $C104, 'Fatores de Emissão'!$R$31:$R$75)*D104)</f>
        <v/>
      </c>
    </row>
    <row r="105" spans="1:10" ht="20.5" hidden="1" customHeight="1" outlineLevel="2" x14ac:dyDescent="0.35">
      <c r="A105" s="192"/>
      <c r="B105" s="193"/>
      <c r="C105" s="454"/>
      <c r="D105" s="490"/>
      <c r="E105" s="492" t="str">
        <f>IF(C105="","",VLOOKUP(C105,FACE!$B$47:$D$92,3,FALSE))</f>
        <v/>
      </c>
      <c r="F105" s="493" t="str">
        <f>IFERROR(VLOOKUP(C105,FACE!$B$47:$H$82,5,FALSE)+VLOOKUP(C105,FACE!$B$47:$H$82,6,FALSE)*'Fatores de Emissão'!E295+VLOOKUP(C105,FACE!$B$47:$H$82,7,FALSE)*'Fatores de Emissão'!E296,"")</f>
        <v/>
      </c>
      <c r="G105" s="493" t="str">
        <f>IFERROR(VLOOKUP(C105,FACE!$B$84:$H$92,5,FALSE)+VLOOKUP(C105,FACE!$B$84:$H$92,6,FALSE)*'Fatores de Emissão'!F295+VLOOKUP(C105,FACE!$B$84:$H$92,7,FALSE)*'Fatores de Emissão'!F296,"")</f>
        <v/>
      </c>
      <c r="H105" s="802" t="str">
        <f t="shared" si="0"/>
        <v/>
      </c>
      <c r="I105" s="802" t="str">
        <f t="shared" si="1"/>
        <v/>
      </c>
      <c r="J105" s="956" t="str">
        <f>IF(D105="","",SUMIF('Fatores de Emissão'!$B$31:$B$75, $C105, 'Fatores de Emissão'!$R$31:$R$75)*D105)</f>
        <v/>
      </c>
    </row>
    <row r="106" spans="1:10" ht="20.5" hidden="1" customHeight="1" outlineLevel="2" x14ac:dyDescent="0.35">
      <c r="A106" s="192"/>
      <c r="B106" s="193"/>
      <c r="C106" s="454"/>
      <c r="D106" s="490"/>
      <c r="E106" s="492" t="str">
        <f>IF(C106="","",VLOOKUP(C106,FACE!$B$47:$D$92,3,FALSE))</f>
        <v/>
      </c>
      <c r="F106" s="493" t="str">
        <f>IFERROR(VLOOKUP(C106,FACE!$B$47:$H$82,5,FALSE)+VLOOKUP(C106,FACE!$B$47:$H$82,6,FALSE)*'Fatores de Emissão'!E296+VLOOKUP(C106,FACE!$B$47:$H$82,7,FALSE)*'Fatores de Emissão'!E297,"")</f>
        <v/>
      </c>
      <c r="G106" s="493" t="str">
        <f>IFERROR(VLOOKUP(C106,FACE!$B$84:$H$92,5,FALSE)+VLOOKUP(C106,FACE!$B$84:$H$92,6,FALSE)*'Fatores de Emissão'!F296+VLOOKUP(C106,FACE!$B$84:$H$92,7,FALSE)*'Fatores de Emissão'!F297,"")</f>
        <v/>
      </c>
      <c r="H106" s="802" t="str">
        <f t="shared" si="0"/>
        <v/>
      </c>
      <c r="I106" s="802" t="str">
        <f t="shared" si="1"/>
        <v/>
      </c>
      <c r="J106" s="956" t="str">
        <f>IF(D106="","",SUMIF('Fatores de Emissão'!$B$31:$B$75, $C106, 'Fatores de Emissão'!$R$31:$R$75)*D106)</f>
        <v/>
      </c>
    </row>
    <row r="107" spans="1:10" ht="20.5" hidden="1" customHeight="1" outlineLevel="2" x14ac:dyDescent="0.35">
      <c r="A107" s="192"/>
      <c r="B107" s="193"/>
      <c r="C107" s="454"/>
      <c r="D107" s="490"/>
      <c r="E107" s="492" t="str">
        <f>IF(C107="","",VLOOKUP(C107,FACE!$B$47:$D$92,3,FALSE))</f>
        <v/>
      </c>
      <c r="F107" s="493" t="str">
        <f>IFERROR(VLOOKUP(C107,FACE!$B$47:$H$82,5,FALSE)+VLOOKUP(C107,FACE!$B$47:$H$82,6,FALSE)*'Fatores de Emissão'!E297+VLOOKUP(C107,FACE!$B$47:$H$82,7,FALSE)*'Fatores de Emissão'!E298,"")</f>
        <v/>
      </c>
      <c r="G107" s="493" t="str">
        <f>IFERROR(VLOOKUP(C107,FACE!$B$84:$H$92,5,FALSE)+VLOOKUP(C107,FACE!$B$84:$H$92,6,FALSE)*'Fatores de Emissão'!F297+VLOOKUP(C107,FACE!$B$84:$H$92,7,FALSE)*'Fatores de Emissão'!F298,"")</f>
        <v/>
      </c>
      <c r="H107" s="802" t="str">
        <f t="shared" si="0"/>
        <v/>
      </c>
      <c r="I107" s="802" t="str">
        <f t="shared" si="1"/>
        <v/>
      </c>
      <c r="J107" s="956" t="str">
        <f>IF(D107="","",SUMIF('Fatores de Emissão'!$B$31:$B$75, $C107, 'Fatores de Emissão'!$R$31:$R$75)*D107)</f>
        <v/>
      </c>
    </row>
    <row r="108" spans="1:10" ht="20.5" hidden="1" customHeight="1" outlineLevel="2" x14ac:dyDescent="0.35">
      <c r="A108" s="192"/>
      <c r="B108" s="193"/>
      <c r="C108" s="454"/>
      <c r="D108" s="490"/>
      <c r="E108" s="492" t="str">
        <f>IF(C108="","",VLOOKUP(C108,FACE!$B$47:$D$92,3,FALSE))</f>
        <v/>
      </c>
      <c r="F108" s="493" t="str">
        <f>IFERROR(VLOOKUP(C108,FACE!$B$47:$H$82,5,FALSE)+VLOOKUP(C108,FACE!$B$47:$H$82,6,FALSE)*'Fatores de Emissão'!E298+VLOOKUP(C108,FACE!$B$47:$H$82,7,FALSE)*'Fatores de Emissão'!E299,"")</f>
        <v/>
      </c>
      <c r="G108" s="493" t="str">
        <f>IFERROR(VLOOKUP(C108,FACE!$B$84:$H$92,5,FALSE)+VLOOKUP(C108,FACE!$B$84:$H$92,6,FALSE)*'Fatores de Emissão'!F298+VLOOKUP(C108,FACE!$B$84:$H$92,7,FALSE)*'Fatores de Emissão'!F299,"")</f>
        <v/>
      </c>
      <c r="H108" s="802" t="str">
        <f t="shared" si="0"/>
        <v/>
      </c>
      <c r="I108" s="802" t="str">
        <f t="shared" si="1"/>
        <v/>
      </c>
      <c r="J108" s="956" t="str">
        <f>IF(D108="","",SUMIF('Fatores de Emissão'!$B$31:$B$75, $C108, 'Fatores de Emissão'!$R$31:$R$75)*D108)</f>
        <v/>
      </c>
    </row>
    <row r="109" spans="1:10" ht="20.5" hidden="1" customHeight="1" outlineLevel="2" x14ac:dyDescent="0.35">
      <c r="A109" s="192"/>
      <c r="B109" s="193"/>
      <c r="C109" s="454"/>
      <c r="D109" s="490"/>
      <c r="E109" s="492" t="str">
        <f>IF(C109="","",VLOOKUP(C109,FACE!$B$47:$D$92,3,FALSE))</f>
        <v/>
      </c>
      <c r="F109" s="493" t="str">
        <f>IFERROR(VLOOKUP(C109,FACE!$B$47:$H$82,5,FALSE)+VLOOKUP(C109,FACE!$B$47:$H$82,6,FALSE)*'Fatores de Emissão'!E299+VLOOKUP(C109,FACE!$B$47:$H$82,7,FALSE)*'Fatores de Emissão'!E300,"")</f>
        <v/>
      </c>
      <c r="G109" s="493" t="str">
        <f>IFERROR(VLOOKUP(C109,FACE!$B$84:$H$92,5,FALSE)+VLOOKUP(C109,FACE!$B$84:$H$92,6,FALSE)*'Fatores de Emissão'!F299+VLOOKUP(C109,FACE!$B$84:$H$92,7,FALSE)*'Fatores de Emissão'!F300,"")</f>
        <v/>
      </c>
      <c r="H109" s="802" t="str">
        <f t="shared" si="0"/>
        <v/>
      </c>
      <c r="I109" s="802" t="str">
        <f t="shared" si="1"/>
        <v/>
      </c>
      <c r="J109" s="956" t="str">
        <f>IF(D109="","",SUMIF('Fatores de Emissão'!$B$31:$B$75, $C109, 'Fatores de Emissão'!$R$31:$R$75)*D109)</f>
        <v/>
      </c>
    </row>
    <row r="110" spans="1:10" ht="20.5" hidden="1" customHeight="1" outlineLevel="2" x14ac:dyDescent="0.35">
      <c r="A110" s="192"/>
      <c r="B110" s="193"/>
      <c r="C110" s="454"/>
      <c r="D110" s="490"/>
      <c r="E110" s="492" t="str">
        <f>IF(C110="","",VLOOKUP(C110,FACE!$B$47:$D$92,3,FALSE))</f>
        <v/>
      </c>
      <c r="F110" s="493" t="str">
        <f>IFERROR(VLOOKUP(C110,FACE!$B$47:$H$82,5,FALSE)+VLOOKUP(C110,FACE!$B$47:$H$82,6,FALSE)*'Fatores de Emissão'!E300+VLOOKUP(C110,FACE!$B$47:$H$82,7,FALSE)*'Fatores de Emissão'!E301,"")</f>
        <v/>
      </c>
      <c r="G110" s="493" t="str">
        <f>IFERROR(VLOOKUP(C110,FACE!$B$84:$H$92,5,FALSE)+VLOOKUP(C110,FACE!$B$84:$H$92,6,FALSE)*'Fatores de Emissão'!F300+VLOOKUP(C110,FACE!$B$84:$H$92,7,FALSE)*'Fatores de Emissão'!F301,"")</f>
        <v/>
      </c>
      <c r="H110" s="802" t="str">
        <f t="shared" si="0"/>
        <v/>
      </c>
      <c r="I110" s="802" t="str">
        <f t="shared" si="1"/>
        <v/>
      </c>
      <c r="J110" s="956" t="str">
        <f>IF(D110="","",SUMIF('Fatores de Emissão'!$B$31:$B$75, $C110, 'Fatores de Emissão'!$R$31:$R$75)*D110)</f>
        <v/>
      </c>
    </row>
    <row r="111" spans="1:10" ht="20.5" hidden="1" customHeight="1" outlineLevel="2" x14ac:dyDescent="0.35">
      <c r="A111" s="192"/>
      <c r="B111" s="193"/>
      <c r="C111" s="454"/>
      <c r="D111" s="490"/>
      <c r="E111" s="492" t="str">
        <f>IF(C111="","",VLOOKUP(C111,FACE!$B$47:$D$92,3,FALSE))</f>
        <v/>
      </c>
      <c r="F111" s="493" t="str">
        <f>IFERROR(VLOOKUP(C111,FACE!$B$47:$H$82,5,FALSE)+VLOOKUP(C111,FACE!$B$47:$H$82,6,FALSE)*'Fatores de Emissão'!E301+VLOOKUP(C111,FACE!$B$47:$H$82,7,FALSE)*'Fatores de Emissão'!E302,"")</f>
        <v/>
      </c>
      <c r="G111" s="493" t="str">
        <f>IFERROR(VLOOKUP(C111,FACE!$B$84:$H$92,5,FALSE)+VLOOKUP(C111,FACE!$B$84:$H$92,6,FALSE)*'Fatores de Emissão'!F301+VLOOKUP(C111,FACE!$B$84:$H$92,7,FALSE)*'Fatores de Emissão'!F302,"")</f>
        <v/>
      </c>
      <c r="H111" s="802" t="str">
        <f t="shared" si="0"/>
        <v/>
      </c>
      <c r="I111" s="802" t="str">
        <f t="shared" si="1"/>
        <v/>
      </c>
      <c r="J111" s="956" t="str">
        <f>IF(D111="","",SUMIF('Fatores de Emissão'!$B$31:$B$75, $C111, 'Fatores de Emissão'!$R$31:$R$75)*D111)</f>
        <v/>
      </c>
    </row>
    <row r="112" spans="1:10" ht="20.5" hidden="1" customHeight="1" outlineLevel="2" x14ac:dyDescent="0.35">
      <c r="A112" s="192"/>
      <c r="B112" s="193"/>
      <c r="C112" s="454"/>
      <c r="D112" s="490"/>
      <c r="E112" s="492" t="str">
        <f>IF(C112="","",VLOOKUP(C112,FACE!$B$47:$D$92,3,FALSE))</f>
        <v/>
      </c>
      <c r="F112" s="493" t="str">
        <f>IFERROR(VLOOKUP(C112,FACE!$B$47:$H$82,5,FALSE)+VLOOKUP(C112,FACE!$B$47:$H$82,6,FALSE)*'Fatores de Emissão'!E302+VLOOKUP(C112,FACE!$B$47:$H$82,7,FALSE)*'Fatores de Emissão'!E303,"")</f>
        <v/>
      </c>
      <c r="G112" s="493" t="str">
        <f>IFERROR(VLOOKUP(C112,FACE!$B$84:$H$92,5,FALSE)+VLOOKUP(C112,FACE!$B$84:$H$92,6,FALSE)*'Fatores de Emissão'!F302+VLOOKUP(C112,FACE!$B$84:$H$92,7,FALSE)*'Fatores de Emissão'!F303,"")</f>
        <v/>
      </c>
      <c r="H112" s="802" t="str">
        <f t="shared" si="0"/>
        <v/>
      </c>
      <c r="I112" s="802" t="str">
        <f t="shared" si="1"/>
        <v/>
      </c>
      <c r="J112" s="956" t="str">
        <f>IF(D112="","",SUMIF('Fatores de Emissão'!$B$31:$B$75, $C112, 'Fatores de Emissão'!$R$31:$R$75)*D112)</f>
        <v/>
      </c>
    </row>
    <row r="113" spans="1:10" ht="20.5" hidden="1" customHeight="1" outlineLevel="2" x14ac:dyDescent="0.35">
      <c r="A113" s="192"/>
      <c r="B113" s="193"/>
      <c r="C113" s="454"/>
      <c r="D113" s="490"/>
      <c r="E113" s="492" t="str">
        <f>IF(C113="","",VLOOKUP(C113,FACE!$B$47:$D$92,3,FALSE))</f>
        <v/>
      </c>
      <c r="F113" s="493" t="str">
        <f>IFERROR(VLOOKUP(C113,FACE!$B$47:$H$82,5,FALSE)+VLOOKUP(C113,FACE!$B$47:$H$82,6,FALSE)*'Fatores de Emissão'!E303+VLOOKUP(C113,FACE!$B$47:$H$82,7,FALSE)*'Fatores de Emissão'!E304,"")</f>
        <v/>
      </c>
      <c r="G113" s="493" t="str">
        <f>IFERROR(VLOOKUP(C113,FACE!$B$84:$H$92,5,FALSE)+VLOOKUP(C113,FACE!$B$84:$H$92,6,FALSE)*'Fatores de Emissão'!F303+VLOOKUP(C113,FACE!$B$84:$H$92,7,FALSE)*'Fatores de Emissão'!F304,"")</f>
        <v/>
      </c>
      <c r="H113" s="802" t="str">
        <f t="shared" si="0"/>
        <v/>
      </c>
      <c r="I113" s="802" t="str">
        <f t="shared" si="1"/>
        <v/>
      </c>
      <c r="J113" s="956" t="str">
        <f>IF(D113="","",SUMIF('Fatores de Emissão'!$B$31:$B$75, $C113, 'Fatores de Emissão'!$R$31:$R$75)*D113)</f>
        <v/>
      </c>
    </row>
    <row r="114" spans="1:10" ht="20.5" hidden="1" customHeight="1" outlineLevel="2" x14ac:dyDescent="0.35">
      <c r="A114" s="192"/>
      <c r="B114" s="193"/>
      <c r="C114" s="454"/>
      <c r="D114" s="490"/>
      <c r="E114" s="492" t="str">
        <f>IF(C114="","",VLOOKUP(C114,FACE!$B$47:$D$92,3,FALSE))</f>
        <v/>
      </c>
      <c r="F114" s="493" t="str">
        <f>IFERROR(VLOOKUP(C114,FACE!$B$47:$H$82,5,FALSE)+VLOOKUP(C114,FACE!$B$47:$H$82,6,FALSE)*'Fatores de Emissão'!E304+VLOOKUP(C114,FACE!$B$47:$H$82,7,FALSE)*'Fatores de Emissão'!E305,"")</f>
        <v/>
      </c>
      <c r="G114" s="493" t="str">
        <f>IFERROR(VLOOKUP(C114,FACE!$B$84:$H$92,5,FALSE)+VLOOKUP(C114,FACE!$B$84:$H$92,6,FALSE)*'Fatores de Emissão'!F304+VLOOKUP(C114,FACE!$B$84:$H$92,7,FALSE)*'Fatores de Emissão'!F305,"")</f>
        <v/>
      </c>
      <c r="H114" s="802" t="str">
        <f t="shared" si="0"/>
        <v/>
      </c>
      <c r="I114" s="802" t="str">
        <f t="shared" si="1"/>
        <v/>
      </c>
      <c r="J114" s="956" t="str">
        <f>IF(D114="","",SUMIF('Fatores de Emissão'!$B$31:$B$75, $C114, 'Fatores de Emissão'!$R$31:$R$75)*D114)</f>
        <v/>
      </c>
    </row>
    <row r="115" spans="1:10" ht="20.5" hidden="1" customHeight="1" outlineLevel="2" x14ac:dyDescent="0.35">
      <c r="A115" s="192"/>
      <c r="B115" s="193"/>
      <c r="C115" s="454"/>
      <c r="D115" s="490"/>
      <c r="E115" s="492" t="str">
        <f>IF(C115="","",VLOOKUP(C115,FACE!$B$47:$D$92,3,FALSE))</f>
        <v/>
      </c>
      <c r="F115" s="493" t="str">
        <f>IFERROR(VLOOKUP(C115,FACE!$B$47:$H$82,5,FALSE)+VLOOKUP(C115,FACE!$B$47:$H$82,6,FALSE)*'Fatores de Emissão'!E305+VLOOKUP(C115,FACE!$B$47:$H$82,7,FALSE)*'Fatores de Emissão'!E306,"")</f>
        <v/>
      </c>
      <c r="G115" s="493" t="str">
        <f>IFERROR(VLOOKUP(C115,FACE!$B$84:$H$92,5,FALSE)+VLOOKUP(C115,FACE!$B$84:$H$92,6,FALSE)*'Fatores de Emissão'!F305+VLOOKUP(C115,FACE!$B$84:$H$92,7,FALSE)*'Fatores de Emissão'!F306,"")</f>
        <v/>
      </c>
      <c r="H115" s="802" t="str">
        <f t="shared" si="0"/>
        <v/>
      </c>
      <c r="I115" s="802" t="str">
        <f t="shared" si="1"/>
        <v/>
      </c>
      <c r="J115" s="956" t="str">
        <f>IF(D115="","",SUMIF('Fatores de Emissão'!$B$31:$B$75, $C115, 'Fatores de Emissão'!$R$31:$R$75)*D115)</f>
        <v/>
      </c>
    </row>
    <row r="116" spans="1:10" ht="20.5" hidden="1" customHeight="1" outlineLevel="2" x14ac:dyDescent="0.35">
      <c r="A116" s="192"/>
      <c r="B116" s="193"/>
      <c r="C116" s="454"/>
      <c r="D116" s="490"/>
      <c r="E116" s="492" t="str">
        <f>IF(C116="","",VLOOKUP(C116,FACE!$B$47:$D$92,3,FALSE))</f>
        <v/>
      </c>
      <c r="F116" s="493" t="str">
        <f>IFERROR(VLOOKUP(C116,FACE!$B$47:$H$82,5,FALSE)+VLOOKUP(C116,FACE!$B$47:$H$82,6,FALSE)*'Fatores de Emissão'!E306+VLOOKUP(C116,FACE!$B$47:$H$82,7,FALSE)*'Fatores de Emissão'!E307,"")</f>
        <v/>
      </c>
      <c r="G116" s="493" t="str">
        <f>IFERROR(VLOOKUP(C116,FACE!$B$84:$H$92,5,FALSE)+VLOOKUP(C116,FACE!$B$84:$H$92,6,FALSE)*'Fatores de Emissão'!F306+VLOOKUP(C116,FACE!$B$84:$H$92,7,FALSE)*'Fatores de Emissão'!F307,"")</f>
        <v/>
      </c>
      <c r="H116" s="802" t="str">
        <f t="shared" si="0"/>
        <v/>
      </c>
      <c r="I116" s="802" t="str">
        <f t="shared" si="1"/>
        <v/>
      </c>
      <c r="J116" s="956" t="str">
        <f>IF(D116="","",SUMIF('Fatores de Emissão'!$B$31:$B$75, $C116, 'Fatores de Emissão'!$R$31:$R$75)*D116)</f>
        <v/>
      </c>
    </row>
    <row r="117" spans="1:10" ht="20.5" hidden="1" customHeight="1" outlineLevel="2" x14ac:dyDescent="0.35">
      <c r="A117" s="192"/>
      <c r="B117" s="193"/>
      <c r="C117" s="454"/>
      <c r="D117" s="490"/>
      <c r="E117" s="492" t="str">
        <f>IF(C117="","",VLOOKUP(C117,FACE!$B$47:$D$92,3,FALSE))</f>
        <v/>
      </c>
      <c r="F117" s="493" t="str">
        <f>IFERROR(VLOOKUP(C117,FACE!$B$47:$H$82,5,FALSE)+VLOOKUP(C117,FACE!$B$47:$H$82,6,FALSE)*'Fatores de Emissão'!E307+VLOOKUP(C117,FACE!$B$47:$H$82,7,FALSE)*'Fatores de Emissão'!E308,"")</f>
        <v/>
      </c>
      <c r="G117" s="493" t="str">
        <f>IFERROR(VLOOKUP(C117,FACE!$B$84:$H$92,5,FALSE)+VLOOKUP(C117,FACE!$B$84:$H$92,6,FALSE)*'Fatores de Emissão'!F307+VLOOKUP(C117,FACE!$B$84:$H$92,7,FALSE)*'Fatores de Emissão'!F308,"")</f>
        <v/>
      </c>
      <c r="H117" s="802" t="str">
        <f t="shared" si="0"/>
        <v/>
      </c>
      <c r="I117" s="802" t="str">
        <f t="shared" si="1"/>
        <v/>
      </c>
      <c r="J117" s="956" t="str">
        <f>IF(D117="","",SUMIF('Fatores de Emissão'!$B$31:$B$75, $C117, 'Fatores de Emissão'!$R$31:$R$75)*D117)</f>
        <v/>
      </c>
    </row>
    <row r="118" spans="1:10" ht="20.5" hidden="1" customHeight="1" outlineLevel="2" x14ac:dyDescent="0.35">
      <c r="A118" s="192"/>
      <c r="B118" s="193"/>
      <c r="C118" s="454"/>
      <c r="D118" s="490"/>
      <c r="E118" s="492" t="str">
        <f>IF(C118="","",VLOOKUP(C118,FACE!$B$47:$D$92,3,FALSE))</f>
        <v/>
      </c>
      <c r="F118" s="493" t="str">
        <f>IFERROR(VLOOKUP(C118,FACE!$B$47:$H$82,5,FALSE)+VLOOKUP(C118,FACE!$B$47:$H$82,6,FALSE)*'Fatores de Emissão'!E308+VLOOKUP(C118,FACE!$B$47:$H$82,7,FALSE)*'Fatores de Emissão'!E309,"")</f>
        <v/>
      </c>
      <c r="G118" s="493" t="str">
        <f>IFERROR(VLOOKUP(C118,FACE!$B$84:$H$92,5,FALSE)+VLOOKUP(C118,FACE!$B$84:$H$92,6,FALSE)*'Fatores de Emissão'!F308+VLOOKUP(C118,FACE!$B$84:$H$92,7,FALSE)*'Fatores de Emissão'!F309,"")</f>
        <v/>
      </c>
      <c r="H118" s="802" t="str">
        <f t="shared" si="0"/>
        <v/>
      </c>
      <c r="I118" s="802" t="str">
        <f t="shared" si="1"/>
        <v/>
      </c>
      <c r="J118" s="956" t="str">
        <f>IF(D118="","",SUMIF('Fatores de Emissão'!$B$31:$B$75, $C118, 'Fatores de Emissão'!$R$31:$R$75)*D118)</f>
        <v/>
      </c>
    </row>
    <row r="119" spans="1:10" ht="20.5" hidden="1" customHeight="1" outlineLevel="2" x14ac:dyDescent="0.35">
      <c r="A119" s="192"/>
      <c r="B119" s="193"/>
      <c r="C119" s="454"/>
      <c r="D119" s="490"/>
      <c r="E119" s="492" t="str">
        <f>IF(C119="","",VLOOKUP(C119,FACE!$B$47:$D$92,3,FALSE))</f>
        <v/>
      </c>
      <c r="F119" s="493" t="str">
        <f>IFERROR(VLOOKUP(C119,FACE!$B$47:$H$82,5,FALSE)+VLOOKUP(C119,FACE!$B$47:$H$82,6,FALSE)*'Fatores de Emissão'!E309+VLOOKUP(C119,FACE!$B$47:$H$82,7,FALSE)*'Fatores de Emissão'!E310,"")</f>
        <v/>
      </c>
      <c r="G119" s="493" t="str">
        <f>IFERROR(VLOOKUP(C119,FACE!$B$84:$H$92,5,FALSE)+VLOOKUP(C119,FACE!$B$84:$H$92,6,FALSE)*'Fatores de Emissão'!F309+VLOOKUP(C119,FACE!$B$84:$H$92,7,FALSE)*'Fatores de Emissão'!F310,"")</f>
        <v/>
      </c>
      <c r="H119" s="802" t="str">
        <f t="shared" si="0"/>
        <v/>
      </c>
      <c r="I119" s="802" t="str">
        <f t="shared" si="1"/>
        <v/>
      </c>
      <c r="J119" s="956" t="str">
        <f>IF(D119="","",SUMIF('Fatores de Emissão'!$B$31:$B$75, $C119, 'Fatores de Emissão'!$R$31:$R$75)*D119)</f>
        <v/>
      </c>
    </row>
    <row r="120" spans="1:10" ht="20.5" hidden="1" customHeight="1" outlineLevel="2" x14ac:dyDescent="0.35">
      <c r="A120" s="192"/>
      <c r="B120" s="193"/>
      <c r="C120" s="454"/>
      <c r="D120" s="490"/>
      <c r="E120" s="492" t="str">
        <f>IF(C120="","",VLOOKUP(C120,FACE!$B$47:$D$92,3,FALSE))</f>
        <v/>
      </c>
      <c r="F120" s="493" t="str">
        <f>IFERROR(VLOOKUP(C120,FACE!$B$47:$H$82,5,FALSE)+VLOOKUP(C120,FACE!$B$47:$H$82,6,FALSE)*'Fatores de Emissão'!E310+VLOOKUP(C120,FACE!$B$47:$H$82,7,FALSE)*'Fatores de Emissão'!E311,"")</f>
        <v/>
      </c>
      <c r="G120" s="493" t="str">
        <f>IFERROR(VLOOKUP(C120,FACE!$B$84:$H$92,5,FALSE)+VLOOKUP(C120,FACE!$B$84:$H$92,6,FALSE)*'Fatores de Emissão'!F310+VLOOKUP(C120,FACE!$B$84:$H$92,7,FALSE)*'Fatores de Emissão'!F311,"")</f>
        <v/>
      </c>
      <c r="H120" s="802" t="str">
        <f t="shared" si="0"/>
        <v/>
      </c>
      <c r="I120" s="802" t="str">
        <f t="shared" si="1"/>
        <v/>
      </c>
      <c r="J120" s="956" t="str">
        <f>IF(D120="","",SUMIF('Fatores de Emissão'!$B$31:$B$75, $C120, 'Fatores de Emissão'!$R$31:$R$75)*D120)</f>
        <v/>
      </c>
    </row>
    <row r="121" spans="1:10" ht="20.5" hidden="1" customHeight="1" outlineLevel="2" x14ac:dyDescent="0.35">
      <c r="A121" s="192"/>
      <c r="B121" s="193"/>
      <c r="C121" s="454"/>
      <c r="D121" s="490"/>
      <c r="E121" s="492" t="str">
        <f>IF(C121="","",VLOOKUP(C121,FACE!$B$47:$D$92,3,FALSE))</f>
        <v/>
      </c>
      <c r="F121" s="493" t="str">
        <f>IFERROR(VLOOKUP(C121,FACE!$B$47:$H$82,5,FALSE)+VLOOKUP(C121,FACE!$B$47:$H$82,6,FALSE)*'Fatores de Emissão'!E311+VLOOKUP(C121,FACE!$B$47:$H$82,7,FALSE)*'Fatores de Emissão'!E312,"")</f>
        <v/>
      </c>
      <c r="G121" s="493" t="str">
        <f>IFERROR(VLOOKUP(C121,FACE!$B$84:$H$92,5,FALSE)+VLOOKUP(C121,FACE!$B$84:$H$92,6,FALSE)*'Fatores de Emissão'!F311+VLOOKUP(C121,FACE!$B$84:$H$92,7,FALSE)*'Fatores de Emissão'!F312,"")</f>
        <v/>
      </c>
      <c r="H121" s="802" t="str">
        <f t="shared" si="0"/>
        <v/>
      </c>
      <c r="I121" s="802" t="str">
        <f t="shared" si="1"/>
        <v/>
      </c>
      <c r="J121" s="956" t="str">
        <f>IF(D121="","",SUMIF('Fatores de Emissão'!$B$31:$B$75, $C121, 'Fatores de Emissão'!$R$31:$R$75)*D121)</f>
        <v/>
      </c>
    </row>
    <row r="122" spans="1:10" ht="20.5" hidden="1" customHeight="1" outlineLevel="2" x14ac:dyDescent="0.35">
      <c r="A122" s="192"/>
      <c r="B122" s="193"/>
      <c r="C122" s="454"/>
      <c r="D122" s="490"/>
      <c r="E122" s="492" t="str">
        <f>IF(C122="","",VLOOKUP(C122,FACE!$B$47:$D$92,3,FALSE))</f>
        <v/>
      </c>
      <c r="F122" s="493" t="str">
        <f>IFERROR(VLOOKUP(C122,FACE!$B$47:$H$82,5,FALSE)+VLOOKUP(C122,FACE!$B$47:$H$82,6,FALSE)*'Fatores de Emissão'!E312+VLOOKUP(C122,FACE!$B$47:$H$82,7,FALSE)*'Fatores de Emissão'!E313,"")</f>
        <v/>
      </c>
      <c r="G122" s="493" t="str">
        <f>IFERROR(VLOOKUP(C122,FACE!$B$84:$H$92,5,FALSE)+VLOOKUP(C122,FACE!$B$84:$H$92,6,FALSE)*'Fatores de Emissão'!F312+VLOOKUP(C122,FACE!$B$84:$H$92,7,FALSE)*'Fatores de Emissão'!F313,"")</f>
        <v/>
      </c>
      <c r="H122" s="802" t="str">
        <f t="shared" si="0"/>
        <v/>
      </c>
      <c r="I122" s="802" t="str">
        <f t="shared" si="1"/>
        <v/>
      </c>
      <c r="J122" s="956" t="str">
        <f>IF(D122="","",SUMIF('Fatores de Emissão'!$B$31:$B$75, $C122, 'Fatores de Emissão'!$R$31:$R$75)*D122)</f>
        <v/>
      </c>
    </row>
    <row r="123" spans="1:10" ht="20.5" hidden="1" customHeight="1" outlineLevel="2" x14ac:dyDescent="0.35">
      <c r="A123" s="192"/>
      <c r="B123" s="193"/>
      <c r="C123" s="454"/>
      <c r="D123" s="490"/>
      <c r="E123" s="492" t="str">
        <f>IF(C123="","",VLOOKUP(C123,FACE!$B$47:$D$92,3,FALSE))</f>
        <v/>
      </c>
      <c r="F123" s="493" t="str">
        <f>IFERROR(VLOOKUP(C123,FACE!$B$47:$H$82,5,FALSE)+VLOOKUP(C123,FACE!$B$47:$H$82,6,FALSE)*'Fatores de Emissão'!E313+VLOOKUP(C123,FACE!$B$47:$H$82,7,FALSE)*'Fatores de Emissão'!E314,"")</f>
        <v/>
      </c>
      <c r="G123" s="493" t="str">
        <f>IFERROR(VLOOKUP(C123,FACE!$B$84:$H$92,5,FALSE)+VLOOKUP(C123,FACE!$B$84:$H$92,6,FALSE)*'Fatores de Emissão'!F313+VLOOKUP(C123,FACE!$B$84:$H$92,7,FALSE)*'Fatores de Emissão'!F314,"")</f>
        <v/>
      </c>
      <c r="H123" s="802" t="str">
        <f t="shared" ref="H123:H155" si="2">IFERROR(F123*D123,"")</f>
        <v/>
      </c>
      <c r="I123" s="802" t="str">
        <f t="shared" ref="I123:I155" si="3">IFERROR(G123*D123,"")</f>
        <v/>
      </c>
      <c r="J123" s="956" t="str">
        <f>IF(D123="","",SUMIF('Fatores de Emissão'!$B$31:$B$75, $C123, 'Fatores de Emissão'!$R$31:$R$75)*D123)</f>
        <v/>
      </c>
    </row>
    <row r="124" spans="1:10" ht="20.5" hidden="1" customHeight="1" outlineLevel="2" x14ac:dyDescent="0.35">
      <c r="A124" s="192"/>
      <c r="B124" s="193"/>
      <c r="C124" s="454"/>
      <c r="D124" s="490"/>
      <c r="E124" s="492" t="str">
        <f>IF(C124="","",VLOOKUP(C124,FACE!$B$47:$D$92,3,FALSE))</f>
        <v/>
      </c>
      <c r="F124" s="493" t="str">
        <f>IFERROR(VLOOKUP(C124,FACE!$B$47:$H$82,5,FALSE)+VLOOKUP(C124,FACE!$B$47:$H$82,6,FALSE)*'Fatores de Emissão'!E314+VLOOKUP(C124,FACE!$B$47:$H$82,7,FALSE)*'Fatores de Emissão'!E315,"")</f>
        <v/>
      </c>
      <c r="G124" s="493" t="str">
        <f>IFERROR(VLOOKUP(C124,FACE!$B$84:$H$92,5,FALSE)+VLOOKUP(C124,FACE!$B$84:$H$92,6,FALSE)*'Fatores de Emissão'!F314+VLOOKUP(C124,FACE!$B$84:$H$92,7,FALSE)*'Fatores de Emissão'!F315,"")</f>
        <v/>
      </c>
      <c r="H124" s="802" t="str">
        <f t="shared" si="2"/>
        <v/>
      </c>
      <c r="I124" s="802" t="str">
        <f t="shared" si="3"/>
        <v/>
      </c>
      <c r="J124" s="956" t="str">
        <f>IF(D124="","",SUMIF('Fatores de Emissão'!$B$31:$B$75, $C124, 'Fatores de Emissão'!$R$31:$R$75)*D124)</f>
        <v/>
      </c>
    </row>
    <row r="125" spans="1:10" ht="20.5" hidden="1" customHeight="1" outlineLevel="2" x14ac:dyDescent="0.35">
      <c r="A125" s="192"/>
      <c r="B125" s="193"/>
      <c r="C125" s="454"/>
      <c r="D125" s="490"/>
      <c r="E125" s="492" t="str">
        <f>IF(C125="","",VLOOKUP(C125,FACE!$B$47:$D$92,3,FALSE))</f>
        <v/>
      </c>
      <c r="F125" s="493" t="str">
        <f>IFERROR(VLOOKUP(C125,FACE!$B$47:$H$82,5,FALSE)+VLOOKUP(C125,FACE!$B$47:$H$82,6,FALSE)*'Fatores de Emissão'!E315+VLOOKUP(C125,FACE!$B$47:$H$82,7,FALSE)*'Fatores de Emissão'!E316,"")</f>
        <v/>
      </c>
      <c r="G125" s="493" t="str">
        <f>IFERROR(VLOOKUP(C125,FACE!$B$84:$H$92,5,FALSE)+VLOOKUP(C125,FACE!$B$84:$H$92,6,FALSE)*'Fatores de Emissão'!F315+VLOOKUP(C125,FACE!$B$84:$H$92,7,FALSE)*'Fatores de Emissão'!F316,"")</f>
        <v/>
      </c>
      <c r="H125" s="802" t="str">
        <f t="shared" si="2"/>
        <v/>
      </c>
      <c r="I125" s="802" t="str">
        <f t="shared" si="3"/>
        <v/>
      </c>
      <c r="J125" s="956" t="str">
        <f>IF(D125="","",SUMIF('Fatores de Emissão'!$B$31:$B$75, $C125, 'Fatores de Emissão'!$R$31:$R$75)*D125)</f>
        <v/>
      </c>
    </row>
    <row r="126" spans="1:10" ht="20.5" hidden="1" customHeight="1" outlineLevel="2" x14ac:dyDescent="0.35">
      <c r="A126" s="192"/>
      <c r="B126" s="193"/>
      <c r="C126" s="454"/>
      <c r="D126" s="490"/>
      <c r="E126" s="492" t="str">
        <f>IF(C126="","",VLOOKUP(C126,FACE!$B$47:$D$92,3,FALSE))</f>
        <v/>
      </c>
      <c r="F126" s="493" t="str">
        <f>IFERROR(VLOOKUP(C126,FACE!$B$47:$H$82,5,FALSE)+VLOOKUP(C126,FACE!$B$47:$H$82,6,FALSE)*'Fatores de Emissão'!E316+VLOOKUP(C126,FACE!$B$47:$H$82,7,FALSE)*'Fatores de Emissão'!E317,"")</f>
        <v/>
      </c>
      <c r="G126" s="493" t="str">
        <f>IFERROR(VLOOKUP(C126,FACE!$B$84:$H$92,5,FALSE)+VLOOKUP(C126,FACE!$B$84:$H$92,6,FALSE)*'Fatores de Emissão'!F316+VLOOKUP(C126,FACE!$B$84:$H$92,7,FALSE)*'Fatores de Emissão'!F317,"")</f>
        <v/>
      </c>
      <c r="H126" s="802" t="str">
        <f t="shared" si="2"/>
        <v/>
      </c>
      <c r="I126" s="802" t="str">
        <f t="shared" si="3"/>
        <v/>
      </c>
      <c r="J126" s="956" t="str">
        <f>IF(D126="","",SUMIF('Fatores de Emissão'!$B$31:$B$75, $C126, 'Fatores de Emissão'!$R$31:$R$75)*D126)</f>
        <v/>
      </c>
    </row>
    <row r="127" spans="1:10" ht="20.5" hidden="1" customHeight="1" outlineLevel="2" x14ac:dyDescent="0.35">
      <c r="A127" s="192"/>
      <c r="B127" s="193"/>
      <c r="C127" s="454"/>
      <c r="D127" s="490"/>
      <c r="E127" s="492" t="str">
        <f>IF(C127="","",VLOOKUP(C127,FACE!$B$47:$D$92,3,FALSE))</f>
        <v/>
      </c>
      <c r="F127" s="493" t="str">
        <f>IFERROR(VLOOKUP(C127,FACE!$B$47:$H$82,5,FALSE)+VLOOKUP(C127,FACE!$B$47:$H$82,6,FALSE)*'Fatores de Emissão'!E317+VLOOKUP(C127,FACE!$B$47:$H$82,7,FALSE)*'Fatores de Emissão'!E318,"")</f>
        <v/>
      </c>
      <c r="G127" s="493" t="str">
        <f>IFERROR(VLOOKUP(C127,FACE!$B$84:$H$92,5,FALSE)+VLOOKUP(C127,FACE!$B$84:$H$92,6,FALSE)*'Fatores de Emissão'!F317+VLOOKUP(C127,FACE!$B$84:$H$92,7,FALSE)*'Fatores de Emissão'!F318,"")</f>
        <v/>
      </c>
      <c r="H127" s="802" t="str">
        <f t="shared" si="2"/>
        <v/>
      </c>
      <c r="I127" s="802" t="str">
        <f t="shared" si="3"/>
        <v/>
      </c>
      <c r="J127" s="956" t="str">
        <f>IF(D127="","",SUMIF('Fatores de Emissão'!$B$31:$B$75, $C127, 'Fatores de Emissão'!$R$31:$R$75)*D127)</f>
        <v/>
      </c>
    </row>
    <row r="128" spans="1:10" ht="20.5" hidden="1" customHeight="1" outlineLevel="2" x14ac:dyDescent="0.35">
      <c r="A128" s="192"/>
      <c r="B128" s="193"/>
      <c r="C128" s="454"/>
      <c r="D128" s="490"/>
      <c r="E128" s="492" t="str">
        <f>IF(C128="","",VLOOKUP(C128,FACE!$B$47:$D$92,3,FALSE))</f>
        <v/>
      </c>
      <c r="F128" s="493" t="str">
        <f>IFERROR(VLOOKUP(C128,FACE!$B$47:$H$82,5,FALSE)+VLOOKUP(C128,FACE!$B$47:$H$82,6,FALSE)*'Fatores de Emissão'!E318+VLOOKUP(C128,FACE!$B$47:$H$82,7,FALSE)*'Fatores de Emissão'!E319,"")</f>
        <v/>
      </c>
      <c r="G128" s="493" t="str">
        <f>IFERROR(VLOOKUP(C128,FACE!$B$84:$H$92,5,FALSE)+VLOOKUP(C128,FACE!$B$84:$H$92,6,FALSE)*'Fatores de Emissão'!F318+VLOOKUP(C128,FACE!$B$84:$H$92,7,FALSE)*'Fatores de Emissão'!F319,"")</f>
        <v/>
      </c>
      <c r="H128" s="802" t="str">
        <f t="shared" si="2"/>
        <v/>
      </c>
      <c r="I128" s="802" t="str">
        <f t="shared" si="3"/>
        <v/>
      </c>
      <c r="J128" s="956" t="str">
        <f>IF(D128="","",SUMIF('Fatores de Emissão'!$B$31:$B$75, $C128, 'Fatores de Emissão'!$R$31:$R$75)*D128)</f>
        <v/>
      </c>
    </row>
    <row r="129" spans="1:10" ht="20.5" hidden="1" customHeight="1" outlineLevel="2" x14ac:dyDescent="0.35">
      <c r="A129" s="192"/>
      <c r="B129" s="193"/>
      <c r="C129" s="454"/>
      <c r="D129" s="490"/>
      <c r="E129" s="492" t="str">
        <f>IF(C129="","",VLOOKUP(C129,FACE!$B$47:$D$92,3,FALSE))</f>
        <v/>
      </c>
      <c r="F129" s="493" t="str">
        <f>IFERROR(VLOOKUP(C129,FACE!$B$47:$H$82,5,FALSE)+VLOOKUP(C129,FACE!$B$47:$H$82,6,FALSE)*'Fatores de Emissão'!E319+VLOOKUP(C129,FACE!$B$47:$H$82,7,FALSE)*'Fatores de Emissão'!E320,"")</f>
        <v/>
      </c>
      <c r="G129" s="493" t="str">
        <f>IFERROR(VLOOKUP(C129,FACE!$B$84:$H$92,5,FALSE)+VLOOKUP(C129,FACE!$B$84:$H$92,6,FALSE)*'Fatores de Emissão'!F319+VLOOKUP(C129,FACE!$B$84:$H$92,7,FALSE)*'Fatores de Emissão'!F320,"")</f>
        <v/>
      </c>
      <c r="H129" s="802" t="str">
        <f t="shared" si="2"/>
        <v/>
      </c>
      <c r="I129" s="802" t="str">
        <f t="shared" si="3"/>
        <v/>
      </c>
      <c r="J129" s="956" t="str">
        <f>IF(D129="","",SUMIF('Fatores de Emissão'!$B$31:$B$75, $C129, 'Fatores de Emissão'!$R$31:$R$75)*D129)</f>
        <v/>
      </c>
    </row>
    <row r="130" spans="1:10" ht="20.5" hidden="1" customHeight="1" outlineLevel="2" x14ac:dyDescent="0.35">
      <c r="A130" s="192"/>
      <c r="B130" s="193"/>
      <c r="C130" s="454"/>
      <c r="D130" s="490"/>
      <c r="E130" s="492" t="str">
        <f>IF(C130="","",VLOOKUP(C130,FACE!$B$47:$D$92,3,FALSE))</f>
        <v/>
      </c>
      <c r="F130" s="493" t="str">
        <f>IFERROR(VLOOKUP(C130,FACE!$B$47:$H$82,5,FALSE)+VLOOKUP(C130,FACE!$B$47:$H$82,6,FALSE)*'Fatores de Emissão'!E320+VLOOKUP(C130,FACE!$B$47:$H$82,7,FALSE)*'Fatores de Emissão'!E321,"")</f>
        <v/>
      </c>
      <c r="G130" s="493" t="str">
        <f>IFERROR(VLOOKUP(C130,FACE!$B$84:$H$92,5,FALSE)+VLOOKUP(C130,FACE!$B$84:$H$92,6,FALSE)*'Fatores de Emissão'!F320+VLOOKUP(C130,FACE!$B$84:$H$92,7,FALSE)*'Fatores de Emissão'!F321,"")</f>
        <v/>
      </c>
      <c r="H130" s="802" t="str">
        <f t="shared" si="2"/>
        <v/>
      </c>
      <c r="I130" s="802" t="str">
        <f t="shared" si="3"/>
        <v/>
      </c>
      <c r="J130" s="956" t="str">
        <f>IF(D130="","",SUMIF('Fatores de Emissão'!$B$31:$B$75, $C130, 'Fatores de Emissão'!$R$31:$R$75)*D130)</f>
        <v/>
      </c>
    </row>
    <row r="131" spans="1:10" ht="20.5" hidden="1" customHeight="1" outlineLevel="2" x14ac:dyDescent="0.35">
      <c r="A131" s="192"/>
      <c r="B131" s="193"/>
      <c r="C131" s="454"/>
      <c r="D131" s="490"/>
      <c r="E131" s="492" t="str">
        <f>IF(C131="","",VLOOKUP(C131,FACE!$B$47:$D$92,3,FALSE))</f>
        <v/>
      </c>
      <c r="F131" s="493" t="str">
        <f>IFERROR(VLOOKUP(C131,FACE!$B$47:$H$82,5,FALSE)+VLOOKUP(C131,FACE!$B$47:$H$82,6,FALSE)*'Fatores de Emissão'!E321+VLOOKUP(C131,FACE!$B$47:$H$82,7,FALSE)*'Fatores de Emissão'!E322,"")</f>
        <v/>
      </c>
      <c r="G131" s="493" t="str">
        <f>IFERROR(VLOOKUP(C131,FACE!$B$84:$H$92,5,FALSE)+VLOOKUP(C131,FACE!$B$84:$H$92,6,FALSE)*'Fatores de Emissão'!F321+VLOOKUP(C131,FACE!$B$84:$H$92,7,FALSE)*'Fatores de Emissão'!F322,"")</f>
        <v/>
      </c>
      <c r="H131" s="802" t="str">
        <f t="shared" si="2"/>
        <v/>
      </c>
      <c r="I131" s="802" t="str">
        <f t="shared" si="3"/>
        <v/>
      </c>
      <c r="J131" s="956" t="str">
        <f>IF(D131="","",SUMIF('Fatores de Emissão'!$B$31:$B$75, $C131, 'Fatores de Emissão'!$R$31:$R$75)*D131)</f>
        <v/>
      </c>
    </row>
    <row r="132" spans="1:10" ht="20.5" hidden="1" customHeight="1" outlineLevel="2" x14ac:dyDescent="0.35">
      <c r="A132" s="192"/>
      <c r="B132" s="193"/>
      <c r="C132" s="454"/>
      <c r="D132" s="490"/>
      <c r="E132" s="492" t="str">
        <f>IF(C132="","",VLOOKUP(C132,FACE!$B$47:$D$92,3,FALSE))</f>
        <v/>
      </c>
      <c r="F132" s="493" t="str">
        <f>IFERROR(VLOOKUP(C132,FACE!$B$47:$H$82,5,FALSE)+VLOOKUP(C132,FACE!$B$47:$H$82,6,FALSE)*'Fatores de Emissão'!E322+VLOOKUP(C132,FACE!$B$47:$H$82,7,FALSE)*'Fatores de Emissão'!E323,"")</f>
        <v/>
      </c>
      <c r="G132" s="493" t="str">
        <f>IFERROR(VLOOKUP(C132,FACE!$B$84:$H$92,5,FALSE)+VLOOKUP(C132,FACE!$B$84:$H$92,6,FALSE)*'Fatores de Emissão'!F322+VLOOKUP(C132,FACE!$B$84:$H$92,7,FALSE)*'Fatores de Emissão'!F323,"")</f>
        <v/>
      </c>
      <c r="H132" s="802" t="str">
        <f t="shared" si="2"/>
        <v/>
      </c>
      <c r="I132" s="802" t="str">
        <f t="shared" si="3"/>
        <v/>
      </c>
      <c r="J132" s="956" t="str">
        <f>IF(D132="","",SUMIF('Fatores de Emissão'!$B$31:$B$75, $C132, 'Fatores de Emissão'!$R$31:$R$75)*D132)</f>
        <v/>
      </c>
    </row>
    <row r="133" spans="1:10" ht="20.5" hidden="1" customHeight="1" outlineLevel="2" x14ac:dyDescent="0.35">
      <c r="A133" s="192"/>
      <c r="B133" s="193"/>
      <c r="C133" s="454"/>
      <c r="D133" s="490"/>
      <c r="E133" s="492" t="str">
        <f>IF(C133="","",VLOOKUP(C133,FACE!$B$47:$D$92,3,FALSE))</f>
        <v/>
      </c>
      <c r="F133" s="493" t="str">
        <f>IFERROR(VLOOKUP(C133,FACE!$B$47:$H$82,5,FALSE)+VLOOKUP(C133,FACE!$B$47:$H$82,6,FALSE)*'Fatores de Emissão'!E323+VLOOKUP(C133,FACE!$B$47:$H$82,7,FALSE)*'Fatores de Emissão'!E324,"")</f>
        <v/>
      </c>
      <c r="G133" s="493" t="str">
        <f>IFERROR(VLOOKUP(C133,FACE!$B$84:$H$92,5,FALSE)+VLOOKUP(C133,FACE!$B$84:$H$92,6,FALSE)*'Fatores de Emissão'!F323+VLOOKUP(C133,FACE!$B$84:$H$92,7,FALSE)*'Fatores de Emissão'!F324,"")</f>
        <v/>
      </c>
      <c r="H133" s="802" t="str">
        <f t="shared" si="2"/>
        <v/>
      </c>
      <c r="I133" s="802" t="str">
        <f t="shared" si="3"/>
        <v/>
      </c>
      <c r="J133" s="956" t="str">
        <f>IF(D133="","",SUMIF('Fatores de Emissão'!$B$31:$B$75, $C133, 'Fatores de Emissão'!$R$31:$R$75)*D133)</f>
        <v/>
      </c>
    </row>
    <row r="134" spans="1:10" ht="20.5" hidden="1" customHeight="1" outlineLevel="2" x14ac:dyDescent="0.35">
      <c r="A134" s="192"/>
      <c r="B134" s="193"/>
      <c r="C134" s="454"/>
      <c r="D134" s="490"/>
      <c r="E134" s="492" t="str">
        <f>IF(C134="","",VLOOKUP(C134,FACE!$B$47:$D$92,3,FALSE))</f>
        <v/>
      </c>
      <c r="F134" s="493" t="str">
        <f>IFERROR(VLOOKUP(C134,FACE!$B$47:$H$82,5,FALSE)+VLOOKUP(C134,FACE!$B$47:$H$82,6,FALSE)*'Fatores de Emissão'!E324+VLOOKUP(C134,FACE!$B$47:$H$82,7,FALSE)*'Fatores de Emissão'!E325,"")</f>
        <v/>
      </c>
      <c r="G134" s="493" t="str">
        <f>IFERROR(VLOOKUP(C134,FACE!$B$84:$H$92,5,FALSE)+VLOOKUP(C134,FACE!$B$84:$H$92,6,FALSE)*'Fatores de Emissão'!F324+VLOOKUP(C134,FACE!$B$84:$H$92,7,FALSE)*'Fatores de Emissão'!F325,"")</f>
        <v/>
      </c>
      <c r="H134" s="802" t="str">
        <f t="shared" si="2"/>
        <v/>
      </c>
      <c r="I134" s="802" t="str">
        <f t="shared" si="3"/>
        <v/>
      </c>
      <c r="J134" s="956" t="str">
        <f>IF(D134="","",SUMIF('Fatores de Emissão'!$B$31:$B$75, $C134, 'Fatores de Emissão'!$R$31:$R$75)*D134)</f>
        <v/>
      </c>
    </row>
    <row r="135" spans="1:10" ht="20.5" hidden="1" customHeight="1" outlineLevel="2" x14ac:dyDescent="0.35">
      <c r="A135" s="192"/>
      <c r="B135" s="193"/>
      <c r="C135" s="454"/>
      <c r="D135" s="490"/>
      <c r="E135" s="492" t="str">
        <f>IF(C135="","",VLOOKUP(C135,FACE!$B$47:$D$92,3,FALSE))</f>
        <v/>
      </c>
      <c r="F135" s="493" t="str">
        <f>IFERROR(VLOOKUP(C135,FACE!$B$47:$H$82,5,FALSE)+VLOOKUP(C135,FACE!$B$47:$H$82,6,FALSE)*'Fatores de Emissão'!E325+VLOOKUP(C135,FACE!$B$47:$H$82,7,FALSE)*'Fatores de Emissão'!E326,"")</f>
        <v/>
      </c>
      <c r="G135" s="493" t="str">
        <f>IFERROR(VLOOKUP(C135,FACE!$B$84:$H$92,5,FALSE)+VLOOKUP(C135,FACE!$B$84:$H$92,6,FALSE)*'Fatores de Emissão'!F325+VLOOKUP(C135,FACE!$B$84:$H$92,7,FALSE)*'Fatores de Emissão'!F326,"")</f>
        <v/>
      </c>
      <c r="H135" s="802" t="str">
        <f t="shared" si="2"/>
        <v/>
      </c>
      <c r="I135" s="802" t="str">
        <f t="shared" si="3"/>
        <v/>
      </c>
      <c r="J135" s="956" t="str">
        <f>IF(D135="","",SUMIF('Fatores de Emissão'!$B$31:$B$75, $C135, 'Fatores de Emissão'!$R$31:$R$75)*D135)</f>
        <v/>
      </c>
    </row>
    <row r="136" spans="1:10" ht="20.5" hidden="1" customHeight="1" outlineLevel="2" x14ac:dyDescent="0.35">
      <c r="A136" s="192"/>
      <c r="B136" s="193"/>
      <c r="C136" s="454"/>
      <c r="D136" s="490"/>
      <c r="E136" s="492" t="str">
        <f>IF(C136="","",VLOOKUP(C136,FACE!$B$47:$D$92,3,FALSE))</f>
        <v/>
      </c>
      <c r="F136" s="493" t="str">
        <f>IFERROR(VLOOKUP(C136,FACE!$B$47:$H$82,5,FALSE)+VLOOKUP(C136,FACE!$B$47:$H$82,6,FALSE)*'Fatores de Emissão'!E326+VLOOKUP(C136,FACE!$B$47:$H$82,7,FALSE)*'Fatores de Emissão'!E327,"")</f>
        <v/>
      </c>
      <c r="G136" s="493" t="str">
        <f>IFERROR(VLOOKUP(C136,FACE!$B$84:$H$92,5,FALSE)+VLOOKUP(C136,FACE!$B$84:$H$92,6,FALSE)*'Fatores de Emissão'!F326+VLOOKUP(C136,FACE!$B$84:$H$92,7,FALSE)*'Fatores de Emissão'!F327,"")</f>
        <v/>
      </c>
      <c r="H136" s="802" t="str">
        <f t="shared" si="2"/>
        <v/>
      </c>
      <c r="I136" s="802" t="str">
        <f t="shared" si="3"/>
        <v/>
      </c>
      <c r="J136" s="956" t="str">
        <f>IF(D136="","",SUMIF('Fatores de Emissão'!$B$31:$B$75, $C136, 'Fatores de Emissão'!$R$31:$R$75)*D136)</f>
        <v/>
      </c>
    </row>
    <row r="137" spans="1:10" ht="20.5" hidden="1" customHeight="1" outlineLevel="2" x14ac:dyDescent="0.35">
      <c r="A137" s="192"/>
      <c r="B137" s="193"/>
      <c r="C137" s="454"/>
      <c r="D137" s="490"/>
      <c r="E137" s="492" t="str">
        <f>IF(C137="","",VLOOKUP(C137,FACE!$B$47:$D$92,3,FALSE))</f>
        <v/>
      </c>
      <c r="F137" s="493" t="str">
        <f>IFERROR(VLOOKUP(C137,FACE!$B$47:$H$82,5,FALSE)+VLOOKUP(C137,FACE!$B$47:$H$82,6,FALSE)*'Fatores de Emissão'!E327+VLOOKUP(C137,FACE!$B$47:$H$82,7,FALSE)*'Fatores de Emissão'!E328,"")</f>
        <v/>
      </c>
      <c r="G137" s="493" t="str">
        <f>IFERROR(VLOOKUP(C137,FACE!$B$84:$H$92,5,FALSE)+VLOOKUP(C137,FACE!$B$84:$H$92,6,FALSE)*'Fatores de Emissão'!F327+VLOOKUP(C137,FACE!$B$84:$H$92,7,FALSE)*'Fatores de Emissão'!F328,"")</f>
        <v/>
      </c>
      <c r="H137" s="802" t="str">
        <f t="shared" si="2"/>
        <v/>
      </c>
      <c r="I137" s="802" t="str">
        <f t="shared" si="3"/>
        <v/>
      </c>
      <c r="J137" s="956" t="str">
        <f>IF(D137="","",SUMIF('Fatores de Emissão'!$B$31:$B$75, $C137, 'Fatores de Emissão'!$R$31:$R$75)*D137)</f>
        <v/>
      </c>
    </row>
    <row r="138" spans="1:10" ht="20.5" hidden="1" customHeight="1" outlineLevel="2" x14ac:dyDescent="0.35">
      <c r="A138" s="192"/>
      <c r="B138" s="193"/>
      <c r="C138" s="454"/>
      <c r="D138" s="490"/>
      <c r="E138" s="492" t="str">
        <f>IF(C138="","",VLOOKUP(C138,FACE!$B$47:$D$92,3,FALSE))</f>
        <v/>
      </c>
      <c r="F138" s="493" t="str">
        <f>IFERROR(VLOOKUP(C138,FACE!$B$47:$H$82,5,FALSE)+VLOOKUP(C138,FACE!$B$47:$H$82,6,FALSE)*'Fatores de Emissão'!E328+VLOOKUP(C138,FACE!$B$47:$H$82,7,FALSE)*'Fatores de Emissão'!E329,"")</f>
        <v/>
      </c>
      <c r="G138" s="493" t="str">
        <f>IFERROR(VLOOKUP(C138,FACE!$B$84:$H$92,5,FALSE)+VLOOKUP(C138,FACE!$B$84:$H$92,6,FALSE)*'Fatores de Emissão'!F328+VLOOKUP(C138,FACE!$B$84:$H$92,7,FALSE)*'Fatores de Emissão'!F329,"")</f>
        <v/>
      </c>
      <c r="H138" s="802" t="str">
        <f t="shared" si="2"/>
        <v/>
      </c>
      <c r="I138" s="802" t="str">
        <f t="shared" si="3"/>
        <v/>
      </c>
      <c r="J138" s="956" t="str">
        <f>IF(D138="","",SUMIF('Fatores de Emissão'!$B$31:$B$75, $C138, 'Fatores de Emissão'!$R$31:$R$75)*D138)</f>
        <v/>
      </c>
    </row>
    <row r="139" spans="1:10" ht="20.5" hidden="1" customHeight="1" outlineLevel="2" x14ac:dyDescent="0.35">
      <c r="A139" s="192"/>
      <c r="B139" s="193"/>
      <c r="C139" s="454"/>
      <c r="D139" s="490"/>
      <c r="E139" s="492" t="str">
        <f>IF(C139="","",VLOOKUP(C139,FACE!$B$47:$D$92,3,FALSE))</f>
        <v/>
      </c>
      <c r="F139" s="493" t="str">
        <f>IFERROR(VLOOKUP(C139,FACE!$B$47:$H$82,5,FALSE)+VLOOKUP(C139,FACE!$B$47:$H$82,6,FALSE)*'Fatores de Emissão'!E329+VLOOKUP(C139,FACE!$B$47:$H$82,7,FALSE)*'Fatores de Emissão'!E330,"")</f>
        <v/>
      </c>
      <c r="G139" s="493" t="str">
        <f>IFERROR(VLOOKUP(C139,FACE!$B$84:$H$92,5,FALSE)+VLOOKUP(C139,FACE!$B$84:$H$92,6,FALSE)*'Fatores de Emissão'!F329+VLOOKUP(C139,FACE!$B$84:$H$92,7,FALSE)*'Fatores de Emissão'!F330,"")</f>
        <v/>
      </c>
      <c r="H139" s="802" t="str">
        <f t="shared" si="2"/>
        <v/>
      </c>
      <c r="I139" s="802" t="str">
        <f t="shared" si="3"/>
        <v/>
      </c>
      <c r="J139" s="956" t="str">
        <f>IF(D139="","",SUMIF('Fatores de Emissão'!$B$31:$B$75, $C139, 'Fatores de Emissão'!$R$31:$R$75)*D139)</f>
        <v/>
      </c>
    </row>
    <row r="140" spans="1:10" ht="20.5" hidden="1" customHeight="1" outlineLevel="2" x14ac:dyDescent="0.35">
      <c r="A140" s="192"/>
      <c r="B140" s="193"/>
      <c r="C140" s="454"/>
      <c r="D140" s="490"/>
      <c r="E140" s="492" t="str">
        <f>IF(C140="","",VLOOKUP(C140,FACE!$B$47:$D$92,3,FALSE))</f>
        <v/>
      </c>
      <c r="F140" s="493" t="str">
        <f>IFERROR(VLOOKUP(C140,FACE!$B$47:$H$82,5,FALSE)+VLOOKUP(C140,FACE!$B$47:$H$82,6,FALSE)*'Fatores de Emissão'!E330+VLOOKUP(C140,FACE!$B$47:$H$82,7,FALSE)*'Fatores de Emissão'!E331,"")</f>
        <v/>
      </c>
      <c r="G140" s="493" t="str">
        <f>IFERROR(VLOOKUP(C140,FACE!$B$84:$H$92,5,FALSE)+VLOOKUP(C140,FACE!$B$84:$H$92,6,FALSE)*'Fatores de Emissão'!F330+VLOOKUP(C140,FACE!$B$84:$H$92,7,FALSE)*'Fatores de Emissão'!F331,"")</f>
        <v/>
      </c>
      <c r="H140" s="802" t="str">
        <f t="shared" si="2"/>
        <v/>
      </c>
      <c r="I140" s="802" t="str">
        <f t="shared" si="3"/>
        <v/>
      </c>
      <c r="J140" s="956" t="str">
        <f>IF(D140="","",SUMIF('Fatores de Emissão'!$B$31:$B$75, $C140, 'Fatores de Emissão'!$R$31:$R$75)*D140)</f>
        <v/>
      </c>
    </row>
    <row r="141" spans="1:10" ht="20.5" hidden="1" customHeight="1" outlineLevel="2" x14ac:dyDescent="0.35">
      <c r="A141" s="192"/>
      <c r="B141" s="193"/>
      <c r="C141" s="454"/>
      <c r="D141" s="490"/>
      <c r="E141" s="492" t="str">
        <f>IF(C141="","",VLOOKUP(C141,FACE!$B$47:$D$92,3,FALSE))</f>
        <v/>
      </c>
      <c r="F141" s="493" t="str">
        <f>IFERROR(VLOOKUP(C141,FACE!$B$47:$H$82,5,FALSE)+VLOOKUP(C141,FACE!$B$47:$H$82,6,FALSE)*'Fatores de Emissão'!E331+VLOOKUP(C141,FACE!$B$47:$H$82,7,FALSE)*'Fatores de Emissão'!E332,"")</f>
        <v/>
      </c>
      <c r="G141" s="493" t="str">
        <f>IFERROR(VLOOKUP(C141,FACE!$B$84:$H$92,5,FALSE)+VLOOKUP(C141,FACE!$B$84:$H$92,6,FALSE)*'Fatores de Emissão'!F331+VLOOKUP(C141,FACE!$B$84:$H$92,7,FALSE)*'Fatores de Emissão'!F332,"")</f>
        <v/>
      </c>
      <c r="H141" s="802" t="str">
        <f t="shared" si="2"/>
        <v/>
      </c>
      <c r="I141" s="802" t="str">
        <f t="shared" si="3"/>
        <v/>
      </c>
      <c r="J141" s="956" t="str">
        <f>IF(D141="","",SUMIF('Fatores de Emissão'!$B$31:$B$75, $C141, 'Fatores de Emissão'!$R$31:$R$75)*D141)</f>
        <v/>
      </c>
    </row>
    <row r="142" spans="1:10" ht="20.5" hidden="1" customHeight="1" outlineLevel="2" x14ac:dyDescent="0.35">
      <c r="A142" s="192"/>
      <c r="B142" s="193"/>
      <c r="C142" s="454"/>
      <c r="D142" s="490"/>
      <c r="E142" s="492" t="str">
        <f>IF(C142="","",VLOOKUP(C142,FACE!$B$47:$D$92,3,FALSE))</f>
        <v/>
      </c>
      <c r="F142" s="493" t="str">
        <f>IFERROR(VLOOKUP(C142,FACE!$B$47:$H$82,5,FALSE)+VLOOKUP(C142,FACE!$B$47:$H$82,6,FALSE)*'Fatores de Emissão'!E332+VLOOKUP(C142,FACE!$B$47:$H$82,7,FALSE)*'Fatores de Emissão'!E333,"")</f>
        <v/>
      </c>
      <c r="G142" s="493" t="str">
        <f>IFERROR(VLOOKUP(C142,FACE!$B$84:$H$92,5,FALSE)+VLOOKUP(C142,FACE!$B$84:$H$92,6,FALSE)*'Fatores de Emissão'!F332+VLOOKUP(C142,FACE!$B$84:$H$92,7,FALSE)*'Fatores de Emissão'!F333,"")</f>
        <v/>
      </c>
      <c r="H142" s="802" t="str">
        <f t="shared" si="2"/>
        <v/>
      </c>
      <c r="I142" s="802" t="str">
        <f t="shared" si="3"/>
        <v/>
      </c>
      <c r="J142" s="956" t="str">
        <f>IF(D142="","",SUMIF('Fatores de Emissão'!$B$31:$B$75, $C142, 'Fatores de Emissão'!$R$31:$R$75)*D142)</f>
        <v/>
      </c>
    </row>
    <row r="143" spans="1:10" ht="20.5" hidden="1" customHeight="1" outlineLevel="2" x14ac:dyDescent="0.35">
      <c r="A143" s="192"/>
      <c r="B143" s="193"/>
      <c r="C143" s="454"/>
      <c r="D143" s="490"/>
      <c r="E143" s="492" t="str">
        <f>IF(C143="","",VLOOKUP(C143,FACE!$B$47:$D$92,3,FALSE))</f>
        <v/>
      </c>
      <c r="F143" s="493" t="str">
        <f>IFERROR(VLOOKUP(C143,FACE!$B$47:$H$82,5,FALSE)+VLOOKUP(C143,FACE!$B$47:$H$82,6,FALSE)*'Fatores de Emissão'!E333+VLOOKUP(C143,FACE!$B$47:$H$82,7,FALSE)*'Fatores de Emissão'!E334,"")</f>
        <v/>
      </c>
      <c r="G143" s="493" t="str">
        <f>IFERROR(VLOOKUP(C143,FACE!$B$84:$H$92,5,FALSE)+VLOOKUP(C143,FACE!$B$84:$H$92,6,FALSE)*'Fatores de Emissão'!F333+VLOOKUP(C143,FACE!$B$84:$H$92,7,FALSE)*'Fatores de Emissão'!F334,"")</f>
        <v/>
      </c>
      <c r="H143" s="802" t="str">
        <f t="shared" si="2"/>
        <v/>
      </c>
      <c r="I143" s="802" t="str">
        <f t="shared" si="3"/>
        <v/>
      </c>
      <c r="J143" s="956" t="str">
        <f>IF(D143="","",SUMIF('Fatores de Emissão'!$B$31:$B$75, $C143, 'Fatores de Emissão'!$R$31:$R$75)*D143)</f>
        <v/>
      </c>
    </row>
    <row r="144" spans="1:10" ht="20.5" hidden="1" customHeight="1" outlineLevel="2" x14ac:dyDescent="0.35">
      <c r="A144" s="192"/>
      <c r="B144" s="193"/>
      <c r="C144" s="454"/>
      <c r="D144" s="490"/>
      <c r="E144" s="492" t="str">
        <f>IF(C144="","",VLOOKUP(C144,FACE!$B$47:$D$92,3,FALSE))</f>
        <v/>
      </c>
      <c r="F144" s="493" t="str">
        <f>IFERROR(VLOOKUP(C144,FACE!$B$47:$H$82,5,FALSE)+VLOOKUP(C144,FACE!$B$47:$H$82,6,FALSE)*'Fatores de Emissão'!E334+VLOOKUP(C144,FACE!$B$47:$H$82,7,FALSE)*'Fatores de Emissão'!E335,"")</f>
        <v/>
      </c>
      <c r="G144" s="493" t="str">
        <f>IFERROR(VLOOKUP(C144,FACE!$B$84:$H$92,5,FALSE)+VLOOKUP(C144,FACE!$B$84:$H$92,6,FALSE)*'Fatores de Emissão'!F334+VLOOKUP(C144,FACE!$B$84:$H$92,7,FALSE)*'Fatores de Emissão'!F335,"")</f>
        <v/>
      </c>
      <c r="H144" s="802" t="str">
        <f t="shared" si="2"/>
        <v/>
      </c>
      <c r="I144" s="802" t="str">
        <f t="shared" si="3"/>
        <v/>
      </c>
      <c r="J144" s="956" t="str">
        <f>IF(D144="","",SUMIF('Fatores de Emissão'!$B$31:$B$75, $C144, 'Fatores de Emissão'!$R$31:$R$75)*D144)</f>
        <v/>
      </c>
    </row>
    <row r="145" spans="1:11" ht="20.5" hidden="1" customHeight="1" outlineLevel="2" x14ac:dyDescent="0.35">
      <c r="A145" s="192"/>
      <c r="B145" s="193"/>
      <c r="C145" s="454"/>
      <c r="D145" s="490"/>
      <c r="E145" s="492" t="str">
        <f>IF(C145="","",VLOOKUP(C145,FACE!$B$47:$D$92,3,FALSE))</f>
        <v/>
      </c>
      <c r="F145" s="493" t="str">
        <f>IFERROR(VLOOKUP(C145,FACE!$B$47:$H$82,5,FALSE)+VLOOKUP(C145,FACE!$B$47:$H$82,6,FALSE)*'Fatores de Emissão'!E335+VLOOKUP(C145,FACE!$B$47:$H$82,7,FALSE)*'Fatores de Emissão'!E336,"")</f>
        <v/>
      </c>
      <c r="G145" s="493" t="str">
        <f>IFERROR(VLOOKUP(C145,FACE!$B$84:$H$92,5,FALSE)+VLOOKUP(C145,FACE!$B$84:$H$92,6,FALSE)*'Fatores de Emissão'!F335+VLOOKUP(C145,FACE!$B$84:$H$92,7,FALSE)*'Fatores de Emissão'!F336,"")</f>
        <v/>
      </c>
      <c r="H145" s="802" t="str">
        <f t="shared" si="2"/>
        <v/>
      </c>
      <c r="I145" s="802" t="str">
        <f t="shared" si="3"/>
        <v/>
      </c>
      <c r="J145" s="956" t="str">
        <f>IF(D145="","",SUMIF('Fatores de Emissão'!$B$31:$B$75, $C145, 'Fatores de Emissão'!$R$31:$R$75)*D145)</f>
        <v/>
      </c>
    </row>
    <row r="146" spans="1:11" ht="20.5" hidden="1" customHeight="1" outlineLevel="2" x14ac:dyDescent="0.35">
      <c r="A146" s="192"/>
      <c r="B146" s="193"/>
      <c r="C146" s="454"/>
      <c r="D146" s="490"/>
      <c r="E146" s="492" t="str">
        <f>IF(C146="","",VLOOKUP(C146,FACE!$B$47:$D$92,3,FALSE))</f>
        <v/>
      </c>
      <c r="F146" s="493" t="str">
        <f>IFERROR(VLOOKUP(C146,FACE!$B$47:$H$82,5,FALSE)+VLOOKUP(C146,FACE!$B$47:$H$82,6,FALSE)*'Fatores de Emissão'!E336+VLOOKUP(C146,FACE!$B$47:$H$82,7,FALSE)*'Fatores de Emissão'!E337,"")</f>
        <v/>
      </c>
      <c r="G146" s="493" t="str">
        <f>IFERROR(VLOOKUP(C146,FACE!$B$84:$H$92,5,FALSE)+VLOOKUP(C146,FACE!$B$84:$H$92,6,FALSE)*'Fatores de Emissão'!F336+VLOOKUP(C146,FACE!$B$84:$H$92,7,FALSE)*'Fatores de Emissão'!F337,"")</f>
        <v/>
      </c>
      <c r="H146" s="802" t="str">
        <f t="shared" si="2"/>
        <v/>
      </c>
      <c r="I146" s="802" t="str">
        <f t="shared" si="3"/>
        <v/>
      </c>
      <c r="J146" s="956" t="str">
        <f>IF(D146="","",SUMIF('Fatores de Emissão'!$B$31:$B$75, $C146, 'Fatores de Emissão'!$R$31:$R$75)*D146)</f>
        <v/>
      </c>
    </row>
    <row r="147" spans="1:11" ht="20.5" hidden="1" customHeight="1" outlineLevel="2" x14ac:dyDescent="0.35">
      <c r="A147" s="192"/>
      <c r="B147" s="193"/>
      <c r="C147" s="454"/>
      <c r="D147" s="490"/>
      <c r="E147" s="492" t="str">
        <f>IF(C147="","",VLOOKUP(C147,FACE!$B$47:$D$92,3,FALSE))</f>
        <v/>
      </c>
      <c r="F147" s="493" t="str">
        <f>IFERROR(VLOOKUP(C147,FACE!$B$47:$H$82,5,FALSE)+VLOOKUP(C147,FACE!$B$47:$H$82,6,FALSE)*'Fatores de Emissão'!E337+VLOOKUP(C147,FACE!$B$47:$H$82,7,FALSE)*'Fatores de Emissão'!E338,"")</f>
        <v/>
      </c>
      <c r="G147" s="493" t="str">
        <f>IFERROR(VLOOKUP(C147,FACE!$B$84:$H$92,5,FALSE)+VLOOKUP(C147,FACE!$B$84:$H$92,6,FALSE)*'Fatores de Emissão'!F337+VLOOKUP(C147,FACE!$B$84:$H$92,7,FALSE)*'Fatores de Emissão'!F338,"")</f>
        <v/>
      </c>
      <c r="H147" s="802" t="str">
        <f t="shared" si="2"/>
        <v/>
      </c>
      <c r="I147" s="802" t="str">
        <f t="shared" si="3"/>
        <v/>
      </c>
      <c r="J147" s="956" t="str">
        <f>IF(D147="","",SUMIF('Fatores de Emissão'!$B$31:$B$75, $C147, 'Fatores de Emissão'!$R$31:$R$75)*D147)</f>
        <v/>
      </c>
    </row>
    <row r="148" spans="1:11" ht="20.5" hidden="1" customHeight="1" outlineLevel="2" x14ac:dyDescent="0.35">
      <c r="A148" s="192"/>
      <c r="B148" s="193"/>
      <c r="C148" s="454"/>
      <c r="D148" s="490"/>
      <c r="E148" s="492" t="str">
        <f>IF(C148="","",VLOOKUP(C148,FACE!$B$47:$D$92,3,FALSE))</f>
        <v/>
      </c>
      <c r="F148" s="493" t="str">
        <f>IFERROR(VLOOKUP(C148,FACE!$B$47:$H$82,5,FALSE)+VLOOKUP(C148,FACE!$B$47:$H$82,6,FALSE)*'Fatores de Emissão'!E338+VLOOKUP(C148,FACE!$B$47:$H$82,7,FALSE)*'Fatores de Emissão'!E339,"")</f>
        <v/>
      </c>
      <c r="G148" s="493" t="str">
        <f>IFERROR(VLOOKUP(C148,FACE!$B$84:$H$92,5,FALSE)+VLOOKUP(C148,FACE!$B$84:$H$92,6,FALSE)*'Fatores de Emissão'!F338+VLOOKUP(C148,FACE!$B$84:$H$92,7,FALSE)*'Fatores de Emissão'!F339,"")</f>
        <v/>
      </c>
      <c r="H148" s="802" t="str">
        <f t="shared" si="2"/>
        <v/>
      </c>
      <c r="I148" s="802" t="str">
        <f t="shared" si="3"/>
        <v/>
      </c>
      <c r="J148" s="956" t="str">
        <f>IF(D148="","",SUMIF('Fatores de Emissão'!$B$31:$B$75, $C148, 'Fatores de Emissão'!$R$31:$R$75)*D148)</f>
        <v/>
      </c>
    </row>
    <row r="149" spans="1:11" ht="20.5" hidden="1" customHeight="1" outlineLevel="2" x14ac:dyDescent="0.35">
      <c r="A149" s="192"/>
      <c r="B149" s="193"/>
      <c r="C149" s="454"/>
      <c r="D149" s="490"/>
      <c r="E149" s="492" t="str">
        <f>IF(C149="","",VLOOKUP(C149,FACE!$B$47:$D$92,3,FALSE))</f>
        <v/>
      </c>
      <c r="F149" s="493" t="str">
        <f>IFERROR(VLOOKUP(C149,FACE!$B$47:$H$82,5,FALSE)+VLOOKUP(C149,FACE!$B$47:$H$82,6,FALSE)*'Fatores de Emissão'!E339+VLOOKUP(C149,FACE!$B$47:$H$82,7,FALSE)*'Fatores de Emissão'!E340,"")</f>
        <v/>
      </c>
      <c r="G149" s="493" t="str">
        <f>IFERROR(VLOOKUP(C149,FACE!$B$84:$H$92,5,FALSE)+VLOOKUP(C149,FACE!$B$84:$H$92,6,FALSE)*'Fatores de Emissão'!F339+VLOOKUP(C149,FACE!$B$84:$H$92,7,FALSE)*'Fatores de Emissão'!F340,"")</f>
        <v/>
      </c>
      <c r="H149" s="802" t="str">
        <f t="shared" si="2"/>
        <v/>
      </c>
      <c r="I149" s="802" t="str">
        <f t="shared" si="3"/>
        <v/>
      </c>
      <c r="J149" s="956" t="str">
        <f>IF(D149="","",SUMIF('Fatores de Emissão'!$B$31:$B$75, $C149, 'Fatores de Emissão'!$R$31:$R$75)*D149)</f>
        <v/>
      </c>
    </row>
    <row r="150" spans="1:11" ht="20.5" hidden="1" customHeight="1" outlineLevel="2" x14ac:dyDescent="0.35">
      <c r="A150" s="192"/>
      <c r="B150" s="193"/>
      <c r="C150" s="454"/>
      <c r="D150" s="490"/>
      <c r="E150" s="492" t="str">
        <f>IF(C150="","",VLOOKUP(C150,FACE!$B$47:$D$92,3,FALSE))</f>
        <v/>
      </c>
      <c r="F150" s="493" t="str">
        <f>IFERROR(VLOOKUP(C150,FACE!$B$47:$H$82,5,FALSE)+VLOOKUP(C150,FACE!$B$47:$H$82,6,FALSE)*'Fatores de Emissão'!E340+VLOOKUP(C150,FACE!$B$47:$H$82,7,FALSE)*'Fatores de Emissão'!E341,"")</f>
        <v/>
      </c>
      <c r="G150" s="493" t="str">
        <f>IFERROR(VLOOKUP(C150,FACE!$B$84:$H$92,5,FALSE)+VLOOKUP(C150,FACE!$B$84:$H$92,6,FALSE)*'Fatores de Emissão'!F340+VLOOKUP(C150,FACE!$B$84:$H$92,7,FALSE)*'Fatores de Emissão'!F341,"")</f>
        <v/>
      </c>
      <c r="H150" s="802" t="str">
        <f t="shared" si="2"/>
        <v/>
      </c>
      <c r="I150" s="802" t="str">
        <f t="shared" si="3"/>
        <v/>
      </c>
      <c r="J150" s="956" t="str">
        <f>IF(D150="","",SUMIF('Fatores de Emissão'!$B$31:$B$75, $C150, 'Fatores de Emissão'!$R$31:$R$75)*D150)</f>
        <v/>
      </c>
    </row>
    <row r="151" spans="1:11" ht="20.5" hidden="1" customHeight="1" outlineLevel="2" x14ac:dyDescent="0.35">
      <c r="A151" s="192"/>
      <c r="B151" s="193"/>
      <c r="C151" s="454"/>
      <c r="D151" s="490"/>
      <c r="E151" s="492" t="str">
        <f>IF(C151="","",VLOOKUP(C151,FACE!$B$47:$D$92,3,FALSE))</f>
        <v/>
      </c>
      <c r="F151" s="493" t="str">
        <f>IFERROR(VLOOKUP(C151,FACE!$B$47:$H$82,5,FALSE)+VLOOKUP(C151,FACE!$B$47:$H$82,6,FALSE)*'Fatores de Emissão'!E341+VLOOKUP(C151,FACE!$B$47:$H$82,7,FALSE)*'Fatores de Emissão'!E342,"")</f>
        <v/>
      </c>
      <c r="G151" s="493" t="str">
        <f>IFERROR(VLOOKUP(C151,FACE!$B$84:$H$92,5,FALSE)+VLOOKUP(C151,FACE!$B$84:$H$92,6,FALSE)*'Fatores de Emissão'!F341+VLOOKUP(C151,FACE!$B$84:$H$92,7,FALSE)*'Fatores de Emissão'!F342,"")</f>
        <v/>
      </c>
      <c r="H151" s="802" t="str">
        <f t="shared" si="2"/>
        <v/>
      </c>
      <c r="I151" s="802" t="str">
        <f t="shared" si="3"/>
        <v/>
      </c>
      <c r="J151" s="956" t="str">
        <f>IF(D151="","",SUMIF('Fatores de Emissão'!$B$31:$B$75, $C151, 'Fatores de Emissão'!$R$31:$R$75)*D151)</f>
        <v/>
      </c>
    </row>
    <row r="152" spans="1:11" ht="20.5" hidden="1" customHeight="1" outlineLevel="2" x14ac:dyDescent="0.35">
      <c r="A152" s="192"/>
      <c r="B152" s="193"/>
      <c r="C152" s="454"/>
      <c r="D152" s="490"/>
      <c r="E152" s="492" t="str">
        <f>IF(C152="","",VLOOKUP(C152,FACE!$B$47:$D$92,3,FALSE))</f>
        <v/>
      </c>
      <c r="F152" s="493" t="str">
        <f>IFERROR(VLOOKUP(C152,FACE!$B$47:$H$82,5,FALSE)+VLOOKUP(C152,FACE!$B$47:$H$82,6,FALSE)*'Fatores de Emissão'!E342+VLOOKUP(C152,FACE!$B$47:$H$82,7,FALSE)*'Fatores de Emissão'!E343,"")</f>
        <v/>
      </c>
      <c r="G152" s="493" t="str">
        <f>IFERROR(VLOOKUP(C152,FACE!$B$84:$H$92,5,FALSE)+VLOOKUP(C152,FACE!$B$84:$H$92,6,FALSE)*'Fatores de Emissão'!F342+VLOOKUP(C152,FACE!$B$84:$H$92,7,FALSE)*'Fatores de Emissão'!F343,"")</f>
        <v/>
      </c>
      <c r="H152" s="802" t="str">
        <f t="shared" si="2"/>
        <v/>
      </c>
      <c r="I152" s="802" t="str">
        <f t="shared" si="3"/>
        <v/>
      </c>
      <c r="J152" s="956" t="str">
        <f>IF(D152="","",SUMIF('Fatores de Emissão'!$B$31:$B$75, $C152, 'Fatores de Emissão'!$R$31:$R$75)*D152)</f>
        <v/>
      </c>
    </row>
    <row r="153" spans="1:11" ht="20.5" hidden="1" customHeight="1" outlineLevel="2" x14ac:dyDescent="0.35">
      <c r="A153" s="192"/>
      <c r="B153" s="193"/>
      <c r="C153" s="454"/>
      <c r="D153" s="490"/>
      <c r="E153" s="492" t="str">
        <f>IF(C153="","",VLOOKUP(C153,FACE!$B$47:$D$92,3,FALSE))</f>
        <v/>
      </c>
      <c r="F153" s="493" t="str">
        <f>IFERROR(VLOOKUP(C153,FACE!$B$47:$H$82,5,FALSE)+VLOOKUP(C153,FACE!$B$47:$H$82,6,FALSE)*'Fatores de Emissão'!E343+VLOOKUP(C153,FACE!$B$47:$H$82,7,FALSE)*'Fatores de Emissão'!E344,"")</f>
        <v/>
      </c>
      <c r="G153" s="493" t="str">
        <f>IFERROR(VLOOKUP(C153,FACE!$B$84:$H$92,5,FALSE)+VLOOKUP(C153,FACE!$B$84:$H$92,6,FALSE)*'Fatores de Emissão'!F343+VLOOKUP(C153,FACE!$B$84:$H$92,7,FALSE)*'Fatores de Emissão'!F344,"")</f>
        <v/>
      </c>
      <c r="H153" s="802" t="str">
        <f t="shared" si="2"/>
        <v/>
      </c>
      <c r="I153" s="802" t="str">
        <f t="shared" si="3"/>
        <v/>
      </c>
      <c r="J153" s="956" t="str">
        <f>IF(D153="","",SUMIF('Fatores de Emissão'!$B$31:$B$75, $C153, 'Fatores de Emissão'!$R$31:$R$75)*D153)</f>
        <v/>
      </c>
    </row>
    <row r="154" spans="1:11" ht="20.5" hidden="1" customHeight="1" outlineLevel="2" x14ac:dyDescent="0.35">
      <c r="A154" s="192"/>
      <c r="B154" s="193"/>
      <c r="C154" s="454"/>
      <c r="D154" s="490"/>
      <c r="E154" s="492" t="str">
        <f>IF(C154="","",VLOOKUP(C154,FACE!$B$47:$D$92,3,FALSE))</f>
        <v/>
      </c>
      <c r="F154" s="493" t="str">
        <f>IFERROR(VLOOKUP(C154,FACE!$B$47:$H$82,5,FALSE)+VLOOKUP(C154,FACE!$B$47:$H$82,6,FALSE)*'Fatores de Emissão'!E344+VLOOKUP(C154,FACE!$B$47:$H$82,7,FALSE)*'Fatores de Emissão'!E345,"")</f>
        <v/>
      </c>
      <c r="G154" s="493" t="str">
        <f>IFERROR(VLOOKUP(C154,FACE!$B$84:$H$92,5,FALSE)+VLOOKUP(C154,FACE!$B$84:$H$92,6,FALSE)*'Fatores de Emissão'!F344+VLOOKUP(C154,FACE!$B$84:$H$92,7,FALSE)*'Fatores de Emissão'!F345,"")</f>
        <v/>
      </c>
      <c r="H154" s="802" t="str">
        <f t="shared" si="2"/>
        <v/>
      </c>
      <c r="I154" s="802" t="str">
        <f t="shared" si="3"/>
        <v/>
      </c>
      <c r="J154" s="956" t="str">
        <f>IF(D154="","",SUMIF('Fatores de Emissão'!$B$31:$B$75, $C154, 'Fatores de Emissão'!$R$31:$R$75)*D154)</f>
        <v/>
      </c>
    </row>
    <row r="155" spans="1:11" ht="20.5" hidden="1" customHeight="1" outlineLevel="2" x14ac:dyDescent="0.35">
      <c r="A155" s="192"/>
      <c r="B155" s="193"/>
      <c r="C155" s="454"/>
      <c r="D155" s="490"/>
      <c r="E155" s="492" t="str">
        <f>IF(C155="","",VLOOKUP(C155,FACE!$B$47:$D$92,3,FALSE))</f>
        <v/>
      </c>
      <c r="F155" s="493" t="str">
        <f>IFERROR(VLOOKUP(C155,FACE!$B$47:$H$82,5,FALSE)+VLOOKUP(C155,FACE!$B$47:$H$82,6,FALSE)*'Fatores de Emissão'!E345+VLOOKUP(C155,FACE!$B$47:$H$82,7,FALSE)*'Fatores de Emissão'!E346,"")</f>
        <v/>
      </c>
      <c r="G155" s="493" t="str">
        <f>IFERROR(VLOOKUP(C155,FACE!$B$84:$H$92,5,FALSE)+VLOOKUP(C155,FACE!$B$84:$H$92,6,FALSE)*'Fatores de Emissão'!F345+VLOOKUP(C155,FACE!$B$84:$H$92,7,FALSE)*'Fatores de Emissão'!F346,"")</f>
        <v/>
      </c>
      <c r="H155" s="802" t="str">
        <f t="shared" si="2"/>
        <v/>
      </c>
      <c r="I155" s="802" t="str">
        <f t="shared" si="3"/>
        <v/>
      </c>
      <c r="J155" s="956" t="str">
        <f>IF(D155="","",SUMIF('Fatores de Emissão'!$B$31:$B$75, $C155, 'Fatores de Emissão'!$R$31:$R$75)*D155)</f>
        <v/>
      </c>
    </row>
    <row r="156" spans="1:11" outlineLevel="1" collapsed="1" x14ac:dyDescent="0.35">
      <c r="A156" s="189"/>
      <c r="B156" s="189"/>
      <c r="C156" s="189"/>
      <c r="D156" s="189"/>
      <c r="E156" s="189"/>
      <c r="F156" s="195"/>
      <c r="K156" s="196"/>
    </row>
    <row r="157" spans="1:11" outlineLevel="1" x14ac:dyDescent="0.35">
      <c r="K157" s="197"/>
    </row>
    <row r="158" spans="1:11" ht="19.899999999999999" customHeight="1" outlineLevel="1" x14ac:dyDescent="0.35">
      <c r="B158" s="1086" t="s">
        <v>1081</v>
      </c>
      <c r="C158" s="1087"/>
      <c r="D158" s="1088"/>
      <c r="E158" s="958">
        <f>SUM(H58:H155)/1000</f>
        <v>0</v>
      </c>
      <c r="K158" s="197"/>
    </row>
    <row r="159" spans="1:11" ht="19.899999999999999" customHeight="1" outlineLevel="1" x14ac:dyDescent="0.35">
      <c r="B159" s="1086" t="s">
        <v>1082</v>
      </c>
      <c r="C159" s="1087"/>
      <c r="D159" s="1088"/>
      <c r="E159" s="958">
        <f>SUM(I58:I155)/1000</f>
        <v>0</v>
      </c>
      <c r="K159" s="197"/>
    </row>
    <row r="160" spans="1:11" ht="19.899999999999999" customHeight="1" outlineLevel="1" x14ac:dyDescent="0.35">
      <c r="B160" s="1086" t="s">
        <v>1083</v>
      </c>
      <c r="C160" s="1087"/>
      <c r="D160" s="1088"/>
      <c r="E160" s="958">
        <f>SUM(J58:J155)/1000</f>
        <v>0</v>
      </c>
      <c r="K160" s="197"/>
    </row>
    <row r="161" spans="1:21" outlineLevel="1" x14ac:dyDescent="0.35">
      <c r="K161" s="197"/>
    </row>
    <row r="162" spans="1:21" x14ac:dyDescent="0.35"/>
    <row r="163" spans="1:21" s="487" customFormat="1" ht="30" customHeight="1" x14ac:dyDescent="0.35">
      <c r="A163" s="609"/>
      <c r="B163" s="486" t="s">
        <v>499</v>
      </c>
    </row>
    <row r="164" spans="1:21" outlineLevel="1" x14ac:dyDescent="0.35">
      <c r="B164" s="174"/>
      <c r="K164" s="175"/>
    </row>
    <row r="165" spans="1:21" ht="18.649999999999999" customHeight="1" outlineLevel="1" x14ac:dyDescent="0.35">
      <c r="B165" s="169" t="s">
        <v>1084</v>
      </c>
      <c r="C165" s="179"/>
      <c r="D165" s="180"/>
      <c r="E165" s="182"/>
      <c r="F165" s="610" t="str">
        <f>IF(D170&gt;0, IF($D$37="", "Tem de indicar o setor de atividade em cima", ""),"")</f>
        <v/>
      </c>
      <c r="K165" s="175"/>
    </row>
    <row r="166" spans="1:21" ht="34.15" customHeight="1" outlineLevel="1" x14ac:dyDescent="0.35">
      <c r="B166" s="1089" t="s">
        <v>645</v>
      </c>
      <c r="C166" s="1089" t="s">
        <v>28</v>
      </c>
      <c r="D166" s="1101" t="s">
        <v>531</v>
      </c>
      <c r="E166" s="1089" t="s">
        <v>29</v>
      </c>
      <c r="F166" s="1089" t="str">
        <f>F54</f>
        <v>Fator de emissão de GEE fóssil da combustão</v>
      </c>
      <c r="G166" s="1089" t="str">
        <f>G54</f>
        <v>Fator de emissão de GEE biogénico da combustão</v>
      </c>
      <c r="H166" s="1089" t="str">
        <f>H54</f>
        <v>Emissões de GEE fósseis anuais</v>
      </c>
      <c r="I166" s="1089" t="str">
        <f>I54</f>
        <v>Emissões de GEE biogénicas anuais</v>
      </c>
      <c r="J166" s="1089" t="s">
        <v>665</v>
      </c>
      <c r="L166" s="172"/>
      <c r="M166" s="185" t="s">
        <v>618</v>
      </c>
      <c r="N166" s="172"/>
      <c r="O166" s="173"/>
      <c r="P166" s="172"/>
      <c r="Q166" s="172"/>
      <c r="R166" s="172"/>
      <c r="S166" s="172"/>
      <c r="T166" s="172"/>
      <c r="U166" s="172"/>
    </row>
    <row r="167" spans="1:21" ht="18" customHeight="1" outlineLevel="1" x14ac:dyDescent="0.35">
      <c r="B167" s="1090"/>
      <c r="C167" s="1090"/>
      <c r="D167" s="1102"/>
      <c r="E167" s="1090"/>
      <c r="F167" s="1090"/>
      <c r="G167" s="1090"/>
      <c r="H167" s="1090"/>
      <c r="I167" s="1090"/>
      <c r="J167" s="1090"/>
      <c r="L167" s="172"/>
      <c r="M167" s="172" t="s">
        <v>1034</v>
      </c>
      <c r="N167" s="172"/>
      <c r="O167" s="1096"/>
      <c r="P167" s="1097"/>
      <c r="Q167" s="1098"/>
      <c r="R167" s="172"/>
      <c r="S167" s="172"/>
      <c r="T167" s="172"/>
      <c r="U167" s="172"/>
    </row>
    <row r="168" spans="1:21" ht="18" customHeight="1" outlineLevel="1" x14ac:dyDescent="0.35">
      <c r="B168" s="1100"/>
      <c r="C168" s="1100"/>
      <c r="D168" s="1103"/>
      <c r="E168" s="1100"/>
      <c r="F168" s="186" t="str">
        <f>F55</f>
        <v>(kgCO2e / unidade)</v>
      </c>
      <c r="G168" s="186" t="str">
        <f>G55</f>
        <v>(kgCO2e / unidade)</v>
      </c>
      <c r="H168" s="186" t="s">
        <v>1079</v>
      </c>
      <c r="I168" s="186" t="s">
        <v>1079</v>
      </c>
      <c r="J168" s="186" t="s">
        <v>1080</v>
      </c>
      <c r="L168" s="172"/>
      <c r="M168" s="172"/>
      <c r="N168" s="172"/>
      <c r="O168" s="173"/>
      <c r="P168" s="172"/>
      <c r="Q168" s="172"/>
      <c r="R168" s="172"/>
      <c r="S168" s="172"/>
      <c r="T168" s="172"/>
      <c r="U168" s="172"/>
    </row>
    <row r="169" spans="1:21" ht="22.5" customHeight="1" outlineLevel="1" x14ac:dyDescent="0.35">
      <c r="A169" s="189" t="s">
        <v>39</v>
      </c>
      <c r="B169" s="201" t="s">
        <v>646</v>
      </c>
      <c r="C169" s="202" t="s">
        <v>476</v>
      </c>
      <c r="D169" s="340">
        <v>100</v>
      </c>
      <c r="E169" s="203" t="str">
        <f>IF(C169="","",VLOOKUP(C169,FACE!$B$47:$D$82,3,FALSE))</f>
        <v>m3</v>
      </c>
      <c r="F169" s="955">
        <v>2.4295207639999994</v>
      </c>
      <c r="G169" s="955"/>
      <c r="H169" s="489">
        <v>242.95207639999995</v>
      </c>
      <c r="I169" s="489"/>
      <c r="J169" s="1026">
        <v>1.75926243304687E-3</v>
      </c>
      <c r="L169" s="172"/>
      <c r="M169" s="1073" t="str">
        <f>IF(O167="","",VLOOKUP(O167,FACE!$C$10:$D$40,2,FALSE))</f>
        <v/>
      </c>
      <c r="N169" s="1074"/>
      <c r="O169" s="1074"/>
      <c r="P169" s="1074"/>
      <c r="Q169" s="1074"/>
      <c r="R169" s="1074"/>
      <c r="S169" s="1074"/>
      <c r="T169" s="1075"/>
      <c r="U169" s="172"/>
    </row>
    <row r="170" spans="1:21" ht="22.5" customHeight="1" outlineLevel="1" x14ac:dyDescent="0.35">
      <c r="A170" s="192"/>
      <c r="B170" s="193"/>
      <c r="C170" s="194"/>
      <c r="D170" s="490"/>
      <c r="E170" s="492" t="str">
        <f>IF(C170="","",VLOOKUP(C170,FACE!$B$47:$D$92,3,FALSE))</f>
        <v/>
      </c>
      <c r="F170" s="956" t="str">
        <f>IFERROR(VLOOKUP(C170,FACE!$B$47:$H$82,5,FALSE)+VLOOKUP(C170,FACE!$B$47:$H$82,6,FALSE)*'Fatores de Emissão'!E360+VLOOKUP(C170,FACE!$B$47:$H$82,7,FALSE)*'Fatores de Emissão'!E361,"")</f>
        <v/>
      </c>
      <c r="G170" s="956" t="str">
        <f>IFERROR(VLOOKUP(C170,FACE!$B$84:$H$92,5,FALSE)+VLOOKUP(C170,FACE!$B$84:$H$92,6,FALSE)*'Fatores de Emissão'!F360+VLOOKUP(C170,FACE!$B$84:$H$92,7,FALSE)*'Fatores de Emissão'!F361,"")</f>
        <v/>
      </c>
      <c r="H170" s="802" t="str">
        <f>IFERROR(F170*D170,"")</f>
        <v/>
      </c>
      <c r="I170" s="802" t="str">
        <f>IFERROR(G170*D170,"")</f>
        <v/>
      </c>
      <c r="J170" s="1022" t="str">
        <f>IF(D170="","",SUMIF('Fatores de Emissão'!$B$31:$B$75, $C170, 'Fatores de Emissão'!$R$31:$R$75)*D170)</f>
        <v/>
      </c>
      <c r="L170" s="172"/>
      <c r="M170" s="1076"/>
      <c r="N170" s="1077"/>
      <c r="O170" s="1077"/>
      <c r="P170" s="1077"/>
      <c r="Q170" s="1077"/>
      <c r="R170" s="1077"/>
      <c r="S170" s="1077"/>
      <c r="T170" s="1078"/>
      <c r="U170" s="172"/>
    </row>
    <row r="171" spans="1:21" ht="22.5" customHeight="1" outlineLevel="1" x14ac:dyDescent="0.35">
      <c r="A171" s="192"/>
      <c r="B171" s="193"/>
      <c r="C171" s="194"/>
      <c r="D171" s="490"/>
      <c r="E171" s="492" t="str">
        <f>IF(C171="","",VLOOKUP(C171,FACE!$B$47:$D$92,3,FALSE))</f>
        <v/>
      </c>
      <c r="F171" s="956" t="str">
        <f>IFERROR(VLOOKUP(C171,FACE!$B$47:$H$82,5,FALSE)+VLOOKUP(C171,FACE!$B$47:$H$82,6,FALSE)*'Fatores de Emissão'!E361+VLOOKUP(C171,FACE!$B$47:$H$82,7,FALSE)*'Fatores de Emissão'!E362,"")</f>
        <v/>
      </c>
      <c r="G171" s="956" t="str">
        <f>IFERROR(VLOOKUP(C171,FACE!$B$84:$H$92,5,FALSE)+VLOOKUP(C171,FACE!$B$84:$H$92,6,FALSE)*'Fatores de Emissão'!F361+VLOOKUP(C171,FACE!$B$84:$H$92,7,FALSE)*'Fatores de Emissão'!F362,"")</f>
        <v/>
      </c>
      <c r="H171" s="802" t="str">
        <f t="shared" ref="H171:H234" si="4">IFERROR(F171*D171,"")</f>
        <v/>
      </c>
      <c r="I171" s="802" t="str">
        <f t="shared" ref="I171:I234" si="5">IFERROR(G171*D171,"")</f>
        <v/>
      </c>
      <c r="J171" s="1022" t="str">
        <f>IF(D171="","",SUMIF('Fatores de Emissão'!$B$31:$B$75, $C171, 'Fatores de Emissão'!$R$31:$R$75)*D171)</f>
        <v/>
      </c>
      <c r="L171" s="172"/>
      <c r="M171" s="1076"/>
      <c r="N171" s="1077"/>
      <c r="O171" s="1077"/>
      <c r="P171" s="1077"/>
      <c r="Q171" s="1077"/>
      <c r="R171" s="1077"/>
      <c r="S171" s="1077"/>
      <c r="T171" s="1078"/>
      <c r="U171" s="172"/>
    </row>
    <row r="172" spans="1:21" ht="22.5" customHeight="1" outlineLevel="1" x14ac:dyDescent="0.35">
      <c r="A172" s="192"/>
      <c r="B172" s="193"/>
      <c r="C172" s="194"/>
      <c r="D172" s="490"/>
      <c r="E172" s="492" t="str">
        <f>IF(C172="","",VLOOKUP(C172,FACE!$B$47:$D$92,3,FALSE))</f>
        <v/>
      </c>
      <c r="F172" s="956" t="str">
        <f>IFERROR(VLOOKUP(C172,FACE!$B$47:$H$82,5,FALSE)+VLOOKUP(C172,FACE!$B$47:$H$82,6,FALSE)*'Fatores de Emissão'!E362+VLOOKUP(C172,FACE!$B$47:$H$82,7,FALSE)*'Fatores de Emissão'!E363,"")</f>
        <v/>
      </c>
      <c r="G172" s="956" t="str">
        <f>IFERROR(VLOOKUP(C172,FACE!$B$84:$H$92,5,FALSE)+VLOOKUP(C172,FACE!$B$84:$H$92,6,FALSE)*'Fatores de Emissão'!F362+VLOOKUP(C172,FACE!$B$84:$H$92,7,FALSE)*'Fatores de Emissão'!F363,"")</f>
        <v/>
      </c>
      <c r="H172" s="802" t="str">
        <f t="shared" si="4"/>
        <v/>
      </c>
      <c r="I172" s="802" t="str">
        <f t="shared" si="5"/>
        <v/>
      </c>
      <c r="J172" s="1022" t="str">
        <f>IF(D172="","",SUMIF('Fatores de Emissão'!$B$31:$B$75, $C172, 'Fatores de Emissão'!$R$31:$R$75)*D172)</f>
        <v/>
      </c>
      <c r="L172" s="172"/>
      <c r="M172" s="1076"/>
      <c r="N172" s="1077"/>
      <c r="O172" s="1077"/>
      <c r="P172" s="1077"/>
      <c r="Q172" s="1077"/>
      <c r="R172" s="1077"/>
      <c r="S172" s="1077"/>
      <c r="T172" s="1078"/>
      <c r="U172" s="172"/>
    </row>
    <row r="173" spans="1:21" ht="22.5" customHeight="1" outlineLevel="1" x14ac:dyDescent="0.35">
      <c r="A173" s="192"/>
      <c r="B173" s="193"/>
      <c r="C173" s="194"/>
      <c r="D173" s="490"/>
      <c r="E173" s="492" t="str">
        <f>IF(C173="","",VLOOKUP(C173,FACE!$B$47:$D$92,3,FALSE))</f>
        <v/>
      </c>
      <c r="F173" s="956" t="str">
        <f>IFERROR(VLOOKUP(C173,FACE!$B$47:$H$82,5,FALSE)+VLOOKUP(C173,FACE!$B$47:$H$82,6,FALSE)*'Fatores de Emissão'!E363+VLOOKUP(C173,FACE!$B$47:$H$82,7,FALSE)*'Fatores de Emissão'!E364,"")</f>
        <v/>
      </c>
      <c r="G173" s="956" t="str">
        <f>IFERROR(VLOOKUP(C173,FACE!$B$84:$H$92,5,FALSE)+VLOOKUP(C173,FACE!$B$84:$H$92,6,FALSE)*'Fatores de Emissão'!F363+VLOOKUP(C173,FACE!$B$84:$H$92,7,FALSE)*'Fatores de Emissão'!F364,"")</f>
        <v/>
      </c>
      <c r="H173" s="802" t="str">
        <f t="shared" si="4"/>
        <v/>
      </c>
      <c r="I173" s="802" t="str">
        <f t="shared" si="5"/>
        <v/>
      </c>
      <c r="J173" s="1022" t="str">
        <f>IF(D173="","",SUMIF('Fatores de Emissão'!$B$31:$B$75, $C173, 'Fatores de Emissão'!$R$31:$R$75)*D173)</f>
        <v/>
      </c>
      <c r="L173" s="172"/>
      <c r="M173" s="1076"/>
      <c r="N173" s="1077"/>
      <c r="O173" s="1077"/>
      <c r="P173" s="1077"/>
      <c r="Q173" s="1077"/>
      <c r="R173" s="1077"/>
      <c r="S173" s="1077"/>
      <c r="T173" s="1078"/>
      <c r="U173" s="172"/>
    </row>
    <row r="174" spans="1:21" ht="22.5" customHeight="1" outlineLevel="1" x14ac:dyDescent="0.35">
      <c r="A174" s="192"/>
      <c r="B174" s="193"/>
      <c r="C174" s="194"/>
      <c r="D174" s="490"/>
      <c r="E174" s="492" t="str">
        <f>IF(C174="","",VLOOKUP(C174,FACE!$B$47:$D$92,3,FALSE))</f>
        <v/>
      </c>
      <c r="F174" s="956" t="str">
        <f>IFERROR(VLOOKUP(C174,FACE!$B$47:$H$82,5,FALSE)+VLOOKUP(C174,FACE!$B$47:$H$82,6,FALSE)*'Fatores de Emissão'!E364+VLOOKUP(C174,FACE!$B$47:$H$82,7,FALSE)*'Fatores de Emissão'!E365,"")</f>
        <v/>
      </c>
      <c r="G174" s="956" t="str">
        <f>IFERROR(VLOOKUP(C174,FACE!$B$84:$H$92,5,FALSE)+VLOOKUP(C174,FACE!$B$84:$H$92,6,FALSE)*'Fatores de Emissão'!F364+VLOOKUP(C174,FACE!$B$84:$H$92,7,FALSE)*'Fatores de Emissão'!F365,"")</f>
        <v/>
      </c>
      <c r="H174" s="802" t="str">
        <f t="shared" si="4"/>
        <v/>
      </c>
      <c r="I174" s="802" t="str">
        <f t="shared" si="5"/>
        <v/>
      </c>
      <c r="J174" s="1022" t="str">
        <f>IF(D174="","",SUMIF('Fatores de Emissão'!$B$31:$B$75, $C174, 'Fatores de Emissão'!$R$31:$R$75)*D174)</f>
        <v/>
      </c>
      <c r="L174" s="172"/>
      <c r="M174" s="1076"/>
      <c r="N174" s="1077"/>
      <c r="O174" s="1077"/>
      <c r="P174" s="1077"/>
      <c r="Q174" s="1077"/>
      <c r="R174" s="1077"/>
      <c r="S174" s="1077"/>
      <c r="T174" s="1078"/>
      <c r="U174" s="172"/>
    </row>
    <row r="175" spans="1:21" ht="22.5" customHeight="1" outlineLevel="1" x14ac:dyDescent="0.35">
      <c r="A175" s="192"/>
      <c r="B175" s="193"/>
      <c r="C175" s="194"/>
      <c r="D175" s="490"/>
      <c r="E175" s="492" t="str">
        <f>IF(C175="","",VLOOKUP(C175,FACE!$B$47:$D$92,3,FALSE))</f>
        <v/>
      </c>
      <c r="F175" s="956" t="str">
        <f>IFERROR(VLOOKUP(C175,FACE!$B$47:$H$82,5,FALSE)+VLOOKUP(C175,FACE!$B$47:$H$82,6,FALSE)*'Fatores de Emissão'!E365+VLOOKUP(C175,FACE!$B$47:$H$82,7,FALSE)*'Fatores de Emissão'!E366,"")</f>
        <v/>
      </c>
      <c r="G175" s="956" t="str">
        <f>IFERROR(VLOOKUP(C175,FACE!$B$84:$H$92,5,FALSE)+VLOOKUP(C175,FACE!$B$84:$H$92,6,FALSE)*'Fatores de Emissão'!F365+VLOOKUP(C175,FACE!$B$84:$H$92,7,FALSE)*'Fatores de Emissão'!F366,"")</f>
        <v/>
      </c>
      <c r="H175" s="802" t="str">
        <f t="shared" si="4"/>
        <v/>
      </c>
      <c r="I175" s="802" t="str">
        <f t="shared" si="5"/>
        <v/>
      </c>
      <c r="J175" s="1022" t="str">
        <f>IF(D175="","",SUMIF('Fatores de Emissão'!$B$31:$B$75, $C175, 'Fatores de Emissão'!$R$31:$R$75)*D175)</f>
        <v/>
      </c>
      <c r="L175" s="172"/>
      <c r="M175" s="1079"/>
      <c r="N175" s="1080"/>
      <c r="O175" s="1080"/>
      <c r="P175" s="1080"/>
      <c r="Q175" s="1080"/>
      <c r="R175" s="1080"/>
      <c r="S175" s="1080"/>
      <c r="T175" s="1081"/>
      <c r="U175" s="172"/>
    </row>
    <row r="176" spans="1:21" outlineLevel="1" x14ac:dyDescent="0.35">
      <c r="A176" s="192"/>
      <c r="B176" s="193"/>
      <c r="C176" s="194"/>
      <c r="D176" s="490"/>
      <c r="E176" s="492" t="str">
        <f>IF(C176="","",VLOOKUP(C176,FACE!$B$47:$D$92,3,FALSE))</f>
        <v/>
      </c>
      <c r="F176" s="956" t="str">
        <f>IFERROR(VLOOKUP(C176,FACE!$B$47:$H$82,5,FALSE)+VLOOKUP(C176,FACE!$B$47:$H$82,6,FALSE)*'Fatores de Emissão'!E366+VLOOKUP(C176,FACE!$B$47:$H$82,7,FALSE)*'Fatores de Emissão'!E367,"")</f>
        <v/>
      </c>
      <c r="G176" s="956" t="str">
        <f>IFERROR(VLOOKUP(C176,FACE!$B$84:$H$92,5,FALSE)+VLOOKUP(C176,FACE!$B$84:$H$92,6,FALSE)*'Fatores de Emissão'!F366+VLOOKUP(C176,FACE!$B$84:$H$92,7,FALSE)*'Fatores de Emissão'!F367,"")</f>
        <v/>
      </c>
      <c r="H176" s="802" t="str">
        <f t="shared" si="4"/>
        <v/>
      </c>
      <c r="I176" s="802" t="str">
        <f t="shared" si="5"/>
        <v/>
      </c>
      <c r="J176" s="1022" t="str">
        <f>IF(D176="","",SUMIF('Fatores de Emissão'!$B$31:$B$75, $C176, 'Fatores de Emissão'!$R$31:$R$75)*D176)</f>
        <v/>
      </c>
      <c r="L176" s="172"/>
      <c r="M176" s="172" t="s">
        <v>1060</v>
      </c>
      <c r="N176" s="172"/>
      <c r="O176" s="173"/>
      <c r="P176" s="172"/>
      <c r="Q176" s="172"/>
      <c r="R176" s="172"/>
      <c r="S176" s="172"/>
      <c r="T176" s="172"/>
      <c r="U176" s="172"/>
    </row>
    <row r="177" spans="1:12" outlineLevel="1" x14ac:dyDescent="0.35">
      <c r="A177" s="192"/>
      <c r="B177" s="193"/>
      <c r="C177" s="194"/>
      <c r="D177" s="490"/>
      <c r="E177" s="492" t="str">
        <f>IF(C177="","",VLOOKUP(C177,FACE!$B$47:$D$92,3,FALSE))</f>
        <v/>
      </c>
      <c r="F177" s="956" t="str">
        <f>IFERROR(VLOOKUP(C177,FACE!$B$47:$H$82,5,FALSE)+VLOOKUP(C177,FACE!$B$47:$H$82,6,FALSE)*'Fatores de Emissão'!E367+VLOOKUP(C177,FACE!$B$47:$H$82,7,FALSE)*'Fatores de Emissão'!E368,"")</f>
        <v/>
      </c>
      <c r="G177" s="956" t="str">
        <f>IFERROR(VLOOKUP(C177,FACE!$B$84:$H$92,5,FALSE)+VLOOKUP(C177,FACE!$B$84:$H$92,6,FALSE)*'Fatores de Emissão'!F367+VLOOKUP(C177,FACE!$B$84:$H$92,7,FALSE)*'Fatores de Emissão'!F368,"")</f>
        <v/>
      </c>
      <c r="H177" s="802" t="str">
        <f t="shared" si="4"/>
        <v/>
      </c>
      <c r="I177" s="802" t="str">
        <f t="shared" si="5"/>
        <v/>
      </c>
      <c r="J177" s="1022" t="str">
        <f>IF(D177="","",SUMIF('Fatores de Emissão'!$B$31:$B$75, $C177, 'Fatores de Emissão'!$R$31:$R$75)*D177)</f>
        <v/>
      </c>
      <c r="L177" s="175"/>
    </row>
    <row r="178" spans="1:12" outlineLevel="1" x14ac:dyDescent="0.35">
      <c r="A178" s="192"/>
      <c r="B178" s="193"/>
      <c r="C178" s="194"/>
      <c r="D178" s="490"/>
      <c r="E178" s="492" t="str">
        <f>IF(C178="","",VLOOKUP(C178,FACE!$B$47:$D$92,3,FALSE))</f>
        <v/>
      </c>
      <c r="F178" s="956" t="str">
        <f>IFERROR(VLOOKUP(C178,FACE!$B$47:$H$82,5,FALSE)+VLOOKUP(C178,FACE!$B$47:$H$82,6,FALSE)*'Fatores de Emissão'!E368+VLOOKUP(C178,FACE!$B$47:$H$82,7,FALSE)*'Fatores de Emissão'!E369,"")</f>
        <v/>
      </c>
      <c r="G178" s="956" t="str">
        <f>IFERROR(VLOOKUP(C178,FACE!$B$84:$H$92,5,FALSE)+VLOOKUP(C178,FACE!$B$84:$H$92,6,FALSE)*'Fatores de Emissão'!F368+VLOOKUP(C178,FACE!$B$84:$H$92,7,FALSE)*'Fatores de Emissão'!F369,"")</f>
        <v/>
      </c>
      <c r="H178" s="802" t="str">
        <f t="shared" si="4"/>
        <v/>
      </c>
      <c r="I178" s="802" t="str">
        <f t="shared" si="5"/>
        <v/>
      </c>
      <c r="J178" s="1022" t="str">
        <f>IF(D178="","",SUMIF('Fatores de Emissão'!$B$31:$B$75, $C178, 'Fatores de Emissão'!$R$31:$R$75)*D178)</f>
        <v/>
      </c>
      <c r="L178" s="175"/>
    </row>
    <row r="179" spans="1:12" outlineLevel="1" x14ac:dyDescent="0.35">
      <c r="A179" s="192"/>
      <c r="B179" s="193"/>
      <c r="C179" s="194"/>
      <c r="D179" s="490"/>
      <c r="E179" s="492" t="str">
        <f>IF(C179="","",VLOOKUP(C179,FACE!$B$47:$D$92,3,FALSE))</f>
        <v/>
      </c>
      <c r="F179" s="956" t="str">
        <f>IFERROR(VLOOKUP(C179,FACE!$B$47:$H$82,5,FALSE)+VLOOKUP(C179,FACE!$B$47:$H$82,6,FALSE)*'Fatores de Emissão'!E369+VLOOKUP(C179,FACE!$B$47:$H$82,7,FALSE)*'Fatores de Emissão'!E370,"")</f>
        <v/>
      </c>
      <c r="G179" s="956" t="str">
        <f>IFERROR(VLOOKUP(C179,FACE!$B$84:$H$92,5,FALSE)+VLOOKUP(C179,FACE!$B$84:$H$92,6,FALSE)*'Fatores de Emissão'!F369+VLOOKUP(C179,FACE!$B$84:$H$92,7,FALSE)*'Fatores de Emissão'!F370,"")</f>
        <v/>
      </c>
      <c r="H179" s="802" t="str">
        <f t="shared" si="4"/>
        <v/>
      </c>
      <c r="I179" s="802" t="str">
        <f t="shared" si="5"/>
        <v/>
      </c>
      <c r="J179" s="1022" t="str">
        <f>IF(D179="","",SUMIF('Fatores de Emissão'!$B$31:$B$75, $C179, 'Fatores de Emissão'!$R$31:$R$75)*D179)</f>
        <v/>
      </c>
      <c r="L179" s="175"/>
    </row>
    <row r="180" spans="1:12" outlineLevel="1" x14ac:dyDescent="0.35">
      <c r="A180" s="192"/>
      <c r="B180" s="193"/>
      <c r="C180" s="194"/>
      <c r="D180" s="490"/>
      <c r="E180" s="492" t="str">
        <f>IF(C180="","",VLOOKUP(C180,FACE!$B$47:$D$92,3,FALSE))</f>
        <v/>
      </c>
      <c r="F180" s="956" t="str">
        <f>IFERROR(VLOOKUP(C180,FACE!$B$47:$H$82,5,FALSE)+VLOOKUP(C180,FACE!$B$47:$H$82,6,FALSE)*'Fatores de Emissão'!E370+VLOOKUP(C180,FACE!$B$47:$H$82,7,FALSE)*'Fatores de Emissão'!E371,"")</f>
        <v/>
      </c>
      <c r="G180" s="956" t="str">
        <f>IFERROR(VLOOKUP(C180,FACE!$B$84:$H$92,5,FALSE)+VLOOKUP(C180,FACE!$B$84:$H$92,6,FALSE)*'Fatores de Emissão'!F370+VLOOKUP(C180,FACE!$B$84:$H$92,7,FALSE)*'Fatores de Emissão'!F371,"")</f>
        <v/>
      </c>
      <c r="H180" s="802" t="str">
        <f t="shared" si="4"/>
        <v/>
      </c>
      <c r="I180" s="802" t="str">
        <f t="shared" si="5"/>
        <v/>
      </c>
      <c r="J180" s="1022" t="str">
        <f>IF(D180="","",SUMIF('Fatores de Emissão'!$B$31:$B$75, $C180, 'Fatores de Emissão'!$R$31:$R$75)*D180)</f>
        <v/>
      </c>
      <c r="L180" s="175"/>
    </row>
    <row r="181" spans="1:12" hidden="1" outlineLevel="2" x14ac:dyDescent="0.35">
      <c r="A181" s="192"/>
      <c r="B181" s="193"/>
      <c r="C181" s="194"/>
      <c r="D181" s="490"/>
      <c r="E181" s="492" t="str">
        <f>IF(C181="","",VLOOKUP(C181,FACE!$B$47:$D$92,3,FALSE))</f>
        <v/>
      </c>
      <c r="F181" s="956" t="str">
        <f>IFERROR(VLOOKUP(C181,FACE!$B$47:$H$82,5,FALSE)+VLOOKUP(C181,FACE!$B$47:$H$82,6,FALSE)*'Fatores de Emissão'!E371+VLOOKUP(C181,FACE!$B$47:$H$82,7,FALSE)*'Fatores de Emissão'!E372,"")</f>
        <v/>
      </c>
      <c r="G181" s="493" t="str">
        <f>IFERROR(VLOOKUP(C181,FACE!$B$84:$H$92,5,FALSE)+VLOOKUP(C181,FACE!$B$84:$H$92,6,FALSE)*'Fatores de Emissão'!F371+VLOOKUP(C181,FACE!$B$84:$H$92,7,FALSE)*'Fatores de Emissão'!F372,"")</f>
        <v/>
      </c>
      <c r="H181" s="802" t="str">
        <f t="shared" si="4"/>
        <v/>
      </c>
      <c r="I181" s="802" t="str">
        <f t="shared" si="5"/>
        <v/>
      </c>
      <c r="J181" s="1022" t="str">
        <f>IF(D181="","",SUMIF('Fatores de Emissão'!$B$31:$B$75, $C181, 'Fatores de Emissão'!$R$31:$R$75)*D181)</f>
        <v/>
      </c>
      <c r="L181" s="175"/>
    </row>
    <row r="182" spans="1:12" hidden="1" outlineLevel="2" x14ac:dyDescent="0.35">
      <c r="A182" s="192"/>
      <c r="B182" s="193"/>
      <c r="C182" s="194"/>
      <c r="D182" s="490"/>
      <c r="E182" s="492" t="str">
        <f>IF(C182="","",VLOOKUP(C182,FACE!$B$47:$D$92,3,FALSE))</f>
        <v/>
      </c>
      <c r="F182" s="956" t="str">
        <f>IFERROR(VLOOKUP(C182,FACE!$B$47:$H$82,5,FALSE)+VLOOKUP(C182,FACE!$B$47:$H$82,6,FALSE)*'Fatores de Emissão'!E372+VLOOKUP(C182,FACE!$B$47:$H$82,7,FALSE)*'Fatores de Emissão'!E373,"")</f>
        <v/>
      </c>
      <c r="G182" s="493" t="str">
        <f>IFERROR(VLOOKUP(C182,FACE!$B$84:$H$92,5,FALSE)+VLOOKUP(C182,FACE!$B$84:$H$92,6,FALSE)*'Fatores de Emissão'!F372+VLOOKUP(C182,FACE!$B$84:$H$92,7,FALSE)*'Fatores de Emissão'!F373,"")</f>
        <v/>
      </c>
      <c r="H182" s="802" t="str">
        <f t="shared" ref="H182:H192" si="6">IFERROR(F182*D182,"")</f>
        <v/>
      </c>
      <c r="I182" s="802" t="str">
        <f t="shared" ref="I182:I192" si="7">IFERROR(G182*D182,"")</f>
        <v/>
      </c>
      <c r="J182" s="1022" t="str">
        <f>IF(D182="","",SUMIF('Fatores de Emissão'!$B$31:$B$75, $C182, 'Fatores de Emissão'!$R$31:$R$75)*D182)</f>
        <v/>
      </c>
      <c r="L182" s="175"/>
    </row>
    <row r="183" spans="1:12" hidden="1" outlineLevel="2" x14ac:dyDescent="0.35">
      <c r="A183" s="192"/>
      <c r="B183" s="193"/>
      <c r="C183" s="194"/>
      <c r="D183" s="490"/>
      <c r="E183" s="492" t="str">
        <f>IF(C183="","",VLOOKUP(C183,FACE!$B$47:$D$92,3,FALSE))</f>
        <v/>
      </c>
      <c r="F183" s="956" t="str">
        <f>IFERROR(VLOOKUP(C183,FACE!$B$47:$H$82,5,FALSE)+VLOOKUP(C183,FACE!$B$47:$H$82,6,FALSE)*'Fatores de Emissão'!E373+VLOOKUP(C183,FACE!$B$47:$H$82,7,FALSE)*'Fatores de Emissão'!E374,"")</f>
        <v/>
      </c>
      <c r="G183" s="956" t="str">
        <f>IFERROR(VLOOKUP(C183,FACE!$B$84:$H$92,5,FALSE)+VLOOKUP(C183,FACE!$B$84:$H$92,6,FALSE)*'Fatores de Emissão'!F373+VLOOKUP(C183,FACE!$B$84:$H$92,7,FALSE)*'Fatores de Emissão'!F374,"")</f>
        <v/>
      </c>
      <c r="H183" s="802" t="str">
        <f t="shared" si="6"/>
        <v/>
      </c>
      <c r="I183" s="802" t="str">
        <f t="shared" si="7"/>
        <v/>
      </c>
      <c r="J183" s="1022" t="str">
        <f>IF(D183="","",SUMIF('Fatores de Emissão'!$B$31:$B$75, $C183, 'Fatores de Emissão'!$R$31:$R$75)*D183)</f>
        <v/>
      </c>
      <c r="L183" s="175"/>
    </row>
    <row r="184" spans="1:12" hidden="1" outlineLevel="2" x14ac:dyDescent="0.35">
      <c r="A184" s="192"/>
      <c r="B184" s="193"/>
      <c r="C184" s="194"/>
      <c r="D184" s="490"/>
      <c r="E184" s="492" t="str">
        <f>IF(C184="","",VLOOKUP(C184,FACE!$B$47:$D$92,3,FALSE))</f>
        <v/>
      </c>
      <c r="F184" s="956" t="str">
        <f>IFERROR(VLOOKUP(C184,FACE!$B$47:$H$82,5,FALSE)+VLOOKUP(C184,FACE!$B$47:$H$82,6,FALSE)*'Fatores de Emissão'!E374+VLOOKUP(C184,FACE!$B$47:$H$82,7,FALSE)*'Fatores de Emissão'!E375,"")</f>
        <v/>
      </c>
      <c r="G184" s="956" t="str">
        <f>IFERROR(VLOOKUP(C184,FACE!$B$84:$H$92,5,FALSE)+VLOOKUP(C184,FACE!$B$84:$H$92,6,FALSE)*'Fatores de Emissão'!F374+VLOOKUP(C184,FACE!$B$84:$H$92,7,FALSE)*'Fatores de Emissão'!F375,"")</f>
        <v/>
      </c>
      <c r="H184" s="802" t="str">
        <f t="shared" si="6"/>
        <v/>
      </c>
      <c r="I184" s="802" t="str">
        <f t="shared" si="7"/>
        <v/>
      </c>
      <c r="J184" s="1022" t="str">
        <f>IF(D184="","",SUMIF('Fatores de Emissão'!$B$31:$B$75, $C184, 'Fatores de Emissão'!$R$31:$R$75)*D184)</f>
        <v/>
      </c>
      <c r="L184" s="175"/>
    </row>
    <row r="185" spans="1:12" hidden="1" outlineLevel="2" x14ac:dyDescent="0.35">
      <c r="A185" s="192"/>
      <c r="B185" s="193"/>
      <c r="C185" s="194"/>
      <c r="D185" s="490"/>
      <c r="E185" s="492" t="str">
        <f>IF(C185="","",VLOOKUP(C185,FACE!$B$47:$D$92,3,FALSE))</f>
        <v/>
      </c>
      <c r="F185" s="956" t="str">
        <f>IFERROR(VLOOKUP(C185,FACE!$B$47:$H$82,5,FALSE)+VLOOKUP(C185,FACE!$B$47:$H$82,6,FALSE)*'Fatores de Emissão'!E375+VLOOKUP(C185,FACE!$B$47:$H$82,7,FALSE)*'Fatores de Emissão'!E376,"")</f>
        <v/>
      </c>
      <c r="G185" s="956" t="str">
        <f>IFERROR(VLOOKUP(C185,FACE!$B$84:$H$92,5,FALSE)+VLOOKUP(C185,FACE!$B$84:$H$92,6,FALSE)*'Fatores de Emissão'!F375+VLOOKUP(C185,FACE!$B$84:$H$92,7,FALSE)*'Fatores de Emissão'!F376,"")</f>
        <v/>
      </c>
      <c r="H185" s="802" t="str">
        <f t="shared" si="6"/>
        <v/>
      </c>
      <c r="I185" s="802" t="str">
        <f t="shared" si="7"/>
        <v/>
      </c>
      <c r="J185" s="1022" t="str">
        <f>IF(D185="","",SUMIF('Fatores de Emissão'!$B$31:$B$75, $C185, 'Fatores de Emissão'!$R$31:$R$75)*D185)</f>
        <v/>
      </c>
      <c r="L185" s="175"/>
    </row>
    <row r="186" spans="1:12" hidden="1" outlineLevel="2" x14ac:dyDescent="0.35">
      <c r="A186" s="192"/>
      <c r="B186" s="193"/>
      <c r="C186" s="194"/>
      <c r="D186" s="490"/>
      <c r="E186" s="492" t="str">
        <f>IF(C186="","",VLOOKUP(C186,FACE!$B$47:$D$92,3,FALSE))</f>
        <v/>
      </c>
      <c r="F186" s="956" t="str">
        <f>IFERROR(VLOOKUP(C186,FACE!$B$47:$H$82,5,FALSE)+VLOOKUP(C186,FACE!$B$47:$H$82,6,FALSE)*'Fatores de Emissão'!E376+VLOOKUP(C186,FACE!$B$47:$H$82,7,FALSE)*'Fatores de Emissão'!E377,"")</f>
        <v/>
      </c>
      <c r="G186" s="956" t="str">
        <f>IFERROR(VLOOKUP(C186,FACE!$B$84:$H$92,5,FALSE)+VLOOKUP(C186,FACE!$B$84:$H$92,6,FALSE)*'Fatores de Emissão'!F376+VLOOKUP(C186,FACE!$B$84:$H$92,7,FALSE)*'Fatores de Emissão'!F377,"")</f>
        <v/>
      </c>
      <c r="H186" s="802" t="str">
        <f t="shared" si="6"/>
        <v/>
      </c>
      <c r="I186" s="802" t="str">
        <f t="shared" si="7"/>
        <v/>
      </c>
      <c r="J186" s="1022" t="str">
        <f>IF(D186="","",SUMIF('Fatores de Emissão'!$B$31:$B$75, $C186, 'Fatores de Emissão'!$R$31:$R$75)*D186)</f>
        <v/>
      </c>
      <c r="L186" s="175"/>
    </row>
    <row r="187" spans="1:12" hidden="1" outlineLevel="2" x14ac:dyDescent="0.35">
      <c r="A187" s="192"/>
      <c r="B187" s="193"/>
      <c r="C187" s="194"/>
      <c r="D187" s="490"/>
      <c r="E187" s="492" t="str">
        <f>IF(C187="","",VLOOKUP(C187,FACE!$B$47:$D$92,3,FALSE))</f>
        <v/>
      </c>
      <c r="F187" s="956" t="str">
        <f>IFERROR(VLOOKUP(C187,FACE!$B$47:$H$82,5,FALSE)+VLOOKUP(C187,FACE!$B$47:$H$82,6,FALSE)*'Fatores de Emissão'!E377+VLOOKUP(C187,FACE!$B$47:$H$82,7,FALSE)*'Fatores de Emissão'!E378,"")</f>
        <v/>
      </c>
      <c r="G187" s="956" t="str">
        <f>IFERROR(VLOOKUP(C187,FACE!$B$84:$H$92,5,FALSE)+VLOOKUP(C187,FACE!$B$84:$H$92,6,FALSE)*'Fatores de Emissão'!F377+VLOOKUP(C187,FACE!$B$84:$H$92,7,FALSE)*'Fatores de Emissão'!F378,"")</f>
        <v/>
      </c>
      <c r="H187" s="802" t="str">
        <f t="shared" si="6"/>
        <v/>
      </c>
      <c r="I187" s="802" t="str">
        <f t="shared" si="7"/>
        <v/>
      </c>
      <c r="J187" s="1022" t="str">
        <f>IF(D187="","",SUMIF('Fatores de Emissão'!$B$31:$B$75, $C187, 'Fatores de Emissão'!$R$31:$R$75)*D187)</f>
        <v/>
      </c>
      <c r="L187" s="175"/>
    </row>
    <row r="188" spans="1:12" hidden="1" outlineLevel="2" x14ac:dyDescent="0.35">
      <c r="A188" s="192"/>
      <c r="B188" s="193"/>
      <c r="C188" s="194"/>
      <c r="D188" s="490"/>
      <c r="E188" s="492" t="str">
        <f>IF(C188="","",VLOOKUP(C188,FACE!$B$47:$D$92,3,FALSE))</f>
        <v/>
      </c>
      <c r="F188" s="956" t="str">
        <f>IFERROR(VLOOKUP(C188,FACE!$B$47:$H$82,5,FALSE)+VLOOKUP(C188,FACE!$B$47:$H$82,6,FALSE)*'Fatores de Emissão'!E378+VLOOKUP(C188,FACE!$B$47:$H$82,7,FALSE)*'Fatores de Emissão'!E379,"")</f>
        <v/>
      </c>
      <c r="G188" s="956" t="str">
        <f>IFERROR(VLOOKUP(C188,FACE!$B$84:$H$92,5,FALSE)+VLOOKUP(C188,FACE!$B$84:$H$92,6,FALSE)*'Fatores de Emissão'!F378+VLOOKUP(C188,FACE!$B$84:$H$92,7,FALSE)*'Fatores de Emissão'!F379,"")</f>
        <v/>
      </c>
      <c r="H188" s="802" t="str">
        <f t="shared" si="6"/>
        <v/>
      </c>
      <c r="I188" s="802" t="str">
        <f t="shared" si="7"/>
        <v/>
      </c>
      <c r="J188" s="1022" t="str">
        <f>IF(D188="","",SUMIF('Fatores de Emissão'!$B$31:$B$75, $C188, 'Fatores de Emissão'!$R$31:$R$75)*D188)</f>
        <v/>
      </c>
      <c r="L188" s="175"/>
    </row>
    <row r="189" spans="1:12" hidden="1" outlineLevel="2" x14ac:dyDescent="0.35">
      <c r="A189" s="192"/>
      <c r="B189" s="193"/>
      <c r="C189" s="194"/>
      <c r="D189" s="490"/>
      <c r="E189" s="492" t="str">
        <f>IF(C189="","",VLOOKUP(C189,FACE!$B$47:$D$92,3,FALSE))</f>
        <v/>
      </c>
      <c r="F189" s="956" t="str">
        <f>IFERROR(VLOOKUP(C189,FACE!$B$47:$H$82,5,FALSE)+VLOOKUP(C189,FACE!$B$47:$H$82,6,FALSE)*'Fatores de Emissão'!E379+VLOOKUP(C189,FACE!$B$47:$H$82,7,FALSE)*'Fatores de Emissão'!E380,"")</f>
        <v/>
      </c>
      <c r="G189" s="956" t="str">
        <f>IFERROR(VLOOKUP(C189,FACE!$B$84:$H$92,5,FALSE)+VLOOKUP(C189,FACE!$B$84:$H$92,6,FALSE)*'Fatores de Emissão'!F379+VLOOKUP(C189,FACE!$B$84:$H$92,7,FALSE)*'Fatores de Emissão'!F380,"")</f>
        <v/>
      </c>
      <c r="H189" s="802" t="str">
        <f t="shared" si="6"/>
        <v/>
      </c>
      <c r="I189" s="802" t="str">
        <f t="shared" si="7"/>
        <v/>
      </c>
      <c r="J189" s="1022" t="str">
        <f>IF(D189="","",SUMIF('Fatores de Emissão'!$B$31:$B$75, $C189, 'Fatores de Emissão'!$R$31:$R$75)*D189)</f>
        <v/>
      </c>
      <c r="L189" s="175"/>
    </row>
    <row r="190" spans="1:12" hidden="1" outlineLevel="2" x14ac:dyDescent="0.35">
      <c r="A190" s="192"/>
      <c r="B190" s="193"/>
      <c r="C190" s="194"/>
      <c r="D190" s="490"/>
      <c r="E190" s="492" t="str">
        <f>IF(C190="","",VLOOKUP(C190,FACE!$B$47:$D$92,3,FALSE))</f>
        <v/>
      </c>
      <c r="F190" s="956" t="str">
        <f>IFERROR(VLOOKUP(C190,FACE!$B$47:$H$82,5,FALSE)+VLOOKUP(C190,FACE!$B$47:$H$82,6,FALSE)*'Fatores de Emissão'!E380+VLOOKUP(C190,FACE!$B$47:$H$82,7,FALSE)*'Fatores de Emissão'!E381,"")</f>
        <v/>
      </c>
      <c r="G190" s="956" t="str">
        <f>IFERROR(VLOOKUP(C190,FACE!$B$84:$H$92,5,FALSE)+VLOOKUP(C190,FACE!$B$84:$H$92,6,FALSE)*'Fatores de Emissão'!F380+VLOOKUP(C190,FACE!$B$84:$H$92,7,FALSE)*'Fatores de Emissão'!F381,"")</f>
        <v/>
      </c>
      <c r="H190" s="802" t="str">
        <f t="shared" si="6"/>
        <v/>
      </c>
      <c r="I190" s="802" t="str">
        <f t="shared" si="7"/>
        <v/>
      </c>
      <c r="J190" s="1022" t="str">
        <f>IF(D190="","",SUMIF('Fatores de Emissão'!$B$31:$B$75, $C190, 'Fatores de Emissão'!$R$31:$R$75)*D190)</f>
        <v/>
      </c>
      <c r="L190" s="175"/>
    </row>
    <row r="191" spans="1:12" hidden="1" outlineLevel="2" x14ac:dyDescent="0.35">
      <c r="A191" s="192"/>
      <c r="B191" s="193"/>
      <c r="C191" s="194"/>
      <c r="D191" s="490"/>
      <c r="E191" s="492" t="str">
        <f>IF(C191="","",VLOOKUP(C191,FACE!$B$47:$D$92,3,FALSE))</f>
        <v/>
      </c>
      <c r="F191" s="956" t="str">
        <f>IFERROR(VLOOKUP(C191,FACE!$B$47:$H$82,5,FALSE)+VLOOKUP(C191,FACE!$B$47:$H$82,6,FALSE)*'Fatores de Emissão'!E381+VLOOKUP(C191,FACE!$B$47:$H$82,7,FALSE)*'Fatores de Emissão'!E382,"")</f>
        <v/>
      </c>
      <c r="G191" s="956" t="str">
        <f>IFERROR(VLOOKUP(C191,FACE!$B$84:$H$92,5,FALSE)+VLOOKUP(C191,FACE!$B$84:$H$92,6,FALSE)*'Fatores de Emissão'!F381+VLOOKUP(C191,FACE!$B$84:$H$92,7,FALSE)*'Fatores de Emissão'!F382,"")</f>
        <v/>
      </c>
      <c r="H191" s="802" t="str">
        <f t="shared" si="6"/>
        <v/>
      </c>
      <c r="I191" s="802" t="str">
        <f t="shared" si="7"/>
        <v/>
      </c>
      <c r="J191" s="1022" t="str">
        <f>IF(D191="","",SUMIF('Fatores de Emissão'!$B$31:$B$75, $C191, 'Fatores de Emissão'!$R$31:$R$75)*D191)</f>
        <v/>
      </c>
      <c r="L191" s="175"/>
    </row>
    <row r="192" spans="1:12" hidden="1" outlineLevel="2" x14ac:dyDescent="0.35">
      <c r="A192" s="192"/>
      <c r="B192" s="193"/>
      <c r="C192" s="194"/>
      <c r="D192" s="490"/>
      <c r="E192" s="492" t="str">
        <f>IF(C192="","",VLOOKUP(C192,FACE!$B$47:$D$92,3,FALSE))</f>
        <v/>
      </c>
      <c r="F192" s="956" t="str">
        <f>IFERROR(VLOOKUP(C192,FACE!$B$47:$H$82,5,FALSE)+VLOOKUP(C192,FACE!$B$47:$H$82,6,FALSE)*'Fatores de Emissão'!E382+VLOOKUP(C192,FACE!$B$47:$H$82,7,FALSE)*'Fatores de Emissão'!E383,"")</f>
        <v/>
      </c>
      <c r="G192" s="956" t="str">
        <f>IFERROR(VLOOKUP(C192,FACE!$B$84:$H$92,5,FALSE)+VLOOKUP(C192,FACE!$B$84:$H$92,6,FALSE)*'Fatores de Emissão'!F382+VLOOKUP(C192,FACE!$B$84:$H$92,7,FALSE)*'Fatores de Emissão'!F383,"")</f>
        <v/>
      </c>
      <c r="H192" s="802" t="str">
        <f t="shared" si="6"/>
        <v/>
      </c>
      <c r="I192" s="802" t="str">
        <f t="shared" si="7"/>
        <v/>
      </c>
      <c r="J192" s="1022" t="str">
        <f>IF(D192="","",SUMIF('Fatores de Emissão'!$B$31:$B$75, $C192, 'Fatores de Emissão'!$R$31:$R$75)*D192)</f>
        <v/>
      </c>
      <c r="L192" s="175"/>
    </row>
    <row r="193" spans="1:12" hidden="1" outlineLevel="2" x14ac:dyDescent="0.35">
      <c r="A193" s="192"/>
      <c r="B193" s="193"/>
      <c r="C193" s="194"/>
      <c r="D193" s="490"/>
      <c r="E193" s="492" t="str">
        <f>IF(C193="","",VLOOKUP(C193,FACE!$B$47:$D$92,3,FALSE))</f>
        <v/>
      </c>
      <c r="F193" s="956" t="str">
        <f>IFERROR(VLOOKUP(C193,FACE!$B$47:$H$82,5,FALSE)+VLOOKUP(C193,FACE!$B$47:$H$82,6,FALSE)*'Fatores de Emissão'!E383+VLOOKUP(C193,FACE!$B$47:$H$82,7,FALSE)*'Fatores de Emissão'!E384,"")</f>
        <v/>
      </c>
      <c r="G193" s="493" t="str">
        <f>IFERROR(VLOOKUP(C193,FACE!$B$84:$H$92,5,FALSE)+VLOOKUP(C193,FACE!$B$84:$H$92,6,FALSE)*'Fatores de Emissão'!F383+VLOOKUP(C193,FACE!$B$84:$H$92,7,FALSE)*'Fatores de Emissão'!F384,"")</f>
        <v/>
      </c>
      <c r="H193" s="802" t="str">
        <f t="shared" si="4"/>
        <v/>
      </c>
      <c r="I193" s="802" t="str">
        <f t="shared" si="5"/>
        <v/>
      </c>
      <c r="J193" s="1022" t="str">
        <f>IF(D193="","",SUMIF('Fatores de Emissão'!$B$31:$B$75, $C193, 'Fatores de Emissão'!$R$31:$R$75)*D193)</f>
        <v/>
      </c>
      <c r="L193" s="175"/>
    </row>
    <row r="194" spans="1:12" hidden="1" outlineLevel="2" x14ac:dyDescent="0.35">
      <c r="A194" s="192"/>
      <c r="B194" s="193"/>
      <c r="C194" s="194"/>
      <c r="D194" s="490"/>
      <c r="E194" s="492" t="str">
        <f>IF(C194="","",VLOOKUP(C194,FACE!$B$47:$D$92,3,FALSE))</f>
        <v/>
      </c>
      <c r="F194" s="956" t="str">
        <f>IFERROR(VLOOKUP(C194,FACE!$B$47:$H$82,5,FALSE)+VLOOKUP(C194,FACE!$B$47:$H$82,6,FALSE)*'Fatores de Emissão'!E384+VLOOKUP(C194,FACE!$B$47:$H$82,7,FALSE)*'Fatores de Emissão'!E385,"")</f>
        <v/>
      </c>
      <c r="G194" s="493" t="str">
        <f>IFERROR(VLOOKUP(C194,FACE!$B$84:$H$92,5,FALSE)+VLOOKUP(C194,FACE!$B$84:$H$92,6,FALSE)*'Fatores de Emissão'!F384+VLOOKUP(C194,FACE!$B$84:$H$92,7,FALSE)*'Fatores de Emissão'!F385,"")</f>
        <v/>
      </c>
      <c r="H194" s="802" t="str">
        <f t="shared" si="4"/>
        <v/>
      </c>
      <c r="I194" s="802" t="str">
        <f t="shared" si="5"/>
        <v/>
      </c>
      <c r="J194" s="1022" t="str">
        <f>IF(D194="","",SUMIF('Fatores de Emissão'!$B$31:$B$75, $C194, 'Fatores de Emissão'!$R$31:$R$75)*D194)</f>
        <v/>
      </c>
      <c r="L194" s="175"/>
    </row>
    <row r="195" spans="1:12" hidden="1" outlineLevel="2" x14ac:dyDescent="0.35">
      <c r="A195" s="192"/>
      <c r="B195" s="193"/>
      <c r="C195" s="194"/>
      <c r="D195" s="490"/>
      <c r="E195" s="492" t="str">
        <f>IF(C195="","",VLOOKUP(C195,FACE!$B$47:$D$92,3,FALSE))</f>
        <v/>
      </c>
      <c r="F195" s="956" t="str">
        <f>IFERROR(VLOOKUP(C195,FACE!$B$47:$H$82,5,FALSE)+VLOOKUP(C195,FACE!$B$47:$H$82,6,FALSE)*'Fatores de Emissão'!E385+VLOOKUP(C195,FACE!$B$47:$H$82,7,FALSE)*'Fatores de Emissão'!E386,"")</f>
        <v/>
      </c>
      <c r="G195" s="493" t="str">
        <f>IFERROR(VLOOKUP(C195,FACE!$B$84:$H$92,5,FALSE)+VLOOKUP(C195,FACE!$B$84:$H$92,6,FALSE)*'Fatores de Emissão'!F385+VLOOKUP(C195,FACE!$B$84:$H$92,7,FALSE)*'Fatores de Emissão'!F386,"")</f>
        <v/>
      </c>
      <c r="H195" s="802" t="str">
        <f t="shared" si="4"/>
        <v/>
      </c>
      <c r="I195" s="802" t="str">
        <f t="shared" si="5"/>
        <v/>
      </c>
      <c r="J195" s="1022" t="str">
        <f>IF(D195="","",SUMIF('Fatores de Emissão'!$B$31:$B$75, $C195, 'Fatores de Emissão'!$R$31:$R$75)*D195)</f>
        <v/>
      </c>
      <c r="L195" s="175"/>
    </row>
    <row r="196" spans="1:12" hidden="1" outlineLevel="2" x14ac:dyDescent="0.35">
      <c r="A196" s="192"/>
      <c r="B196" s="193"/>
      <c r="C196" s="194"/>
      <c r="D196" s="490"/>
      <c r="E196" s="492" t="str">
        <f>IF(C196="","",VLOOKUP(C196,FACE!$B$47:$D$92,3,FALSE))</f>
        <v/>
      </c>
      <c r="F196" s="956" t="str">
        <f>IFERROR(VLOOKUP(C196,FACE!$B$47:$H$82,5,FALSE)+VLOOKUP(C196,FACE!$B$47:$H$82,6,FALSE)*'Fatores de Emissão'!E386+VLOOKUP(C196,FACE!$B$47:$H$82,7,FALSE)*'Fatores de Emissão'!E387,"")</f>
        <v/>
      </c>
      <c r="G196" s="493" t="str">
        <f>IFERROR(VLOOKUP(C196,FACE!$B$84:$H$92,5,FALSE)+VLOOKUP(C196,FACE!$B$84:$H$92,6,FALSE)*'Fatores de Emissão'!F386+VLOOKUP(C196,FACE!$B$84:$H$92,7,FALSE)*'Fatores de Emissão'!F387,"")</f>
        <v/>
      </c>
      <c r="H196" s="802" t="str">
        <f t="shared" si="4"/>
        <v/>
      </c>
      <c r="I196" s="802" t="str">
        <f t="shared" si="5"/>
        <v/>
      </c>
      <c r="J196" s="1022" t="str">
        <f>IF(D196="","",SUMIF('Fatores de Emissão'!$B$31:$B$75, $C196, 'Fatores de Emissão'!$R$31:$R$75)*D196)</f>
        <v/>
      </c>
      <c r="L196" s="175"/>
    </row>
    <row r="197" spans="1:12" hidden="1" outlineLevel="2" x14ac:dyDescent="0.35">
      <c r="A197" s="192"/>
      <c r="B197" s="193"/>
      <c r="C197" s="194"/>
      <c r="D197" s="490"/>
      <c r="E197" s="492" t="str">
        <f>IF(C197="","",VLOOKUP(C197,FACE!$B$47:$D$92,3,FALSE))</f>
        <v/>
      </c>
      <c r="F197" s="956" t="str">
        <f>IFERROR(VLOOKUP(C197,FACE!$B$47:$H$82,5,FALSE)+VLOOKUP(C197,FACE!$B$47:$H$82,6,FALSE)*'Fatores de Emissão'!E387+VLOOKUP(C197,FACE!$B$47:$H$82,7,FALSE)*'Fatores de Emissão'!E388,"")</f>
        <v/>
      </c>
      <c r="G197" s="493" t="str">
        <f>IFERROR(VLOOKUP(C197,FACE!$B$84:$H$92,5,FALSE)+VLOOKUP(C197,FACE!$B$84:$H$92,6,FALSE)*'Fatores de Emissão'!F387+VLOOKUP(C197,FACE!$B$84:$H$92,7,FALSE)*'Fatores de Emissão'!F388,"")</f>
        <v/>
      </c>
      <c r="H197" s="802" t="str">
        <f t="shared" si="4"/>
        <v/>
      </c>
      <c r="I197" s="802" t="str">
        <f t="shared" si="5"/>
        <v/>
      </c>
      <c r="J197" s="1022" t="str">
        <f>IF(D197="","",SUMIF('Fatores de Emissão'!$B$31:$B$75, $C197, 'Fatores de Emissão'!$R$31:$R$75)*D197)</f>
        <v/>
      </c>
      <c r="L197" s="175"/>
    </row>
    <row r="198" spans="1:12" hidden="1" outlineLevel="2" x14ac:dyDescent="0.35">
      <c r="A198" s="192"/>
      <c r="B198" s="193"/>
      <c r="C198" s="194"/>
      <c r="D198" s="490"/>
      <c r="E198" s="492" t="str">
        <f>IF(C198="","",VLOOKUP(C198,FACE!$B$47:$D$92,3,FALSE))</f>
        <v/>
      </c>
      <c r="F198" s="956" t="str">
        <f>IFERROR(VLOOKUP(C198,FACE!$B$47:$H$82,5,FALSE)+VLOOKUP(C198,FACE!$B$47:$H$82,6,FALSE)*'Fatores de Emissão'!E388+VLOOKUP(C198,FACE!$B$47:$H$82,7,FALSE)*'Fatores de Emissão'!E389,"")</f>
        <v/>
      </c>
      <c r="G198" s="493" t="str">
        <f>IFERROR(VLOOKUP(C198,FACE!$B$84:$H$92,5,FALSE)+VLOOKUP(C198,FACE!$B$84:$H$92,6,FALSE)*'Fatores de Emissão'!F388+VLOOKUP(C198,FACE!$B$84:$H$92,7,FALSE)*'Fatores de Emissão'!F389,"")</f>
        <v/>
      </c>
      <c r="H198" s="802" t="str">
        <f t="shared" si="4"/>
        <v/>
      </c>
      <c r="I198" s="802" t="str">
        <f t="shared" si="5"/>
        <v/>
      </c>
      <c r="J198" s="1022" t="str">
        <f>IF(D198="","",SUMIF('Fatores de Emissão'!$B$31:$B$75, $C198, 'Fatores de Emissão'!$R$31:$R$75)*D198)</f>
        <v/>
      </c>
      <c r="L198" s="175"/>
    </row>
    <row r="199" spans="1:12" hidden="1" outlineLevel="2" x14ac:dyDescent="0.35">
      <c r="A199" s="192"/>
      <c r="B199" s="193"/>
      <c r="C199" s="194"/>
      <c r="D199" s="490"/>
      <c r="E199" s="492" t="str">
        <f>IF(C199="","",VLOOKUP(C199,FACE!$B$47:$D$92,3,FALSE))</f>
        <v/>
      </c>
      <c r="F199" s="956" t="str">
        <f>IFERROR(VLOOKUP(C199,FACE!$B$47:$H$82,5,FALSE)+VLOOKUP(C199,FACE!$B$47:$H$82,6,FALSE)*'Fatores de Emissão'!E389+VLOOKUP(C199,FACE!$B$47:$H$82,7,FALSE)*'Fatores de Emissão'!E390,"")</f>
        <v/>
      </c>
      <c r="G199" s="493" t="str">
        <f>IFERROR(VLOOKUP(C199,FACE!$B$84:$H$92,5,FALSE)+VLOOKUP(C199,FACE!$B$84:$H$92,6,FALSE)*'Fatores de Emissão'!F389+VLOOKUP(C199,FACE!$B$84:$H$92,7,FALSE)*'Fatores de Emissão'!F390,"")</f>
        <v/>
      </c>
      <c r="H199" s="802" t="str">
        <f t="shared" si="4"/>
        <v/>
      </c>
      <c r="I199" s="802" t="str">
        <f t="shared" si="5"/>
        <v/>
      </c>
      <c r="J199" s="1022" t="str">
        <f>IF(D199="","",SUMIF('Fatores de Emissão'!$B$31:$B$75, $C199, 'Fatores de Emissão'!$R$31:$R$75)*D199)</f>
        <v/>
      </c>
      <c r="L199" s="175"/>
    </row>
    <row r="200" spans="1:12" hidden="1" outlineLevel="2" x14ac:dyDescent="0.35">
      <c r="A200" s="192"/>
      <c r="B200" s="193"/>
      <c r="C200" s="194"/>
      <c r="D200" s="490"/>
      <c r="E200" s="492" t="str">
        <f>IF(C200="","",VLOOKUP(C200,FACE!$B$47:$D$92,3,FALSE))</f>
        <v/>
      </c>
      <c r="F200" s="956" t="str">
        <f>IFERROR(VLOOKUP(C200,FACE!$B$47:$H$82,5,FALSE)+VLOOKUP(C200,FACE!$B$47:$H$82,6,FALSE)*'Fatores de Emissão'!E390+VLOOKUP(C200,FACE!$B$47:$H$82,7,FALSE)*'Fatores de Emissão'!E391,"")</f>
        <v/>
      </c>
      <c r="G200" s="493" t="str">
        <f>IFERROR(VLOOKUP(C200,FACE!$B$84:$H$92,5,FALSE)+VLOOKUP(C200,FACE!$B$84:$H$92,6,FALSE)*'Fatores de Emissão'!F390+VLOOKUP(C200,FACE!$B$84:$H$92,7,FALSE)*'Fatores de Emissão'!F391,"")</f>
        <v/>
      </c>
      <c r="H200" s="802" t="str">
        <f t="shared" si="4"/>
        <v/>
      </c>
      <c r="I200" s="802" t="str">
        <f t="shared" si="5"/>
        <v/>
      </c>
      <c r="J200" s="1022" t="str">
        <f>IF(D200="","",SUMIF('Fatores de Emissão'!$B$31:$B$75, $C200, 'Fatores de Emissão'!$R$31:$R$75)*D200)</f>
        <v/>
      </c>
      <c r="L200" s="175"/>
    </row>
    <row r="201" spans="1:12" hidden="1" outlineLevel="2" x14ac:dyDescent="0.35">
      <c r="A201" s="192"/>
      <c r="B201" s="193"/>
      <c r="C201" s="194"/>
      <c r="D201" s="490"/>
      <c r="E201" s="492" t="str">
        <f>IF(C201="","",VLOOKUP(C201,FACE!$B$47:$D$92,3,FALSE))</f>
        <v/>
      </c>
      <c r="F201" s="956" t="str">
        <f>IFERROR(VLOOKUP(C201,FACE!$B$47:$H$82,5,FALSE)+VLOOKUP(C201,FACE!$B$47:$H$82,6,FALSE)*'Fatores de Emissão'!E391+VLOOKUP(C201,FACE!$B$47:$H$82,7,FALSE)*'Fatores de Emissão'!E392,"")</f>
        <v/>
      </c>
      <c r="G201" s="493" t="str">
        <f>IFERROR(VLOOKUP(C201,FACE!$B$84:$H$92,5,FALSE)+VLOOKUP(C201,FACE!$B$84:$H$92,6,FALSE)*'Fatores de Emissão'!F391+VLOOKUP(C201,FACE!$B$84:$H$92,7,FALSE)*'Fatores de Emissão'!F392,"")</f>
        <v/>
      </c>
      <c r="H201" s="802" t="str">
        <f t="shared" si="4"/>
        <v/>
      </c>
      <c r="I201" s="802" t="str">
        <f t="shared" si="5"/>
        <v/>
      </c>
      <c r="J201" s="1022" t="str">
        <f>IF(D201="","",SUMIF('Fatores de Emissão'!$B$31:$B$75, $C201, 'Fatores de Emissão'!$R$31:$R$75)*D201)</f>
        <v/>
      </c>
      <c r="L201" s="175"/>
    </row>
    <row r="202" spans="1:12" hidden="1" outlineLevel="2" x14ac:dyDescent="0.35">
      <c r="A202" s="192"/>
      <c r="B202" s="193"/>
      <c r="C202" s="194"/>
      <c r="D202" s="490"/>
      <c r="E202" s="492" t="str">
        <f>IF(C202="","",VLOOKUP(C202,FACE!$B$47:$D$92,3,FALSE))</f>
        <v/>
      </c>
      <c r="F202" s="956" t="str">
        <f>IFERROR(VLOOKUP(C202,FACE!$B$47:$H$82,5,FALSE)+VLOOKUP(C202,FACE!$B$47:$H$82,6,FALSE)*'Fatores de Emissão'!E392+VLOOKUP(C202,FACE!$B$47:$H$82,7,FALSE)*'Fatores de Emissão'!E393,"")</f>
        <v/>
      </c>
      <c r="G202" s="493" t="str">
        <f>IFERROR(VLOOKUP(C202,FACE!$B$84:$H$92,5,FALSE)+VLOOKUP(C202,FACE!$B$84:$H$92,6,FALSE)*'Fatores de Emissão'!F392+VLOOKUP(C202,FACE!$B$84:$H$92,7,FALSE)*'Fatores de Emissão'!F393,"")</f>
        <v/>
      </c>
      <c r="H202" s="802" t="str">
        <f t="shared" si="4"/>
        <v/>
      </c>
      <c r="I202" s="802" t="str">
        <f t="shared" si="5"/>
        <v/>
      </c>
      <c r="J202" s="1022" t="str">
        <f>IF(D202="","",SUMIF('Fatores de Emissão'!$B$31:$B$75, $C202, 'Fatores de Emissão'!$R$31:$R$75)*D202)</f>
        <v/>
      </c>
      <c r="L202" s="175"/>
    </row>
    <row r="203" spans="1:12" hidden="1" outlineLevel="2" x14ac:dyDescent="0.35">
      <c r="A203" s="192"/>
      <c r="B203" s="193"/>
      <c r="C203" s="194"/>
      <c r="D203" s="490"/>
      <c r="E203" s="492" t="str">
        <f>IF(C203="","",VLOOKUP(C203,FACE!$B$47:$D$92,3,FALSE))</f>
        <v/>
      </c>
      <c r="F203" s="956" t="str">
        <f>IFERROR(VLOOKUP(C203,FACE!$B$47:$H$82,5,FALSE)+VLOOKUP(C203,FACE!$B$47:$H$82,6,FALSE)*'Fatores de Emissão'!E393+VLOOKUP(C203,FACE!$B$47:$H$82,7,FALSE)*'Fatores de Emissão'!E394,"")</f>
        <v/>
      </c>
      <c r="G203" s="493" t="str">
        <f>IFERROR(VLOOKUP(C203,FACE!$B$84:$H$92,5,FALSE)+VLOOKUP(C203,FACE!$B$84:$H$92,6,FALSE)*'Fatores de Emissão'!F393+VLOOKUP(C203,FACE!$B$84:$H$92,7,FALSE)*'Fatores de Emissão'!F394,"")</f>
        <v/>
      </c>
      <c r="H203" s="802" t="str">
        <f t="shared" si="4"/>
        <v/>
      </c>
      <c r="I203" s="802" t="str">
        <f t="shared" si="5"/>
        <v/>
      </c>
      <c r="J203" s="1022" t="str">
        <f>IF(D203="","",SUMIF('Fatores de Emissão'!$B$31:$B$75, $C203, 'Fatores de Emissão'!$R$31:$R$75)*D203)</f>
        <v/>
      </c>
      <c r="L203" s="175"/>
    </row>
    <row r="204" spans="1:12" hidden="1" outlineLevel="2" x14ac:dyDescent="0.35">
      <c r="A204" s="192"/>
      <c r="B204" s="193"/>
      <c r="C204" s="194"/>
      <c r="D204" s="490"/>
      <c r="E204" s="492" t="str">
        <f>IF(C204="","",VLOOKUP(C204,FACE!$B$47:$D$92,3,FALSE))</f>
        <v/>
      </c>
      <c r="F204" s="956" t="str">
        <f>IFERROR(VLOOKUP(C204,FACE!$B$47:$H$82,5,FALSE)+VLOOKUP(C204,FACE!$B$47:$H$82,6,FALSE)*'Fatores de Emissão'!E394+VLOOKUP(C204,FACE!$B$47:$H$82,7,FALSE)*'Fatores de Emissão'!E395,"")</f>
        <v/>
      </c>
      <c r="G204" s="493" t="str">
        <f>IFERROR(VLOOKUP(C204,FACE!$B$84:$H$92,5,FALSE)+VLOOKUP(C204,FACE!$B$84:$H$92,6,FALSE)*'Fatores de Emissão'!F394+VLOOKUP(C204,FACE!$B$84:$H$92,7,FALSE)*'Fatores de Emissão'!F395,"")</f>
        <v/>
      </c>
      <c r="H204" s="802" t="str">
        <f t="shared" si="4"/>
        <v/>
      </c>
      <c r="I204" s="802" t="str">
        <f t="shared" si="5"/>
        <v/>
      </c>
      <c r="J204" s="1022" t="str">
        <f>IF(D204="","",SUMIF('Fatores de Emissão'!$B$31:$B$75, $C204, 'Fatores de Emissão'!$R$31:$R$75)*D204)</f>
        <v/>
      </c>
      <c r="L204" s="175"/>
    </row>
    <row r="205" spans="1:12" hidden="1" outlineLevel="2" x14ac:dyDescent="0.35">
      <c r="A205" s="192"/>
      <c r="B205" s="193"/>
      <c r="C205" s="194"/>
      <c r="D205" s="490"/>
      <c r="E205" s="492" t="str">
        <f>IF(C205="","",VLOOKUP(C205,FACE!$B$47:$D$92,3,FALSE))</f>
        <v/>
      </c>
      <c r="F205" s="956" t="str">
        <f>IFERROR(VLOOKUP(C205,FACE!$B$47:$H$82,5,FALSE)+VLOOKUP(C205,FACE!$B$47:$H$82,6,FALSE)*'Fatores de Emissão'!E395+VLOOKUP(C205,FACE!$B$47:$H$82,7,FALSE)*'Fatores de Emissão'!E396,"")</f>
        <v/>
      </c>
      <c r="G205" s="493" t="str">
        <f>IFERROR(VLOOKUP(C205,FACE!$B$84:$H$92,5,FALSE)+VLOOKUP(C205,FACE!$B$84:$H$92,6,FALSE)*'Fatores de Emissão'!F395+VLOOKUP(C205,FACE!$B$84:$H$92,7,FALSE)*'Fatores de Emissão'!F396,"")</f>
        <v/>
      </c>
      <c r="H205" s="802" t="str">
        <f t="shared" si="4"/>
        <v/>
      </c>
      <c r="I205" s="802" t="str">
        <f t="shared" si="5"/>
        <v/>
      </c>
      <c r="J205" s="1022" t="str">
        <f>IF(D205="","",SUMIF('Fatores de Emissão'!$B$31:$B$75, $C205, 'Fatores de Emissão'!$R$31:$R$75)*D205)</f>
        <v/>
      </c>
      <c r="L205" s="175"/>
    </row>
    <row r="206" spans="1:12" hidden="1" outlineLevel="2" x14ac:dyDescent="0.35">
      <c r="A206" s="192"/>
      <c r="B206" s="193"/>
      <c r="C206" s="194"/>
      <c r="D206" s="490"/>
      <c r="E206" s="492" t="str">
        <f>IF(C206="","",VLOOKUP(C206,FACE!$B$47:$D$92,3,FALSE))</f>
        <v/>
      </c>
      <c r="F206" s="956" t="str">
        <f>IFERROR(VLOOKUP(C206,FACE!$B$47:$H$82,5,FALSE)+VLOOKUP(C206,FACE!$B$47:$H$82,6,FALSE)*'Fatores de Emissão'!E396+VLOOKUP(C206,FACE!$B$47:$H$82,7,FALSE)*'Fatores de Emissão'!E397,"")</f>
        <v/>
      </c>
      <c r="G206" s="493" t="str">
        <f>IFERROR(VLOOKUP(C206,FACE!$B$84:$H$92,5,FALSE)+VLOOKUP(C206,FACE!$B$84:$H$92,6,FALSE)*'Fatores de Emissão'!F396+VLOOKUP(C206,FACE!$B$84:$H$92,7,FALSE)*'Fatores de Emissão'!F397,"")</f>
        <v/>
      </c>
      <c r="H206" s="802" t="str">
        <f t="shared" si="4"/>
        <v/>
      </c>
      <c r="I206" s="802" t="str">
        <f t="shared" si="5"/>
        <v/>
      </c>
      <c r="J206" s="1022" t="str">
        <f>IF(D206="","",SUMIF('Fatores de Emissão'!$B$31:$B$75, $C206, 'Fatores de Emissão'!$R$31:$R$75)*D206)</f>
        <v/>
      </c>
      <c r="L206" s="175"/>
    </row>
    <row r="207" spans="1:12" hidden="1" outlineLevel="2" x14ac:dyDescent="0.35">
      <c r="A207" s="192"/>
      <c r="B207" s="193"/>
      <c r="C207" s="194"/>
      <c r="D207" s="490"/>
      <c r="E207" s="492" t="str">
        <f>IF(C207="","",VLOOKUP(C207,FACE!$B$47:$D$92,3,FALSE))</f>
        <v/>
      </c>
      <c r="F207" s="956" t="str">
        <f>IFERROR(VLOOKUP(C207,FACE!$B$47:$H$82,5,FALSE)+VLOOKUP(C207,FACE!$B$47:$H$82,6,FALSE)*'Fatores de Emissão'!E397+VLOOKUP(C207,FACE!$B$47:$H$82,7,FALSE)*'Fatores de Emissão'!E398,"")</f>
        <v/>
      </c>
      <c r="G207" s="493" t="str">
        <f>IFERROR(VLOOKUP(C207,FACE!$B$84:$H$92,5,FALSE)+VLOOKUP(C207,FACE!$B$84:$H$92,6,FALSE)*'Fatores de Emissão'!F397+VLOOKUP(C207,FACE!$B$84:$H$92,7,FALSE)*'Fatores de Emissão'!F398,"")</f>
        <v/>
      </c>
      <c r="H207" s="802" t="str">
        <f t="shared" si="4"/>
        <v/>
      </c>
      <c r="I207" s="802" t="str">
        <f t="shared" si="5"/>
        <v/>
      </c>
      <c r="J207" s="1022" t="str">
        <f>IF(D207="","",SUMIF('Fatores de Emissão'!$B$31:$B$75, $C207, 'Fatores de Emissão'!$R$31:$R$75)*D207)</f>
        <v/>
      </c>
      <c r="L207" s="175"/>
    </row>
    <row r="208" spans="1:12" hidden="1" outlineLevel="2" x14ac:dyDescent="0.35">
      <c r="A208" s="192"/>
      <c r="B208" s="193"/>
      <c r="C208" s="194"/>
      <c r="D208" s="490"/>
      <c r="E208" s="492" t="str">
        <f>IF(C208="","",VLOOKUP(C208,FACE!$B$47:$D$92,3,FALSE))</f>
        <v/>
      </c>
      <c r="F208" s="956" t="str">
        <f>IFERROR(VLOOKUP(C208,FACE!$B$47:$H$82,5,FALSE)+VLOOKUP(C208,FACE!$B$47:$H$82,6,FALSE)*'Fatores de Emissão'!E398+VLOOKUP(C208,FACE!$B$47:$H$82,7,FALSE)*'Fatores de Emissão'!E399,"")</f>
        <v/>
      </c>
      <c r="G208" s="493" t="str">
        <f>IFERROR(VLOOKUP(C208,FACE!$B$84:$H$92,5,FALSE)+VLOOKUP(C208,FACE!$B$84:$H$92,6,FALSE)*'Fatores de Emissão'!F398+VLOOKUP(C208,FACE!$B$84:$H$92,7,FALSE)*'Fatores de Emissão'!F399,"")</f>
        <v/>
      </c>
      <c r="H208" s="802" t="str">
        <f t="shared" si="4"/>
        <v/>
      </c>
      <c r="I208" s="802" t="str">
        <f t="shared" si="5"/>
        <v/>
      </c>
      <c r="J208" s="1022" t="str">
        <f>IF(D208="","",SUMIF('Fatores de Emissão'!$B$31:$B$75, $C208, 'Fatores de Emissão'!$R$31:$R$75)*D208)</f>
        <v/>
      </c>
      <c r="L208" s="175"/>
    </row>
    <row r="209" spans="1:12" hidden="1" outlineLevel="2" x14ac:dyDescent="0.35">
      <c r="A209" s="192"/>
      <c r="B209" s="193"/>
      <c r="C209" s="194"/>
      <c r="D209" s="490"/>
      <c r="E209" s="492" t="str">
        <f>IF(C209="","",VLOOKUP(C209,FACE!$B$47:$D$92,3,FALSE))</f>
        <v/>
      </c>
      <c r="F209" s="956" t="str">
        <f>IFERROR(VLOOKUP(C209,FACE!$B$47:$H$82,5,FALSE)+VLOOKUP(C209,FACE!$B$47:$H$82,6,FALSE)*'Fatores de Emissão'!E399+VLOOKUP(C209,FACE!$B$47:$H$82,7,FALSE)*'Fatores de Emissão'!E400,"")</f>
        <v/>
      </c>
      <c r="G209" s="493" t="str">
        <f>IFERROR(VLOOKUP(C209,FACE!$B$84:$H$92,5,FALSE)+VLOOKUP(C209,FACE!$B$84:$H$92,6,FALSE)*'Fatores de Emissão'!F399+VLOOKUP(C209,FACE!$B$84:$H$92,7,FALSE)*'Fatores de Emissão'!F400,"")</f>
        <v/>
      </c>
      <c r="H209" s="802" t="str">
        <f t="shared" si="4"/>
        <v/>
      </c>
      <c r="I209" s="802" t="str">
        <f t="shared" si="5"/>
        <v/>
      </c>
      <c r="J209" s="1022" t="str">
        <f>IF(D209="","",SUMIF('Fatores de Emissão'!$B$31:$B$75, $C209, 'Fatores de Emissão'!$R$31:$R$75)*D209)</f>
        <v/>
      </c>
      <c r="L209" s="175"/>
    </row>
    <row r="210" spans="1:12" hidden="1" outlineLevel="2" x14ac:dyDescent="0.35">
      <c r="A210" s="192"/>
      <c r="B210" s="193"/>
      <c r="C210" s="194"/>
      <c r="D210" s="490"/>
      <c r="E210" s="492" t="str">
        <f>IF(C210="","",VLOOKUP(C210,FACE!$B$47:$D$92,3,FALSE))</f>
        <v/>
      </c>
      <c r="F210" s="956" t="str">
        <f>IFERROR(VLOOKUP(C210,FACE!$B$47:$H$82,5,FALSE)+VLOOKUP(C210,FACE!$B$47:$H$82,6,FALSE)*'Fatores de Emissão'!E400+VLOOKUP(C210,FACE!$B$47:$H$82,7,FALSE)*'Fatores de Emissão'!E401,"")</f>
        <v/>
      </c>
      <c r="G210" s="493" t="str">
        <f>IFERROR(VLOOKUP(C210,FACE!$B$84:$H$92,5,FALSE)+VLOOKUP(C210,FACE!$B$84:$H$92,6,FALSE)*'Fatores de Emissão'!F400+VLOOKUP(C210,FACE!$B$84:$H$92,7,FALSE)*'Fatores de Emissão'!F401,"")</f>
        <v/>
      </c>
      <c r="H210" s="802" t="str">
        <f t="shared" si="4"/>
        <v/>
      </c>
      <c r="I210" s="802" t="str">
        <f t="shared" si="5"/>
        <v/>
      </c>
      <c r="J210" s="1022" t="str">
        <f>IF(D210="","",SUMIF('Fatores de Emissão'!$B$31:$B$75, $C210, 'Fatores de Emissão'!$R$31:$R$75)*D210)</f>
        <v/>
      </c>
      <c r="L210" s="175"/>
    </row>
    <row r="211" spans="1:12" hidden="1" outlineLevel="2" x14ac:dyDescent="0.35">
      <c r="A211" s="192"/>
      <c r="B211" s="193"/>
      <c r="C211" s="194"/>
      <c r="D211" s="490"/>
      <c r="E211" s="492" t="str">
        <f>IF(C211="","",VLOOKUP(C211,FACE!$B$47:$D$92,3,FALSE))</f>
        <v/>
      </c>
      <c r="F211" s="956" t="str">
        <f>IFERROR(VLOOKUP(C211,FACE!$B$47:$H$82,5,FALSE)+VLOOKUP(C211,FACE!$B$47:$H$82,6,FALSE)*'Fatores de Emissão'!E401+VLOOKUP(C211,FACE!$B$47:$H$82,7,FALSE)*'Fatores de Emissão'!E402,"")</f>
        <v/>
      </c>
      <c r="G211" s="493" t="str">
        <f>IFERROR(VLOOKUP(C211,FACE!$B$84:$H$92,5,FALSE)+VLOOKUP(C211,FACE!$B$84:$H$92,6,FALSE)*'Fatores de Emissão'!F401+VLOOKUP(C211,FACE!$B$84:$H$92,7,FALSE)*'Fatores de Emissão'!F402,"")</f>
        <v/>
      </c>
      <c r="H211" s="802" t="str">
        <f t="shared" si="4"/>
        <v/>
      </c>
      <c r="I211" s="802" t="str">
        <f t="shared" si="5"/>
        <v/>
      </c>
      <c r="J211" s="1022" t="str">
        <f>IF(D211="","",SUMIF('Fatores de Emissão'!$B$31:$B$75, $C211, 'Fatores de Emissão'!$R$31:$R$75)*D211)</f>
        <v/>
      </c>
      <c r="L211" s="175"/>
    </row>
    <row r="212" spans="1:12" hidden="1" outlineLevel="2" x14ac:dyDescent="0.35">
      <c r="A212" s="192"/>
      <c r="B212" s="193"/>
      <c r="C212" s="194"/>
      <c r="D212" s="490"/>
      <c r="E212" s="492" t="str">
        <f>IF(C212="","",VLOOKUP(C212,FACE!$B$47:$D$92,3,FALSE))</f>
        <v/>
      </c>
      <c r="F212" s="956" t="str">
        <f>IFERROR(VLOOKUP(C212,FACE!$B$47:$H$82,5,FALSE)+VLOOKUP(C212,FACE!$B$47:$H$82,6,FALSE)*'Fatores de Emissão'!E402+VLOOKUP(C212,FACE!$B$47:$H$82,7,FALSE)*'Fatores de Emissão'!E403,"")</f>
        <v/>
      </c>
      <c r="G212" s="493" t="str">
        <f>IFERROR(VLOOKUP(C212,FACE!$B$84:$H$92,5,FALSE)+VLOOKUP(C212,FACE!$B$84:$H$92,6,FALSE)*'Fatores de Emissão'!F402+VLOOKUP(C212,FACE!$B$84:$H$92,7,FALSE)*'Fatores de Emissão'!F403,"")</f>
        <v/>
      </c>
      <c r="H212" s="802" t="str">
        <f t="shared" si="4"/>
        <v/>
      </c>
      <c r="I212" s="802" t="str">
        <f t="shared" si="5"/>
        <v/>
      </c>
      <c r="J212" s="1022" t="str">
        <f>IF(D212="","",SUMIF('Fatores de Emissão'!$B$31:$B$75, $C212, 'Fatores de Emissão'!$R$31:$R$75)*D212)</f>
        <v/>
      </c>
      <c r="L212" s="175"/>
    </row>
    <row r="213" spans="1:12" hidden="1" outlineLevel="2" x14ac:dyDescent="0.35">
      <c r="A213" s="192"/>
      <c r="B213" s="193"/>
      <c r="C213" s="194"/>
      <c r="D213" s="490"/>
      <c r="E213" s="492" t="str">
        <f>IF(C213="","",VLOOKUP(C213,FACE!$B$47:$D$92,3,FALSE))</f>
        <v/>
      </c>
      <c r="F213" s="956" t="str">
        <f>IFERROR(VLOOKUP(C213,FACE!$B$47:$H$82,5,FALSE)+VLOOKUP(C213,FACE!$B$47:$H$82,6,FALSE)*'Fatores de Emissão'!E403+VLOOKUP(C213,FACE!$B$47:$H$82,7,FALSE)*'Fatores de Emissão'!E404,"")</f>
        <v/>
      </c>
      <c r="G213" s="493" t="str">
        <f>IFERROR(VLOOKUP(C213,FACE!$B$84:$H$92,5,FALSE)+VLOOKUP(C213,FACE!$B$84:$H$92,6,FALSE)*'Fatores de Emissão'!F403+VLOOKUP(C213,FACE!$B$84:$H$92,7,FALSE)*'Fatores de Emissão'!F404,"")</f>
        <v/>
      </c>
      <c r="H213" s="802" t="str">
        <f t="shared" si="4"/>
        <v/>
      </c>
      <c r="I213" s="802" t="str">
        <f t="shared" si="5"/>
        <v/>
      </c>
      <c r="J213" s="1022" t="str">
        <f>IF(D213="","",SUMIF('Fatores de Emissão'!$B$31:$B$75, $C213, 'Fatores de Emissão'!$R$31:$R$75)*D213)</f>
        <v/>
      </c>
      <c r="L213" s="175"/>
    </row>
    <row r="214" spans="1:12" hidden="1" outlineLevel="2" x14ac:dyDescent="0.35">
      <c r="A214" s="192"/>
      <c r="B214" s="193"/>
      <c r="C214" s="194"/>
      <c r="D214" s="490"/>
      <c r="E214" s="492" t="str">
        <f>IF(C214="","",VLOOKUP(C214,FACE!$B$47:$D$92,3,FALSE))</f>
        <v/>
      </c>
      <c r="F214" s="956" t="str">
        <f>IFERROR(VLOOKUP(C214,FACE!$B$47:$H$82,5,FALSE)+VLOOKUP(C214,FACE!$B$47:$H$82,6,FALSE)*'Fatores de Emissão'!E404+VLOOKUP(C214,FACE!$B$47:$H$82,7,FALSE)*'Fatores de Emissão'!E405,"")</f>
        <v/>
      </c>
      <c r="G214" s="493" t="str">
        <f>IFERROR(VLOOKUP(C214,FACE!$B$84:$H$92,5,FALSE)+VLOOKUP(C214,FACE!$B$84:$H$92,6,FALSE)*'Fatores de Emissão'!F404+VLOOKUP(C214,FACE!$B$84:$H$92,7,FALSE)*'Fatores de Emissão'!F405,"")</f>
        <v/>
      </c>
      <c r="H214" s="802" t="str">
        <f t="shared" si="4"/>
        <v/>
      </c>
      <c r="I214" s="802" t="str">
        <f t="shared" si="5"/>
        <v/>
      </c>
      <c r="J214" s="1022" t="str">
        <f>IF(D214="","",SUMIF('Fatores de Emissão'!$B$31:$B$75, $C214, 'Fatores de Emissão'!$R$31:$R$75)*D214)</f>
        <v/>
      </c>
      <c r="L214" s="175"/>
    </row>
    <row r="215" spans="1:12" hidden="1" outlineLevel="2" x14ac:dyDescent="0.35">
      <c r="A215" s="192"/>
      <c r="B215" s="193"/>
      <c r="C215" s="194"/>
      <c r="D215" s="490"/>
      <c r="E215" s="492" t="str">
        <f>IF(C215="","",VLOOKUP(C215,FACE!$B$47:$D$92,3,FALSE))</f>
        <v/>
      </c>
      <c r="F215" s="956" t="str">
        <f>IFERROR(VLOOKUP(C215,FACE!$B$47:$H$82,5,FALSE)+VLOOKUP(C215,FACE!$B$47:$H$82,6,FALSE)*'Fatores de Emissão'!E405+VLOOKUP(C215,FACE!$B$47:$H$82,7,FALSE)*'Fatores de Emissão'!E406,"")</f>
        <v/>
      </c>
      <c r="G215" s="493" t="str">
        <f>IFERROR(VLOOKUP(C215,FACE!$B$84:$H$92,5,FALSE)+VLOOKUP(C215,FACE!$B$84:$H$92,6,FALSE)*'Fatores de Emissão'!F405+VLOOKUP(C215,FACE!$B$84:$H$92,7,FALSE)*'Fatores de Emissão'!F406,"")</f>
        <v/>
      </c>
      <c r="H215" s="802" t="str">
        <f t="shared" si="4"/>
        <v/>
      </c>
      <c r="I215" s="802" t="str">
        <f t="shared" si="5"/>
        <v/>
      </c>
      <c r="J215" s="1022" t="str">
        <f>IF(D215="","",SUMIF('Fatores de Emissão'!$B$31:$B$75, $C215, 'Fatores de Emissão'!$R$31:$R$75)*D215)</f>
        <v/>
      </c>
      <c r="L215" s="175"/>
    </row>
    <row r="216" spans="1:12" hidden="1" outlineLevel="2" x14ac:dyDescent="0.35">
      <c r="A216" s="192"/>
      <c r="B216" s="193"/>
      <c r="C216" s="194"/>
      <c r="D216" s="490"/>
      <c r="E216" s="492" t="str">
        <f>IF(C216="","",VLOOKUP(C216,FACE!$B$47:$D$92,3,FALSE))</f>
        <v/>
      </c>
      <c r="F216" s="956" t="str">
        <f>IFERROR(VLOOKUP(C216,FACE!$B$47:$H$82,5,FALSE)+VLOOKUP(C216,FACE!$B$47:$H$82,6,FALSE)*'Fatores de Emissão'!E406+VLOOKUP(C216,FACE!$B$47:$H$82,7,FALSE)*'Fatores de Emissão'!E407,"")</f>
        <v/>
      </c>
      <c r="G216" s="493" t="str">
        <f>IFERROR(VLOOKUP(C216,FACE!$B$84:$H$92,5,FALSE)+VLOOKUP(C216,FACE!$B$84:$H$92,6,FALSE)*'Fatores de Emissão'!F406+VLOOKUP(C216,FACE!$B$84:$H$92,7,FALSE)*'Fatores de Emissão'!F407,"")</f>
        <v/>
      </c>
      <c r="H216" s="802" t="str">
        <f t="shared" si="4"/>
        <v/>
      </c>
      <c r="I216" s="802" t="str">
        <f t="shared" si="5"/>
        <v/>
      </c>
      <c r="J216" s="1022" t="str">
        <f>IF(D216="","",SUMIF('Fatores de Emissão'!$B$31:$B$75, $C216, 'Fatores de Emissão'!$R$31:$R$75)*D216)</f>
        <v/>
      </c>
      <c r="L216" s="175"/>
    </row>
    <row r="217" spans="1:12" hidden="1" outlineLevel="2" x14ac:dyDescent="0.35">
      <c r="A217" s="192"/>
      <c r="B217" s="193"/>
      <c r="C217" s="194"/>
      <c r="D217" s="490"/>
      <c r="E217" s="492" t="str">
        <f>IF(C217="","",VLOOKUP(C217,FACE!$B$47:$D$92,3,FALSE))</f>
        <v/>
      </c>
      <c r="F217" s="956" t="str">
        <f>IFERROR(VLOOKUP(C217,FACE!$B$47:$H$82,5,FALSE)+VLOOKUP(C217,FACE!$B$47:$H$82,6,FALSE)*'Fatores de Emissão'!E407+VLOOKUP(C217,FACE!$B$47:$H$82,7,FALSE)*'Fatores de Emissão'!E408,"")</f>
        <v/>
      </c>
      <c r="G217" s="493" t="str">
        <f>IFERROR(VLOOKUP(C217,FACE!$B$84:$H$92,5,FALSE)+VLOOKUP(C217,FACE!$B$84:$H$92,6,FALSE)*'Fatores de Emissão'!F407+VLOOKUP(C217,FACE!$B$84:$H$92,7,FALSE)*'Fatores de Emissão'!F408,"")</f>
        <v/>
      </c>
      <c r="H217" s="802" t="str">
        <f t="shared" si="4"/>
        <v/>
      </c>
      <c r="I217" s="802" t="str">
        <f t="shared" si="5"/>
        <v/>
      </c>
      <c r="J217" s="1022" t="str">
        <f>IF(D217="","",SUMIF('Fatores de Emissão'!$B$31:$B$75, $C217, 'Fatores de Emissão'!$R$31:$R$75)*D217)</f>
        <v/>
      </c>
      <c r="L217" s="175"/>
    </row>
    <row r="218" spans="1:12" hidden="1" outlineLevel="2" x14ac:dyDescent="0.35">
      <c r="A218" s="192"/>
      <c r="B218" s="193"/>
      <c r="C218" s="194"/>
      <c r="D218" s="490"/>
      <c r="E218" s="492" t="str">
        <f>IF(C218="","",VLOOKUP(C218,FACE!$B$47:$D$92,3,FALSE))</f>
        <v/>
      </c>
      <c r="F218" s="956" t="str">
        <f>IFERROR(VLOOKUP(C218,FACE!$B$47:$H$82,5,FALSE)+VLOOKUP(C218,FACE!$B$47:$H$82,6,FALSE)*'Fatores de Emissão'!E408+VLOOKUP(C218,FACE!$B$47:$H$82,7,FALSE)*'Fatores de Emissão'!E409,"")</f>
        <v/>
      </c>
      <c r="G218" s="493" t="str">
        <f>IFERROR(VLOOKUP(C218,FACE!$B$84:$H$92,5,FALSE)+VLOOKUP(C218,FACE!$B$84:$H$92,6,FALSE)*'Fatores de Emissão'!F408+VLOOKUP(C218,FACE!$B$84:$H$92,7,FALSE)*'Fatores de Emissão'!F409,"")</f>
        <v/>
      </c>
      <c r="H218" s="802" t="str">
        <f t="shared" si="4"/>
        <v/>
      </c>
      <c r="I218" s="802" t="str">
        <f t="shared" si="5"/>
        <v/>
      </c>
      <c r="J218" s="1022" t="str">
        <f>IF(D218="","",SUMIF('Fatores de Emissão'!$B$31:$B$75, $C218, 'Fatores de Emissão'!$R$31:$R$75)*D218)</f>
        <v/>
      </c>
      <c r="L218" s="175"/>
    </row>
    <row r="219" spans="1:12" hidden="1" outlineLevel="2" x14ac:dyDescent="0.35">
      <c r="A219" s="192"/>
      <c r="B219" s="193"/>
      <c r="C219" s="194"/>
      <c r="D219" s="490"/>
      <c r="E219" s="492" t="str">
        <f>IF(C219="","",VLOOKUP(C219,FACE!$B$47:$D$92,3,FALSE))</f>
        <v/>
      </c>
      <c r="F219" s="956" t="str">
        <f>IFERROR(VLOOKUP(C219,FACE!$B$47:$H$82,5,FALSE)+VLOOKUP(C219,FACE!$B$47:$H$82,6,FALSE)*'Fatores de Emissão'!E409+VLOOKUP(C219,FACE!$B$47:$H$82,7,FALSE)*'Fatores de Emissão'!E410,"")</f>
        <v/>
      </c>
      <c r="G219" s="493" t="str">
        <f>IFERROR(VLOOKUP(C219,FACE!$B$84:$H$92,5,FALSE)+VLOOKUP(C219,FACE!$B$84:$H$92,6,FALSE)*'Fatores de Emissão'!F409+VLOOKUP(C219,FACE!$B$84:$H$92,7,FALSE)*'Fatores de Emissão'!F410,"")</f>
        <v/>
      </c>
      <c r="H219" s="802" t="str">
        <f t="shared" si="4"/>
        <v/>
      </c>
      <c r="I219" s="802" t="str">
        <f t="shared" si="5"/>
        <v/>
      </c>
      <c r="J219" s="1022" t="str">
        <f>IF(D219="","",SUMIF('Fatores de Emissão'!$B$31:$B$75, $C219, 'Fatores de Emissão'!$R$31:$R$75)*D219)</f>
        <v/>
      </c>
      <c r="L219" s="175"/>
    </row>
    <row r="220" spans="1:12" hidden="1" outlineLevel="2" x14ac:dyDescent="0.35">
      <c r="A220" s="192"/>
      <c r="B220" s="193"/>
      <c r="C220" s="194"/>
      <c r="D220" s="490"/>
      <c r="E220" s="492" t="str">
        <f>IF(C220="","",VLOOKUP(C220,FACE!$B$47:$D$92,3,FALSE))</f>
        <v/>
      </c>
      <c r="F220" s="956" t="str">
        <f>IFERROR(VLOOKUP(C220,FACE!$B$47:$H$82,5,FALSE)+VLOOKUP(C220,FACE!$B$47:$H$82,6,FALSE)*'Fatores de Emissão'!E410+VLOOKUP(C220,FACE!$B$47:$H$82,7,FALSE)*'Fatores de Emissão'!E411,"")</f>
        <v/>
      </c>
      <c r="G220" s="493" t="str">
        <f>IFERROR(VLOOKUP(C220,FACE!$B$84:$H$92,5,FALSE)+VLOOKUP(C220,FACE!$B$84:$H$92,6,FALSE)*'Fatores de Emissão'!F410+VLOOKUP(C220,FACE!$B$84:$H$92,7,FALSE)*'Fatores de Emissão'!F411,"")</f>
        <v/>
      </c>
      <c r="H220" s="802" t="str">
        <f t="shared" si="4"/>
        <v/>
      </c>
      <c r="I220" s="802" t="str">
        <f t="shared" si="5"/>
        <v/>
      </c>
      <c r="J220" s="1022" t="str">
        <f>IF(D220="","",SUMIF('Fatores de Emissão'!$B$31:$B$75, $C220, 'Fatores de Emissão'!$R$31:$R$75)*D220)</f>
        <v/>
      </c>
      <c r="L220" s="175"/>
    </row>
    <row r="221" spans="1:12" hidden="1" outlineLevel="2" x14ac:dyDescent="0.35">
      <c r="A221" s="192"/>
      <c r="B221" s="193"/>
      <c r="C221" s="194"/>
      <c r="D221" s="490"/>
      <c r="E221" s="492" t="str">
        <f>IF(C221="","",VLOOKUP(C221,FACE!$B$47:$D$92,3,FALSE))</f>
        <v/>
      </c>
      <c r="F221" s="956" t="str">
        <f>IFERROR(VLOOKUP(C221,FACE!$B$47:$H$82,5,FALSE)+VLOOKUP(C221,FACE!$B$47:$H$82,6,FALSE)*'Fatores de Emissão'!E411+VLOOKUP(C221,FACE!$B$47:$H$82,7,FALSE)*'Fatores de Emissão'!E412,"")</f>
        <v/>
      </c>
      <c r="G221" s="493" t="str">
        <f>IFERROR(VLOOKUP(C221,FACE!$B$84:$H$92,5,FALSE)+VLOOKUP(C221,FACE!$B$84:$H$92,6,FALSE)*'Fatores de Emissão'!F411+VLOOKUP(C221,FACE!$B$84:$H$92,7,FALSE)*'Fatores de Emissão'!F412,"")</f>
        <v/>
      </c>
      <c r="H221" s="802" t="str">
        <f t="shared" si="4"/>
        <v/>
      </c>
      <c r="I221" s="802" t="str">
        <f t="shared" si="5"/>
        <v/>
      </c>
      <c r="J221" s="1022" t="str">
        <f>IF(D221="","",SUMIF('Fatores de Emissão'!$B$31:$B$75, $C221, 'Fatores de Emissão'!$R$31:$R$75)*D221)</f>
        <v/>
      </c>
      <c r="L221" s="175"/>
    </row>
    <row r="222" spans="1:12" hidden="1" outlineLevel="2" x14ac:dyDescent="0.35">
      <c r="A222" s="192"/>
      <c r="B222" s="193"/>
      <c r="C222" s="194"/>
      <c r="D222" s="490"/>
      <c r="E222" s="492" t="str">
        <f>IF(C222="","",VLOOKUP(C222,FACE!$B$47:$D$92,3,FALSE))</f>
        <v/>
      </c>
      <c r="F222" s="956" t="str">
        <f>IFERROR(VLOOKUP(C222,FACE!$B$47:$H$82,5,FALSE)+VLOOKUP(C222,FACE!$B$47:$H$82,6,FALSE)*'Fatores de Emissão'!E412+VLOOKUP(C222,FACE!$B$47:$H$82,7,FALSE)*'Fatores de Emissão'!E413,"")</f>
        <v/>
      </c>
      <c r="G222" s="493" t="str">
        <f>IFERROR(VLOOKUP(C222,FACE!$B$84:$H$92,5,FALSE)+VLOOKUP(C222,FACE!$B$84:$H$92,6,FALSE)*'Fatores de Emissão'!F412+VLOOKUP(C222,FACE!$B$84:$H$92,7,FALSE)*'Fatores de Emissão'!F413,"")</f>
        <v/>
      </c>
      <c r="H222" s="802" t="str">
        <f t="shared" si="4"/>
        <v/>
      </c>
      <c r="I222" s="802" t="str">
        <f t="shared" si="5"/>
        <v/>
      </c>
      <c r="J222" s="1022" t="str">
        <f>IF(D222="","",SUMIF('Fatores de Emissão'!$B$31:$B$75, $C222, 'Fatores de Emissão'!$R$31:$R$75)*D222)</f>
        <v/>
      </c>
      <c r="L222" s="175"/>
    </row>
    <row r="223" spans="1:12" hidden="1" outlineLevel="2" x14ac:dyDescent="0.35">
      <c r="A223" s="192"/>
      <c r="B223" s="193"/>
      <c r="C223" s="194"/>
      <c r="D223" s="490"/>
      <c r="E223" s="492" t="str">
        <f>IF(C223="","",VLOOKUP(C223,FACE!$B$47:$D$92,3,FALSE))</f>
        <v/>
      </c>
      <c r="F223" s="956" t="str">
        <f>IFERROR(VLOOKUP(C223,FACE!$B$47:$H$82,5,FALSE)+VLOOKUP(C223,FACE!$B$47:$H$82,6,FALSE)*'Fatores de Emissão'!E413+VLOOKUP(C223,FACE!$B$47:$H$82,7,FALSE)*'Fatores de Emissão'!E414,"")</f>
        <v/>
      </c>
      <c r="G223" s="493" t="str">
        <f>IFERROR(VLOOKUP(C223,FACE!$B$84:$H$92,5,FALSE)+VLOOKUP(C223,FACE!$B$84:$H$92,6,FALSE)*'Fatores de Emissão'!F413+VLOOKUP(C223,FACE!$B$84:$H$92,7,FALSE)*'Fatores de Emissão'!F414,"")</f>
        <v/>
      </c>
      <c r="H223" s="802" t="str">
        <f t="shared" si="4"/>
        <v/>
      </c>
      <c r="I223" s="802" t="str">
        <f t="shared" si="5"/>
        <v/>
      </c>
      <c r="J223" s="1022" t="str">
        <f>IF(D223="","",SUMIF('Fatores de Emissão'!$B$31:$B$75, $C223, 'Fatores de Emissão'!$R$31:$R$75)*D223)</f>
        <v/>
      </c>
      <c r="L223" s="175"/>
    </row>
    <row r="224" spans="1:12" hidden="1" outlineLevel="2" x14ac:dyDescent="0.35">
      <c r="A224" s="192"/>
      <c r="B224" s="193"/>
      <c r="C224" s="194"/>
      <c r="D224" s="490"/>
      <c r="E224" s="492" t="str">
        <f>IF(C224="","",VLOOKUP(C224,FACE!$B$47:$D$92,3,FALSE))</f>
        <v/>
      </c>
      <c r="F224" s="956" t="str">
        <f>IFERROR(VLOOKUP(C224,FACE!$B$47:$H$82,5,FALSE)+VLOOKUP(C224,FACE!$B$47:$H$82,6,FALSE)*'Fatores de Emissão'!E414+VLOOKUP(C224,FACE!$B$47:$H$82,7,FALSE)*'Fatores de Emissão'!E415,"")</f>
        <v/>
      </c>
      <c r="G224" s="493" t="str">
        <f>IFERROR(VLOOKUP(C224,FACE!$B$84:$H$92,5,FALSE)+VLOOKUP(C224,FACE!$B$84:$H$92,6,FALSE)*'Fatores de Emissão'!F414+VLOOKUP(C224,FACE!$B$84:$H$92,7,FALSE)*'Fatores de Emissão'!F415,"")</f>
        <v/>
      </c>
      <c r="H224" s="802" t="str">
        <f t="shared" si="4"/>
        <v/>
      </c>
      <c r="I224" s="802" t="str">
        <f t="shared" si="5"/>
        <v/>
      </c>
      <c r="J224" s="1022" t="str">
        <f>IF(D224="","",SUMIF('Fatores de Emissão'!$B$31:$B$75, $C224, 'Fatores de Emissão'!$R$31:$R$75)*D224)</f>
        <v/>
      </c>
      <c r="L224" s="175"/>
    </row>
    <row r="225" spans="1:12" hidden="1" outlineLevel="2" x14ac:dyDescent="0.35">
      <c r="A225" s="192"/>
      <c r="B225" s="193"/>
      <c r="C225" s="194"/>
      <c r="D225" s="490"/>
      <c r="E225" s="492" t="str">
        <f>IF(C225="","",VLOOKUP(C225,FACE!$B$47:$D$92,3,FALSE))</f>
        <v/>
      </c>
      <c r="F225" s="956" t="str">
        <f>IFERROR(VLOOKUP(C225,FACE!$B$47:$H$82,5,FALSE)+VLOOKUP(C225,FACE!$B$47:$H$82,6,FALSE)*'Fatores de Emissão'!E415+VLOOKUP(C225,FACE!$B$47:$H$82,7,FALSE)*'Fatores de Emissão'!E416,"")</f>
        <v/>
      </c>
      <c r="G225" s="493" t="str">
        <f>IFERROR(VLOOKUP(C225,FACE!$B$84:$H$92,5,FALSE)+VLOOKUP(C225,FACE!$B$84:$H$92,6,FALSE)*'Fatores de Emissão'!F415+VLOOKUP(C225,FACE!$B$84:$H$92,7,FALSE)*'Fatores de Emissão'!F416,"")</f>
        <v/>
      </c>
      <c r="H225" s="802" t="str">
        <f t="shared" si="4"/>
        <v/>
      </c>
      <c r="I225" s="802" t="str">
        <f t="shared" si="5"/>
        <v/>
      </c>
      <c r="J225" s="1022" t="str">
        <f>IF(D225="","",SUMIF('Fatores de Emissão'!$B$31:$B$75, $C225, 'Fatores de Emissão'!$R$31:$R$75)*D225)</f>
        <v/>
      </c>
      <c r="L225" s="175"/>
    </row>
    <row r="226" spans="1:12" hidden="1" outlineLevel="2" x14ac:dyDescent="0.35">
      <c r="A226" s="192"/>
      <c r="B226" s="193"/>
      <c r="C226" s="194"/>
      <c r="D226" s="490"/>
      <c r="E226" s="492" t="str">
        <f>IF(C226="","",VLOOKUP(C226,FACE!$B$47:$D$92,3,FALSE))</f>
        <v/>
      </c>
      <c r="F226" s="956" t="str">
        <f>IFERROR(VLOOKUP(C226,FACE!$B$47:$H$82,5,FALSE)+VLOOKUP(C226,FACE!$B$47:$H$82,6,FALSE)*'Fatores de Emissão'!E416+VLOOKUP(C226,FACE!$B$47:$H$82,7,FALSE)*'Fatores de Emissão'!E417,"")</f>
        <v/>
      </c>
      <c r="G226" s="493" t="str">
        <f>IFERROR(VLOOKUP(C226,FACE!$B$84:$H$92,5,FALSE)+VLOOKUP(C226,FACE!$B$84:$H$92,6,FALSE)*'Fatores de Emissão'!F416+VLOOKUP(C226,FACE!$B$84:$H$92,7,FALSE)*'Fatores de Emissão'!F417,"")</f>
        <v/>
      </c>
      <c r="H226" s="802" t="str">
        <f t="shared" si="4"/>
        <v/>
      </c>
      <c r="I226" s="802" t="str">
        <f t="shared" si="5"/>
        <v/>
      </c>
      <c r="J226" s="1022" t="str">
        <f>IF(D226="","",SUMIF('Fatores de Emissão'!$B$31:$B$75, $C226, 'Fatores de Emissão'!$R$31:$R$75)*D226)</f>
        <v/>
      </c>
      <c r="L226" s="175"/>
    </row>
    <row r="227" spans="1:12" hidden="1" outlineLevel="2" x14ac:dyDescent="0.35">
      <c r="A227" s="192"/>
      <c r="B227" s="193"/>
      <c r="C227" s="194"/>
      <c r="D227" s="490"/>
      <c r="E227" s="492" t="str">
        <f>IF(C227="","",VLOOKUP(C227,FACE!$B$47:$D$92,3,FALSE))</f>
        <v/>
      </c>
      <c r="F227" s="956" t="str">
        <f>IFERROR(VLOOKUP(C227,FACE!$B$47:$H$82,5,FALSE)+VLOOKUP(C227,FACE!$B$47:$H$82,6,FALSE)*'Fatores de Emissão'!E417+VLOOKUP(C227,FACE!$B$47:$H$82,7,FALSE)*'Fatores de Emissão'!E418,"")</f>
        <v/>
      </c>
      <c r="G227" s="493" t="str">
        <f>IFERROR(VLOOKUP(C227,FACE!$B$84:$H$92,5,FALSE)+VLOOKUP(C227,FACE!$B$84:$H$92,6,FALSE)*'Fatores de Emissão'!F417+VLOOKUP(C227,FACE!$B$84:$H$92,7,FALSE)*'Fatores de Emissão'!F418,"")</f>
        <v/>
      </c>
      <c r="H227" s="802" t="str">
        <f t="shared" si="4"/>
        <v/>
      </c>
      <c r="I227" s="802" t="str">
        <f t="shared" si="5"/>
        <v/>
      </c>
      <c r="J227" s="1022" t="str">
        <f>IF(D227="","",SUMIF('Fatores de Emissão'!$B$31:$B$75, $C227, 'Fatores de Emissão'!$R$31:$R$75)*D227)</f>
        <v/>
      </c>
      <c r="L227" s="175"/>
    </row>
    <row r="228" spans="1:12" hidden="1" outlineLevel="2" x14ac:dyDescent="0.35">
      <c r="A228" s="192"/>
      <c r="B228" s="193"/>
      <c r="C228" s="194"/>
      <c r="D228" s="490"/>
      <c r="E228" s="492" t="str">
        <f>IF(C228="","",VLOOKUP(C228,FACE!$B$47:$D$92,3,FALSE))</f>
        <v/>
      </c>
      <c r="F228" s="956" t="str">
        <f>IFERROR(VLOOKUP(C228,FACE!$B$47:$H$82,5,FALSE)+VLOOKUP(C228,FACE!$B$47:$H$82,6,FALSE)*'Fatores de Emissão'!E418+VLOOKUP(C228,FACE!$B$47:$H$82,7,FALSE)*'Fatores de Emissão'!E419,"")</f>
        <v/>
      </c>
      <c r="G228" s="493" t="str">
        <f>IFERROR(VLOOKUP(C228,FACE!$B$84:$H$92,5,FALSE)+VLOOKUP(C228,FACE!$B$84:$H$92,6,FALSE)*'Fatores de Emissão'!F418+VLOOKUP(C228,FACE!$B$84:$H$92,7,FALSE)*'Fatores de Emissão'!F419,"")</f>
        <v/>
      </c>
      <c r="H228" s="802" t="str">
        <f t="shared" si="4"/>
        <v/>
      </c>
      <c r="I228" s="802" t="str">
        <f t="shared" si="5"/>
        <v/>
      </c>
      <c r="J228" s="1022" t="str">
        <f>IF(D228="","",SUMIF('Fatores de Emissão'!$B$31:$B$75, $C228, 'Fatores de Emissão'!$R$31:$R$75)*D228)</f>
        <v/>
      </c>
      <c r="L228" s="175"/>
    </row>
    <row r="229" spans="1:12" hidden="1" outlineLevel="2" x14ac:dyDescent="0.35">
      <c r="A229" s="192"/>
      <c r="B229" s="193"/>
      <c r="C229" s="194"/>
      <c r="D229" s="490"/>
      <c r="E229" s="492" t="str">
        <f>IF(C229="","",VLOOKUP(C229,FACE!$B$47:$D$92,3,FALSE))</f>
        <v/>
      </c>
      <c r="F229" s="956" t="str">
        <f>IFERROR(VLOOKUP(C229,FACE!$B$47:$H$82,5,FALSE)+VLOOKUP(C229,FACE!$B$47:$H$82,6,FALSE)*'Fatores de Emissão'!E419+VLOOKUP(C229,FACE!$B$47:$H$82,7,FALSE)*'Fatores de Emissão'!E420,"")</f>
        <v/>
      </c>
      <c r="G229" s="493" t="str">
        <f>IFERROR(VLOOKUP(C229,FACE!$B$84:$H$92,5,FALSE)+VLOOKUP(C229,FACE!$B$84:$H$92,6,FALSE)*'Fatores de Emissão'!F419+VLOOKUP(C229,FACE!$B$84:$H$92,7,FALSE)*'Fatores de Emissão'!F420,"")</f>
        <v/>
      </c>
      <c r="H229" s="802" t="str">
        <f t="shared" si="4"/>
        <v/>
      </c>
      <c r="I229" s="802" t="str">
        <f t="shared" si="5"/>
        <v/>
      </c>
      <c r="J229" s="1022" t="str">
        <f>IF(D229="","",SUMIF('Fatores de Emissão'!$B$31:$B$75, $C229, 'Fatores de Emissão'!$R$31:$R$75)*D229)</f>
        <v/>
      </c>
      <c r="L229" s="175"/>
    </row>
    <row r="230" spans="1:12" hidden="1" outlineLevel="2" x14ac:dyDescent="0.35">
      <c r="A230" s="192"/>
      <c r="B230" s="193"/>
      <c r="C230" s="194"/>
      <c r="D230" s="490"/>
      <c r="E230" s="492" t="str">
        <f>IF(C230="","",VLOOKUP(C230,FACE!$B$47:$D$92,3,FALSE))</f>
        <v/>
      </c>
      <c r="F230" s="956" t="str">
        <f>IFERROR(VLOOKUP(C230,FACE!$B$47:$H$82,5,FALSE)+VLOOKUP(C230,FACE!$B$47:$H$82,6,FALSE)*'Fatores de Emissão'!E420+VLOOKUP(C230,FACE!$B$47:$H$82,7,FALSE)*'Fatores de Emissão'!E421,"")</f>
        <v/>
      </c>
      <c r="G230" s="493" t="str">
        <f>IFERROR(VLOOKUP(C230,FACE!$B$84:$H$92,5,FALSE)+VLOOKUP(C230,FACE!$B$84:$H$92,6,FALSE)*'Fatores de Emissão'!F420+VLOOKUP(C230,FACE!$B$84:$H$92,7,FALSE)*'Fatores de Emissão'!F421,"")</f>
        <v/>
      </c>
      <c r="H230" s="802" t="str">
        <f t="shared" si="4"/>
        <v/>
      </c>
      <c r="I230" s="802" t="str">
        <f t="shared" si="5"/>
        <v/>
      </c>
      <c r="J230" s="1022" t="str">
        <f>IF(D230="","",SUMIF('Fatores de Emissão'!$B$31:$B$75, $C230, 'Fatores de Emissão'!$R$31:$R$75)*D230)</f>
        <v/>
      </c>
      <c r="L230" s="175"/>
    </row>
    <row r="231" spans="1:12" hidden="1" outlineLevel="2" x14ac:dyDescent="0.35">
      <c r="A231" s="192"/>
      <c r="B231" s="193"/>
      <c r="C231" s="194"/>
      <c r="D231" s="490"/>
      <c r="E231" s="492" t="str">
        <f>IF(C231="","",VLOOKUP(C231,FACE!$B$47:$D$92,3,FALSE))</f>
        <v/>
      </c>
      <c r="F231" s="956" t="str">
        <f>IFERROR(VLOOKUP(C231,FACE!$B$47:$H$82,5,FALSE)+VLOOKUP(C231,FACE!$B$47:$H$82,6,FALSE)*'Fatores de Emissão'!E421+VLOOKUP(C231,FACE!$B$47:$H$82,7,FALSE)*'Fatores de Emissão'!E422,"")</f>
        <v/>
      </c>
      <c r="G231" s="493" t="str">
        <f>IFERROR(VLOOKUP(C231,FACE!$B$84:$H$92,5,FALSE)+VLOOKUP(C231,FACE!$B$84:$H$92,6,FALSE)*'Fatores de Emissão'!F421+VLOOKUP(C231,FACE!$B$84:$H$92,7,FALSE)*'Fatores de Emissão'!F422,"")</f>
        <v/>
      </c>
      <c r="H231" s="802" t="str">
        <f t="shared" si="4"/>
        <v/>
      </c>
      <c r="I231" s="802" t="str">
        <f t="shared" si="5"/>
        <v/>
      </c>
      <c r="J231" s="1022" t="str">
        <f>IF(D231="","",SUMIF('Fatores de Emissão'!$B$31:$B$75, $C231, 'Fatores de Emissão'!$R$31:$R$75)*D231)</f>
        <v/>
      </c>
      <c r="L231" s="175"/>
    </row>
    <row r="232" spans="1:12" hidden="1" outlineLevel="2" x14ac:dyDescent="0.35">
      <c r="A232" s="192"/>
      <c r="B232" s="193"/>
      <c r="C232" s="194"/>
      <c r="D232" s="490"/>
      <c r="E232" s="492" t="str">
        <f>IF(C232="","",VLOOKUP(C232,FACE!$B$47:$D$92,3,FALSE))</f>
        <v/>
      </c>
      <c r="F232" s="956" t="str">
        <f>IFERROR(VLOOKUP(C232,FACE!$B$47:$H$82,5,FALSE)+VLOOKUP(C232,FACE!$B$47:$H$82,6,FALSE)*'Fatores de Emissão'!E422+VLOOKUP(C232,FACE!$B$47:$H$82,7,FALSE)*'Fatores de Emissão'!E423,"")</f>
        <v/>
      </c>
      <c r="G232" s="493" t="str">
        <f>IFERROR(VLOOKUP(C232,FACE!$B$84:$H$92,5,FALSE)+VLOOKUP(C232,FACE!$B$84:$H$92,6,FALSE)*'Fatores de Emissão'!F422+VLOOKUP(C232,FACE!$B$84:$H$92,7,FALSE)*'Fatores de Emissão'!F423,"")</f>
        <v/>
      </c>
      <c r="H232" s="802" t="str">
        <f t="shared" si="4"/>
        <v/>
      </c>
      <c r="I232" s="802" t="str">
        <f t="shared" si="5"/>
        <v/>
      </c>
      <c r="J232" s="1022" t="str">
        <f>IF(D232="","",SUMIF('Fatores de Emissão'!$B$31:$B$75, $C232, 'Fatores de Emissão'!$R$31:$R$75)*D232)</f>
        <v/>
      </c>
      <c r="L232" s="175"/>
    </row>
    <row r="233" spans="1:12" hidden="1" outlineLevel="2" x14ac:dyDescent="0.35">
      <c r="A233" s="192"/>
      <c r="B233" s="193"/>
      <c r="C233" s="194"/>
      <c r="D233" s="490"/>
      <c r="E233" s="492" t="str">
        <f>IF(C233="","",VLOOKUP(C233,FACE!$B$47:$D$92,3,FALSE))</f>
        <v/>
      </c>
      <c r="F233" s="956" t="str">
        <f>IFERROR(VLOOKUP(C233,FACE!$B$47:$H$82,5,FALSE)+VLOOKUP(C233,FACE!$B$47:$H$82,6,FALSE)*'Fatores de Emissão'!E423+VLOOKUP(C233,FACE!$B$47:$H$82,7,FALSE)*'Fatores de Emissão'!E424,"")</f>
        <v/>
      </c>
      <c r="G233" s="493" t="str">
        <f>IFERROR(VLOOKUP(C233,FACE!$B$84:$H$92,5,FALSE)+VLOOKUP(C233,FACE!$B$84:$H$92,6,FALSE)*'Fatores de Emissão'!F423+VLOOKUP(C233,FACE!$B$84:$H$92,7,FALSE)*'Fatores de Emissão'!F424,"")</f>
        <v/>
      </c>
      <c r="H233" s="802" t="str">
        <f t="shared" si="4"/>
        <v/>
      </c>
      <c r="I233" s="802" t="str">
        <f t="shared" si="5"/>
        <v/>
      </c>
      <c r="J233" s="1022" t="str">
        <f>IF(D233="","",SUMIF('Fatores de Emissão'!$B$31:$B$75, $C233, 'Fatores de Emissão'!$R$31:$R$75)*D233)</f>
        <v/>
      </c>
      <c r="L233" s="175"/>
    </row>
    <row r="234" spans="1:12" hidden="1" outlineLevel="2" x14ac:dyDescent="0.35">
      <c r="A234" s="192"/>
      <c r="B234" s="193"/>
      <c r="C234" s="194"/>
      <c r="D234" s="490"/>
      <c r="E234" s="492" t="str">
        <f>IF(C234="","",VLOOKUP(C234,FACE!$B$47:$D$92,3,FALSE))</f>
        <v/>
      </c>
      <c r="F234" s="956" t="str">
        <f>IFERROR(VLOOKUP(C234,FACE!$B$47:$H$82,5,FALSE)+VLOOKUP(C234,FACE!$B$47:$H$82,6,FALSE)*'Fatores de Emissão'!E424+VLOOKUP(C234,FACE!$B$47:$H$82,7,FALSE)*'Fatores de Emissão'!E425,"")</f>
        <v/>
      </c>
      <c r="G234" s="493" t="str">
        <f>IFERROR(VLOOKUP(C234,FACE!$B$84:$H$92,5,FALSE)+VLOOKUP(C234,FACE!$B$84:$H$92,6,FALSE)*'Fatores de Emissão'!F424+VLOOKUP(C234,FACE!$B$84:$H$92,7,FALSE)*'Fatores de Emissão'!F425,"")</f>
        <v/>
      </c>
      <c r="H234" s="802" t="str">
        <f t="shared" si="4"/>
        <v/>
      </c>
      <c r="I234" s="802" t="str">
        <f t="shared" si="5"/>
        <v/>
      </c>
      <c r="J234" s="1022" t="str">
        <f>IF(D234="","",SUMIF('Fatores de Emissão'!$B$31:$B$75, $C234, 'Fatores de Emissão'!$R$31:$R$75)*D234)</f>
        <v/>
      </c>
      <c r="L234" s="175"/>
    </row>
    <row r="235" spans="1:12" hidden="1" outlineLevel="2" x14ac:dyDescent="0.35">
      <c r="A235" s="192"/>
      <c r="B235" s="193"/>
      <c r="C235" s="194"/>
      <c r="D235" s="490"/>
      <c r="E235" s="492" t="str">
        <f>IF(C235="","",VLOOKUP(C235,FACE!$B$47:$D$92,3,FALSE))</f>
        <v/>
      </c>
      <c r="F235" s="956" t="str">
        <f>IFERROR(VLOOKUP(C235,FACE!$B$47:$H$82,5,FALSE)+VLOOKUP(C235,FACE!$B$47:$H$82,6,FALSE)*'Fatores de Emissão'!E425+VLOOKUP(C235,FACE!$B$47:$H$82,7,FALSE)*'Fatores de Emissão'!E426,"")</f>
        <v/>
      </c>
      <c r="G235" s="493" t="str">
        <f>IFERROR(VLOOKUP(C235,FACE!$B$84:$H$92,5,FALSE)+VLOOKUP(C235,FACE!$B$84:$H$92,6,FALSE)*'Fatores de Emissão'!F425+VLOOKUP(C235,FACE!$B$84:$H$92,7,FALSE)*'Fatores de Emissão'!F426,"")</f>
        <v/>
      </c>
      <c r="H235" s="802" t="str">
        <f t="shared" ref="H235:H269" si="8">IFERROR(F235*D235,"")</f>
        <v/>
      </c>
      <c r="I235" s="802" t="str">
        <f t="shared" ref="I235:I269" si="9">IFERROR(G235*D235,"")</f>
        <v/>
      </c>
      <c r="J235" s="1022" t="str">
        <f>IF(D235="","",SUMIF('Fatores de Emissão'!$B$31:$B$75, $C235, 'Fatores de Emissão'!$R$31:$R$75)*D235)</f>
        <v/>
      </c>
      <c r="L235" s="175"/>
    </row>
    <row r="236" spans="1:12" hidden="1" outlineLevel="2" x14ac:dyDescent="0.35">
      <c r="A236" s="192"/>
      <c r="B236" s="193"/>
      <c r="C236" s="194"/>
      <c r="D236" s="490"/>
      <c r="E236" s="492" t="str">
        <f>IF(C236="","",VLOOKUP(C236,FACE!$B$47:$D$92,3,FALSE))</f>
        <v/>
      </c>
      <c r="F236" s="956" t="str">
        <f>IFERROR(VLOOKUP(C236,FACE!$B$47:$H$82,5,FALSE)+VLOOKUP(C236,FACE!$B$47:$H$82,6,FALSE)*'Fatores de Emissão'!E426+VLOOKUP(C236,FACE!$B$47:$H$82,7,FALSE)*'Fatores de Emissão'!E427,"")</f>
        <v/>
      </c>
      <c r="G236" s="493" t="str">
        <f>IFERROR(VLOOKUP(C236,FACE!$B$84:$H$92,5,FALSE)+VLOOKUP(C236,FACE!$B$84:$H$92,6,FALSE)*'Fatores de Emissão'!F426+VLOOKUP(C236,FACE!$B$84:$H$92,7,FALSE)*'Fatores de Emissão'!F427,"")</f>
        <v/>
      </c>
      <c r="H236" s="802" t="str">
        <f t="shared" si="8"/>
        <v/>
      </c>
      <c r="I236" s="802" t="str">
        <f t="shared" si="9"/>
        <v/>
      </c>
      <c r="J236" s="1022" t="str">
        <f>IF(D236="","",SUMIF('Fatores de Emissão'!$B$31:$B$75, $C236, 'Fatores de Emissão'!$R$31:$R$75)*D236)</f>
        <v/>
      </c>
      <c r="L236" s="175"/>
    </row>
    <row r="237" spans="1:12" hidden="1" outlineLevel="2" x14ac:dyDescent="0.35">
      <c r="A237" s="192"/>
      <c r="B237" s="193"/>
      <c r="C237" s="194"/>
      <c r="D237" s="490"/>
      <c r="E237" s="492" t="str">
        <f>IF(C237="","",VLOOKUP(C237,FACE!$B$47:$D$92,3,FALSE))</f>
        <v/>
      </c>
      <c r="F237" s="956" t="str">
        <f>IFERROR(VLOOKUP(C237,FACE!$B$47:$H$82,5,FALSE)+VLOOKUP(C237,FACE!$B$47:$H$82,6,FALSE)*'Fatores de Emissão'!E427+VLOOKUP(C237,FACE!$B$47:$H$82,7,FALSE)*'Fatores de Emissão'!E428,"")</f>
        <v/>
      </c>
      <c r="G237" s="493" t="str">
        <f>IFERROR(VLOOKUP(C237,FACE!$B$84:$H$92,5,FALSE)+VLOOKUP(C237,FACE!$B$84:$H$92,6,FALSE)*'Fatores de Emissão'!F427+VLOOKUP(C237,FACE!$B$84:$H$92,7,FALSE)*'Fatores de Emissão'!F428,"")</f>
        <v/>
      </c>
      <c r="H237" s="802" t="str">
        <f t="shared" si="8"/>
        <v/>
      </c>
      <c r="I237" s="802" t="str">
        <f t="shared" si="9"/>
        <v/>
      </c>
      <c r="J237" s="1022" t="str">
        <f>IF(D237="","",SUMIF('Fatores de Emissão'!$B$31:$B$75, $C237, 'Fatores de Emissão'!$R$31:$R$75)*D237)</f>
        <v/>
      </c>
      <c r="L237" s="175"/>
    </row>
    <row r="238" spans="1:12" hidden="1" outlineLevel="2" x14ac:dyDescent="0.35">
      <c r="A238" s="192"/>
      <c r="B238" s="193"/>
      <c r="C238" s="194"/>
      <c r="D238" s="490"/>
      <c r="E238" s="492" t="str">
        <f>IF(C238="","",VLOOKUP(C238,FACE!$B$47:$D$92,3,FALSE))</f>
        <v/>
      </c>
      <c r="F238" s="956" t="str">
        <f>IFERROR(VLOOKUP(C238,FACE!$B$47:$H$82,5,FALSE)+VLOOKUP(C238,FACE!$B$47:$H$82,6,FALSE)*'Fatores de Emissão'!E428+VLOOKUP(C238,FACE!$B$47:$H$82,7,FALSE)*'Fatores de Emissão'!E429,"")</f>
        <v/>
      </c>
      <c r="G238" s="493" t="str">
        <f>IFERROR(VLOOKUP(C238,FACE!$B$84:$H$92,5,FALSE)+VLOOKUP(C238,FACE!$B$84:$H$92,6,FALSE)*'Fatores de Emissão'!F428+VLOOKUP(C238,FACE!$B$84:$H$92,7,FALSE)*'Fatores de Emissão'!F429,"")</f>
        <v/>
      </c>
      <c r="H238" s="802" t="str">
        <f t="shared" si="8"/>
        <v/>
      </c>
      <c r="I238" s="802" t="str">
        <f t="shared" si="9"/>
        <v/>
      </c>
      <c r="J238" s="1022" t="str">
        <f>IF(D238="","",SUMIF('Fatores de Emissão'!$B$31:$B$75, $C238, 'Fatores de Emissão'!$R$31:$R$75)*D238)</f>
        <v/>
      </c>
      <c r="L238" s="175"/>
    </row>
    <row r="239" spans="1:12" hidden="1" outlineLevel="2" x14ac:dyDescent="0.35">
      <c r="A239" s="192"/>
      <c r="B239" s="193"/>
      <c r="C239" s="194"/>
      <c r="D239" s="490"/>
      <c r="E239" s="492" t="str">
        <f>IF(C239="","",VLOOKUP(C239,FACE!$B$47:$D$92,3,FALSE))</f>
        <v/>
      </c>
      <c r="F239" s="956" t="str">
        <f>IFERROR(VLOOKUP(C239,FACE!$B$47:$H$82,5,FALSE)+VLOOKUP(C239,FACE!$B$47:$H$82,6,FALSE)*'Fatores de Emissão'!E429+VLOOKUP(C239,FACE!$B$47:$H$82,7,FALSE)*'Fatores de Emissão'!E430,"")</f>
        <v/>
      </c>
      <c r="G239" s="493" t="str">
        <f>IFERROR(VLOOKUP(C239,FACE!$B$84:$H$92,5,FALSE)+VLOOKUP(C239,FACE!$B$84:$H$92,6,FALSE)*'Fatores de Emissão'!F429+VLOOKUP(C239,FACE!$B$84:$H$92,7,FALSE)*'Fatores de Emissão'!F430,"")</f>
        <v/>
      </c>
      <c r="H239" s="802" t="str">
        <f t="shared" si="8"/>
        <v/>
      </c>
      <c r="I239" s="802" t="str">
        <f t="shared" si="9"/>
        <v/>
      </c>
      <c r="J239" s="1022" t="str">
        <f>IF(D239="","",SUMIF('Fatores de Emissão'!$B$31:$B$75, $C239, 'Fatores de Emissão'!$R$31:$R$75)*D239)</f>
        <v/>
      </c>
      <c r="L239" s="175"/>
    </row>
    <row r="240" spans="1:12" hidden="1" outlineLevel="2" x14ac:dyDescent="0.35">
      <c r="A240" s="192"/>
      <c r="B240" s="193"/>
      <c r="C240" s="194"/>
      <c r="D240" s="490"/>
      <c r="E240" s="492" t="str">
        <f>IF(C240="","",VLOOKUP(C240,FACE!$B$47:$D$92,3,FALSE))</f>
        <v/>
      </c>
      <c r="F240" s="956" t="str">
        <f>IFERROR(VLOOKUP(C240,FACE!$B$47:$H$82,5,FALSE)+VLOOKUP(C240,FACE!$B$47:$H$82,6,FALSE)*'Fatores de Emissão'!E430+VLOOKUP(C240,FACE!$B$47:$H$82,7,FALSE)*'Fatores de Emissão'!E431,"")</f>
        <v/>
      </c>
      <c r="G240" s="493" t="str">
        <f>IFERROR(VLOOKUP(C240,FACE!$B$84:$H$92,5,FALSE)+VLOOKUP(C240,FACE!$B$84:$H$92,6,FALSE)*'Fatores de Emissão'!F430+VLOOKUP(C240,FACE!$B$84:$H$92,7,FALSE)*'Fatores de Emissão'!F431,"")</f>
        <v/>
      </c>
      <c r="H240" s="802" t="str">
        <f t="shared" si="8"/>
        <v/>
      </c>
      <c r="I240" s="802" t="str">
        <f t="shared" si="9"/>
        <v/>
      </c>
      <c r="J240" s="1022" t="str">
        <f>IF(D240="","",SUMIF('Fatores de Emissão'!$B$31:$B$75, $C240, 'Fatores de Emissão'!$R$31:$R$75)*D240)</f>
        <v/>
      </c>
      <c r="L240" s="175"/>
    </row>
    <row r="241" spans="1:12" hidden="1" outlineLevel="2" x14ac:dyDescent="0.35">
      <c r="A241" s="192"/>
      <c r="B241" s="193"/>
      <c r="C241" s="194"/>
      <c r="D241" s="490"/>
      <c r="E241" s="492" t="str">
        <f>IF(C241="","",VLOOKUP(C241,FACE!$B$47:$D$92,3,FALSE))</f>
        <v/>
      </c>
      <c r="F241" s="956" t="str">
        <f>IFERROR(VLOOKUP(C241,FACE!$B$47:$H$82,5,FALSE)+VLOOKUP(C241,FACE!$B$47:$H$82,6,FALSE)*'Fatores de Emissão'!E431+VLOOKUP(C241,FACE!$B$47:$H$82,7,FALSE)*'Fatores de Emissão'!E432,"")</f>
        <v/>
      </c>
      <c r="G241" s="493" t="str">
        <f>IFERROR(VLOOKUP(C241,FACE!$B$84:$H$92,5,FALSE)+VLOOKUP(C241,FACE!$B$84:$H$92,6,FALSE)*'Fatores de Emissão'!F431+VLOOKUP(C241,FACE!$B$84:$H$92,7,FALSE)*'Fatores de Emissão'!F432,"")</f>
        <v/>
      </c>
      <c r="H241" s="802" t="str">
        <f t="shared" si="8"/>
        <v/>
      </c>
      <c r="I241" s="802" t="str">
        <f t="shared" si="9"/>
        <v/>
      </c>
      <c r="J241" s="1022" t="str">
        <f>IF(D241="","",SUMIF('Fatores de Emissão'!$B$31:$B$75, $C241, 'Fatores de Emissão'!$R$31:$R$75)*D241)</f>
        <v/>
      </c>
      <c r="L241" s="175"/>
    </row>
    <row r="242" spans="1:12" hidden="1" outlineLevel="2" x14ac:dyDescent="0.35">
      <c r="A242" s="192"/>
      <c r="B242" s="193"/>
      <c r="C242" s="194"/>
      <c r="D242" s="490"/>
      <c r="E242" s="492" t="str">
        <f>IF(C242="","",VLOOKUP(C242,FACE!$B$47:$D$92,3,FALSE))</f>
        <v/>
      </c>
      <c r="F242" s="956" t="str">
        <f>IFERROR(VLOOKUP(C242,FACE!$B$47:$H$82,5,FALSE)+VLOOKUP(C242,FACE!$B$47:$H$82,6,FALSE)*'Fatores de Emissão'!E432+VLOOKUP(C242,FACE!$B$47:$H$82,7,FALSE)*'Fatores de Emissão'!E433,"")</f>
        <v/>
      </c>
      <c r="G242" s="493" t="str">
        <f>IFERROR(VLOOKUP(C242,FACE!$B$84:$H$92,5,FALSE)+VLOOKUP(C242,FACE!$B$84:$H$92,6,FALSE)*'Fatores de Emissão'!F432+VLOOKUP(C242,FACE!$B$84:$H$92,7,FALSE)*'Fatores de Emissão'!F433,"")</f>
        <v/>
      </c>
      <c r="H242" s="802" t="str">
        <f t="shared" si="8"/>
        <v/>
      </c>
      <c r="I242" s="802" t="str">
        <f t="shared" si="9"/>
        <v/>
      </c>
      <c r="J242" s="1022" t="str">
        <f>IF(D242="","",SUMIF('Fatores de Emissão'!$B$31:$B$75, $C242, 'Fatores de Emissão'!$R$31:$R$75)*D242)</f>
        <v/>
      </c>
      <c r="L242" s="175"/>
    </row>
    <row r="243" spans="1:12" hidden="1" outlineLevel="2" x14ac:dyDescent="0.35">
      <c r="A243" s="192"/>
      <c r="B243" s="193"/>
      <c r="C243" s="194"/>
      <c r="D243" s="490"/>
      <c r="E243" s="492" t="str">
        <f>IF(C243="","",VLOOKUP(C243,FACE!$B$47:$D$92,3,FALSE))</f>
        <v/>
      </c>
      <c r="F243" s="956" t="str">
        <f>IFERROR(VLOOKUP(C243,FACE!$B$47:$H$82,5,FALSE)+VLOOKUP(C243,FACE!$B$47:$H$82,6,FALSE)*'Fatores de Emissão'!E433+VLOOKUP(C243,FACE!$B$47:$H$82,7,FALSE)*'Fatores de Emissão'!E434,"")</f>
        <v/>
      </c>
      <c r="G243" s="493" t="str">
        <f>IFERROR(VLOOKUP(C243,FACE!$B$84:$H$92,5,FALSE)+VLOOKUP(C243,FACE!$B$84:$H$92,6,FALSE)*'Fatores de Emissão'!F433+VLOOKUP(C243,FACE!$B$84:$H$92,7,FALSE)*'Fatores de Emissão'!F434,"")</f>
        <v/>
      </c>
      <c r="H243" s="802" t="str">
        <f t="shared" si="8"/>
        <v/>
      </c>
      <c r="I243" s="802" t="str">
        <f t="shared" si="9"/>
        <v/>
      </c>
      <c r="J243" s="1022" t="str">
        <f>IF(D243="","",SUMIF('Fatores de Emissão'!$B$31:$B$75, $C243, 'Fatores de Emissão'!$R$31:$R$75)*D243)</f>
        <v/>
      </c>
      <c r="L243" s="175"/>
    </row>
    <row r="244" spans="1:12" hidden="1" outlineLevel="2" x14ac:dyDescent="0.35">
      <c r="A244" s="192"/>
      <c r="B244" s="193"/>
      <c r="C244" s="194"/>
      <c r="D244" s="490"/>
      <c r="E244" s="492" t="str">
        <f>IF(C244="","",VLOOKUP(C244,FACE!$B$47:$D$92,3,FALSE))</f>
        <v/>
      </c>
      <c r="F244" s="956" t="str">
        <f>IFERROR(VLOOKUP(C244,FACE!$B$47:$H$82,5,FALSE)+VLOOKUP(C244,FACE!$B$47:$H$82,6,FALSE)*'Fatores de Emissão'!E434+VLOOKUP(C244,FACE!$B$47:$H$82,7,FALSE)*'Fatores de Emissão'!E435,"")</f>
        <v/>
      </c>
      <c r="G244" s="493" t="str">
        <f>IFERROR(VLOOKUP(C244,FACE!$B$84:$H$92,5,FALSE)+VLOOKUP(C244,FACE!$B$84:$H$92,6,FALSE)*'Fatores de Emissão'!F434+VLOOKUP(C244,FACE!$B$84:$H$92,7,FALSE)*'Fatores de Emissão'!F435,"")</f>
        <v/>
      </c>
      <c r="H244" s="802" t="str">
        <f t="shared" si="8"/>
        <v/>
      </c>
      <c r="I244" s="802" t="str">
        <f t="shared" si="9"/>
        <v/>
      </c>
      <c r="J244" s="1022" t="str">
        <f>IF(D244="","",SUMIF('Fatores de Emissão'!$B$31:$B$75, $C244, 'Fatores de Emissão'!$R$31:$R$75)*D244)</f>
        <v/>
      </c>
      <c r="L244" s="175"/>
    </row>
    <row r="245" spans="1:12" hidden="1" outlineLevel="2" x14ac:dyDescent="0.35">
      <c r="A245" s="192"/>
      <c r="B245" s="193"/>
      <c r="C245" s="194"/>
      <c r="D245" s="490"/>
      <c r="E245" s="492" t="str">
        <f>IF(C245="","",VLOOKUP(C245,FACE!$B$47:$D$92,3,FALSE))</f>
        <v/>
      </c>
      <c r="F245" s="956" t="str">
        <f>IFERROR(VLOOKUP(C245,FACE!$B$47:$H$82,5,FALSE)+VLOOKUP(C245,FACE!$B$47:$H$82,6,FALSE)*'Fatores de Emissão'!E435+VLOOKUP(C245,FACE!$B$47:$H$82,7,FALSE)*'Fatores de Emissão'!E436,"")</f>
        <v/>
      </c>
      <c r="G245" s="493" t="str">
        <f>IFERROR(VLOOKUP(C245,FACE!$B$84:$H$92,5,FALSE)+VLOOKUP(C245,FACE!$B$84:$H$92,6,FALSE)*'Fatores de Emissão'!F435+VLOOKUP(C245,FACE!$B$84:$H$92,7,FALSE)*'Fatores de Emissão'!F436,"")</f>
        <v/>
      </c>
      <c r="H245" s="802" t="str">
        <f t="shared" si="8"/>
        <v/>
      </c>
      <c r="I245" s="802" t="str">
        <f t="shared" si="9"/>
        <v/>
      </c>
      <c r="J245" s="1022" t="str">
        <f>IF(D245="","",SUMIF('Fatores de Emissão'!$B$31:$B$75, $C245, 'Fatores de Emissão'!$R$31:$R$75)*D245)</f>
        <v/>
      </c>
      <c r="L245" s="175"/>
    </row>
    <row r="246" spans="1:12" hidden="1" outlineLevel="2" x14ac:dyDescent="0.35">
      <c r="A246" s="192"/>
      <c r="B246" s="193"/>
      <c r="C246" s="194"/>
      <c r="D246" s="490"/>
      <c r="E246" s="492" t="str">
        <f>IF(C246="","",VLOOKUP(C246,FACE!$B$47:$D$92,3,FALSE))</f>
        <v/>
      </c>
      <c r="F246" s="956" t="str">
        <f>IFERROR(VLOOKUP(C246,FACE!$B$47:$H$82,5,FALSE)+VLOOKUP(C246,FACE!$B$47:$H$82,6,FALSE)*'Fatores de Emissão'!E436+VLOOKUP(C246,FACE!$B$47:$H$82,7,FALSE)*'Fatores de Emissão'!E437,"")</f>
        <v/>
      </c>
      <c r="G246" s="493" t="str">
        <f>IFERROR(VLOOKUP(C246,FACE!$B$84:$H$92,5,FALSE)+VLOOKUP(C246,FACE!$B$84:$H$92,6,FALSE)*'Fatores de Emissão'!F436+VLOOKUP(C246,FACE!$B$84:$H$92,7,FALSE)*'Fatores de Emissão'!F437,"")</f>
        <v/>
      </c>
      <c r="H246" s="802" t="str">
        <f t="shared" si="8"/>
        <v/>
      </c>
      <c r="I246" s="802" t="str">
        <f t="shared" si="9"/>
        <v/>
      </c>
      <c r="J246" s="1022" t="str">
        <f>IF(D246="","",SUMIF('Fatores de Emissão'!$B$31:$B$75, $C246, 'Fatores de Emissão'!$R$31:$R$75)*D246)</f>
        <v/>
      </c>
      <c r="L246" s="175"/>
    </row>
    <row r="247" spans="1:12" hidden="1" outlineLevel="2" x14ac:dyDescent="0.35">
      <c r="A247" s="192"/>
      <c r="B247" s="193"/>
      <c r="C247" s="194"/>
      <c r="D247" s="490"/>
      <c r="E247" s="492" t="str">
        <f>IF(C247="","",VLOOKUP(C247,FACE!$B$47:$D$92,3,FALSE))</f>
        <v/>
      </c>
      <c r="F247" s="956" t="str">
        <f>IFERROR(VLOOKUP(C247,FACE!$B$47:$H$82,5,FALSE)+VLOOKUP(C247,FACE!$B$47:$H$82,6,FALSE)*'Fatores de Emissão'!E437+VLOOKUP(C247,FACE!$B$47:$H$82,7,FALSE)*'Fatores de Emissão'!E438,"")</f>
        <v/>
      </c>
      <c r="G247" s="493" t="str">
        <f>IFERROR(VLOOKUP(C247,FACE!$B$84:$H$92,5,FALSE)+VLOOKUP(C247,FACE!$B$84:$H$92,6,FALSE)*'Fatores de Emissão'!F437+VLOOKUP(C247,FACE!$B$84:$H$92,7,FALSE)*'Fatores de Emissão'!F438,"")</f>
        <v/>
      </c>
      <c r="H247" s="802" t="str">
        <f t="shared" si="8"/>
        <v/>
      </c>
      <c r="I247" s="802" t="str">
        <f t="shared" si="9"/>
        <v/>
      </c>
      <c r="J247" s="1022" t="str">
        <f>IF(D247="","",SUMIF('Fatores de Emissão'!$B$31:$B$75, $C247, 'Fatores de Emissão'!$R$31:$R$75)*D247)</f>
        <v/>
      </c>
      <c r="L247" s="175"/>
    </row>
    <row r="248" spans="1:12" hidden="1" outlineLevel="2" x14ac:dyDescent="0.35">
      <c r="A248" s="192"/>
      <c r="B248" s="193"/>
      <c r="C248" s="194"/>
      <c r="D248" s="490"/>
      <c r="E248" s="492" t="str">
        <f>IF(C248="","",VLOOKUP(C248,FACE!$B$47:$D$92,3,FALSE))</f>
        <v/>
      </c>
      <c r="F248" s="956" t="str">
        <f>IFERROR(VLOOKUP(C248,FACE!$B$47:$H$82,5,FALSE)+VLOOKUP(C248,FACE!$B$47:$H$82,6,FALSE)*'Fatores de Emissão'!E438+VLOOKUP(C248,FACE!$B$47:$H$82,7,FALSE)*'Fatores de Emissão'!E439,"")</f>
        <v/>
      </c>
      <c r="G248" s="493" t="str">
        <f>IFERROR(VLOOKUP(C248,FACE!$B$84:$H$92,5,FALSE)+VLOOKUP(C248,FACE!$B$84:$H$92,6,FALSE)*'Fatores de Emissão'!F438+VLOOKUP(C248,FACE!$B$84:$H$92,7,FALSE)*'Fatores de Emissão'!F439,"")</f>
        <v/>
      </c>
      <c r="H248" s="802" t="str">
        <f t="shared" si="8"/>
        <v/>
      </c>
      <c r="I248" s="802" t="str">
        <f t="shared" si="9"/>
        <v/>
      </c>
      <c r="J248" s="1022" t="str">
        <f>IF(D248="","",SUMIF('Fatores de Emissão'!$B$31:$B$75, $C248, 'Fatores de Emissão'!$R$31:$R$75)*D248)</f>
        <v/>
      </c>
      <c r="L248" s="175"/>
    </row>
    <row r="249" spans="1:12" hidden="1" outlineLevel="2" x14ac:dyDescent="0.35">
      <c r="A249" s="192"/>
      <c r="B249" s="193"/>
      <c r="C249" s="194"/>
      <c r="D249" s="490"/>
      <c r="E249" s="492" t="str">
        <f>IF(C249="","",VLOOKUP(C249,FACE!$B$47:$D$92,3,FALSE))</f>
        <v/>
      </c>
      <c r="F249" s="956" t="str">
        <f>IFERROR(VLOOKUP(C249,FACE!$B$47:$H$82,5,FALSE)+VLOOKUP(C249,FACE!$B$47:$H$82,6,FALSE)*'Fatores de Emissão'!E439+VLOOKUP(C249,FACE!$B$47:$H$82,7,FALSE)*'Fatores de Emissão'!E440,"")</f>
        <v/>
      </c>
      <c r="G249" s="493" t="str">
        <f>IFERROR(VLOOKUP(C249,FACE!$B$84:$H$92,5,FALSE)+VLOOKUP(C249,FACE!$B$84:$H$92,6,FALSE)*'Fatores de Emissão'!F439+VLOOKUP(C249,FACE!$B$84:$H$92,7,FALSE)*'Fatores de Emissão'!F440,"")</f>
        <v/>
      </c>
      <c r="H249" s="802" t="str">
        <f t="shared" si="8"/>
        <v/>
      </c>
      <c r="I249" s="802" t="str">
        <f t="shared" si="9"/>
        <v/>
      </c>
      <c r="J249" s="1022" t="str">
        <f>IF(D249="","",SUMIF('Fatores de Emissão'!$B$31:$B$75, $C249, 'Fatores de Emissão'!$R$31:$R$75)*D249)</f>
        <v/>
      </c>
      <c r="L249" s="175"/>
    </row>
    <row r="250" spans="1:12" hidden="1" outlineLevel="2" x14ac:dyDescent="0.35">
      <c r="A250" s="192"/>
      <c r="B250" s="193"/>
      <c r="C250" s="194"/>
      <c r="D250" s="490"/>
      <c r="E250" s="492" t="str">
        <f>IF(C250="","",VLOOKUP(C250,FACE!$B$47:$D$92,3,FALSE))</f>
        <v/>
      </c>
      <c r="F250" s="956" t="str">
        <f>IFERROR(VLOOKUP(C250,FACE!$B$47:$H$82,5,FALSE)+VLOOKUP(C250,FACE!$B$47:$H$82,6,FALSE)*'Fatores de Emissão'!E440+VLOOKUP(C250,FACE!$B$47:$H$82,7,FALSE)*'Fatores de Emissão'!E441,"")</f>
        <v/>
      </c>
      <c r="G250" s="493" t="str">
        <f>IFERROR(VLOOKUP(C250,FACE!$B$84:$H$92,5,FALSE)+VLOOKUP(C250,FACE!$B$84:$H$92,6,FALSE)*'Fatores de Emissão'!F440+VLOOKUP(C250,FACE!$B$84:$H$92,7,FALSE)*'Fatores de Emissão'!F441,"")</f>
        <v/>
      </c>
      <c r="H250" s="802" t="str">
        <f t="shared" si="8"/>
        <v/>
      </c>
      <c r="I250" s="802" t="str">
        <f t="shared" si="9"/>
        <v/>
      </c>
      <c r="J250" s="1022" t="str">
        <f>IF(D250="","",SUMIF('Fatores de Emissão'!$B$31:$B$75, $C250, 'Fatores de Emissão'!$R$31:$R$75)*D250)</f>
        <v/>
      </c>
      <c r="L250" s="175"/>
    </row>
    <row r="251" spans="1:12" hidden="1" outlineLevel="2" x14ac:dyDescent="0.35">
      <c r="A251" s="192"/>
      <c r="B251" s="193"/>
      <c r="C251" s="194"/>
      <c r="D251" s="490"/>
      <c r="E251" s="492" t="str">
        <f>IF(C251="","",VLOOKUP(C251,FACE!$B$47:$D$92,3,FALSE))</f>
        <v/>
      </c>
      <c r="F251" s="956" t="str">
        <f>IFERROR(VLOOKUP(C251,FACE!$B$47:$H$82,5,FALSE)+VLOOKUP(C251,FACE!$B$47:$H$82,6,FALSE)*'Fatores de Emissão'!E441+VLOOKUP(C251,FACE!$B$47:$H$82,7,FALSE)*'Fatores de Emissão'!E442,"")</f>
        <v/>
      </c>
      <c r="G251" s="493" t="str">
        <f>IFERROR(VLOOKUP(C251,FACE!$B$84:$H$92,5,FALSE)+VLOOKUP(C251,FACE!$B$84:$H$92,6,FALSE)*'Fatores de Emissão'!F441+VLOOKUP(C251,FACE!$B$84:$H$92,7,FALSE)*'Fatores de Emissão'!F442,"")</f>
        <v/>
      </c>
      <c r="H251" s="802" t="str">
        <f t="shared" si="8"/>
        <v/>
      </c>
      <c r="I251" s="802" t="str">
        <f t="shared" si="9"/>
        <v/>
      </c>
      <c r="J251" s="1022" t="str">
        <f>IF(D251="","",SUMIF('Fatores de Emissão'!$B$31:$B$75, $C251, 'Fatores de Emissão'!$R$31:$R$75)*D251)</f>
        <v/>
      </c>
      <c r="L251" s="175"/>
    </row>
    <row r="252" spans="1:12" hidden="1" outlineLevel="2" x14ac:dyDescent="0.35">
      <c r="A252" s="192"/>
      <c r="B252" s="193"/>
      <c r="C252" s="194"/>
      <c r="D252" s="490"/>
      <c r="E252" s="492" t="str">
        <f>IF(C252="","",VLOOKUP(C252,FACE!$B$47:$D$92,3,FALSE))</f>
        <v/>
      </c>
      <c r="F252" s="956" t="str">
        <f>IFERROR(VLOOKUP(C252,FACE!$B$47:$H$82,5,FALSE)+VLOOKUP(C252,FACE!$B$47:$H$82,6,FALSE)*'Fatores de Emissão'!E442+VLOOKUP(C252,FACE!$B$47:$H$82,7,FALSE)*'Fatores de Emissão'!E443,"")</f>
        <v/>
      </c>
      <c r="G252" s="493" t="str">
        <f>IFERROR(VLOOKUP(C252,FACE!$B$84:$H$92,5,FALSE)+VLOOKUP(C252,FACE!$B$84:$H$92,6,FALSE)*'Fatores de Emissão'!F442+VLOOKUP(C252,FACE!$B$84:$H$92,7,FALSE)*'Fatores de Emissão'!F443,"")</f>
        <v/>
      </c>
      <c r="H252" s="802" t="str">
        <f t="shared" si="8"/>
        <v/>
      </c>
      <c r="I252" s="802" t="str">
        <f t="shared" si="9"/>
        <v/>
      </c>
      <c r="J252" s="1022" t="str">
        <f>IF(D252="","",SUMIF('Fatores de Emissão'!$B$31:$B$75, $C252, 'Fatores de Emissão'!$R$31:$R$75)*D252)</f>
        <v/>
      </c>
      <c r="L252" s="175"/>
    </row>
    <row r="253" spans="1:12" hidden="1" outlineLevel="2" x14ac:dyDescent="0.35">
      <c r="A253" s="192"/>
      <c r="B253" s="193"/>
      <c r="C253" s="194"/>
      <c r="D253" s="490"/>
      <c r="E253" s="492" t="str">
        <f>IF(C253="","",VLOOKUP(C253,FACE!$B$47:$D$92,3,FALSE))</f>
        <v/>
      </c>
      <c r="F253" s="956" t="str">
        <f>IFERROR(VLOOKUP(C253,FACE!$B$47:$H$82,5,FALSE)+VLOOKUP(C253,FACE!$B$47:$H$82,6,FALSE)*'Fatores de Emissão'!E443+VLOOKUP(C253,FACE!$B$47:$H$82,7,FALSE)*'Fatores de Emissão'!E444,"")</f>
        <v/>
      </c>
      <c r="G253" s="493" t="str">
        <f>IFERROR(VLOOKUP(C253,FACE!$B$84:$H$92,5,FALSE)+VLOOKUP(C253,FACE!$B$84:$H$92,6,FALSE)*'Fatores de Emissão'!F443+VLOOKUP(C253,FACE!$B$84:$H$92,7,FALSE)*'Fatores de Emissão'!F444,"")</f>
        <v/>
      </c>
      <c r="H253" s="802" t="str">
        <f t="shared" si="8"/>
        <v/>
      </c>
      <c r="I253" s="802" t="str">
        <f t="shared" si="9"/>
        <v/>
      </c>
      <c r="J253" s="1022" t="str">
        <f>IF(D253="","",SUMIF('Fatores de Emissão'!$B$31:$B$75, $C253, 'Fatores de Emissão'!$R$31:$R$75)*D253)</f>
        <v/>
      </c>
      <c r="L253" s="175"/>
    </row>
    <row r="254" spans="1:12" hidden="1" outlineLevel="2" x14ac:dyDescent="0.35">
      <c r="A254" s="192"/>
      <c r="B254" s="193"/>
      <c r="C254" s="194"/>
      <c r="D254" s="490"/>
      <c r="E254" s="492" t="str">
        <f>IF(C254="","",VLOOKUP(C254,FACE!$B$47:$D$92,3,FALSE))</f>
        <v/>
      </c>
      <c r="F254" s="956" t="str">
        <f>IFERROR(VLOOKUP(C254,FACE!$B$47:$H$82,5,FALSE)+VLOOKUP(C254,FACE!$B$47:$H$82,6,FALSE)*'Fatores de Emissão'!E444+VLOOKUP(C254,FACE!$B$47:$H$82,7,FALSE)*'Fatores de Emissão'!E445,"")</f>
        <v/>
      </c>
      <c r="G254" s="493" t="str">
        <f>IFERROR(VLOOKUP(C254,FACE!$B$84:$H$92,5,FALSE)+VLOOKUP(C254,FACE!$B$84:$H$92,6,FALSE)*'Fatores de Emissão'!F444+VLOOKUP(C254,FACE!$B$84:$H$92,7,FALSE)*'Fatores de Emissão'!F445,"")</f>
        <v/>
      </c>
      <c r="H254" s="802" t="str">
        <f t="shared" si="8"/>
        <v/>
      </c>
      <c r="I254" s="802" t="str">
        <f t="shared" si="9"/>
        <v/>
      </c>
      <c r="J254" s="1022" t="str">
        <f>IF(D254="","",SUMIF('Fatores de Emissão'!$B$31:$B$75, $C254, 'Fatores de Emissão'!$R$31:$R$75)*D254)</f>
        <v/>
      </c>
      <c r="L254" s="175"/>
    </row>
    <row r="255" spans="1:12" hidden="1" outlineLevel="2" x14ac:dyDescent="0.35">
      <c r="A255" s="192"/>
      <c r="B255" s="193"/>
      <c r="C255" s="194"/>
      <c r="D255" s="490"/>
      <c r="E255" s="492" t="str">
        <f>IF(C255="","",VLOOKUP(C255,FACE!$B$47:$D$92,3,FALSE))</f>
        <v/>
      </c>
      <c r="F255" s="956" t="str">
        <f>IFERROR(VLOOKUP(C255,FACE!$B$47:$H$82,5,FALSE)+VLOOKUP(C255,FACE!$B$47:$H$82,6,FALSE)*'Fatores de Emissão'!E445+VLOOKUP(C255,FACE!$B$47:$H$82,7,FALSE)*'Fatores de Emissão'!E446,"")</f>
        <v/>
      </c>
      <c r="G255" s="493" t="str">
        <f>IFERROR(VLOOKUP(C255,FACE!$B$84:$H$92,5,FALSE)+VLOOKUP(C255,FACE!$B$84:$H$92,6,FALSE)*'Fatores de Emissão'!F445+VLOOKUP(C255,FACE!$B$84:$H$92,7,FALSE)*'Fatores de Emissão'!F446,"")</f>
        <v/>
      </c>
      <c r="H255" s="802" t="str">
        <f t="shared" si="8"/>
        <v/>
      </c>
      <c r="I255" s="802" t="str">
        <f t="shared" si="9"/>
        <v/>
      </c>
      <c r="J255" s="1022" t="str">
        <f>IF(D255="","",SUMIF('Fatores de Emissão'!$B$31:$B$75, $C255, 'Fatores de Emissão'!$R$31:$R$75)*D255)</f>
        <v/>
      </c>
      <c r="L255" s="175"/>
    </row>
    <row r="256" spans="1:12" hidden="1" outlineLevel="2" x14ac:dyDescent="0.35">
      <c r="A256" s="192"/>
      <c r="B256" s="193"/>
      <c r="C256" s="194"/>
      <c r="D256" s="490"/>
      <c r="E256" s="492" t="str">
        <f>IF(C256="","",VLOOKUP(C256,FACE!$B$47:$D$92,3,FALSE))</f>
        <v/>
      </c>
      <c r="F256" s="956" t="str">
        <f>IFERROR(VLOOKUP(C256,FACE!$B$47:$H$82,5,FALSE)+VLOOKUP(C256,FACE!$B$47:$H$82,6,FALSE)*'Fatores de Emissão'!E446+VLOOKUP(C256,FACE!$B$47:$H$82,7,FALSE)*'Fatores de Emissão'!E447,"")</f>
        <v/>
      </c>
      <c r="G256" s="493" t="str">
        <f>IFERROR(VLOOKUP(C256,FACE!$B$84:$H$92,5,FALSE)+VLOOKUP(C256,FACE!$B$84:$H$92,6,FALSE)*'Fatores de Emissão'!F446+VLOOKUP(C256,FACE!$B$84:$H$92,7,FALSE)*'Fatores de Emissão'!F447,"")</f>
        <v/>
      </c>
      <c r="H256" s="802" t="str">
        <f t="shared" si="8"/>
        <v/>
      </c>
      <c r="I256" s="802" t="str">
        <f t="shared" si="9"/>
        <v/>
      </c>
      <c r="J256" s="1022" t="str">
        <f>IF(D256="","",SUMIF('Fatores de Emissão'!$B$31:$B$75, $C256, 'Fatores de Emissão'!$R$31:$R$75)*D256)</f>
        <v/>
      </c>
      <c r="L256" s="175"/>
    </row>
    <row r="257" spans="1:12" hidden="1" outlineLevel="2" x14ac:dyDescent="0.35">
      <c r="A257" s="192"/>
      <c r="B257" s="193"/>
      <c r="C257" s="194"/>
      <c r="D257" s="490"/>
      <c r="E257" s="492" t="str">
        <f>IF(C257="","",VLOOKUP(C257,FACE!$B$47:$D$92,3,FALSE))</f>
        <v/>
      </c>
      <c r="F257" s="956" t="str">
        <f>IFERROR(VLOOKUP(C257,FACE!$B$47:$H$82,5,FALSE)+VLOOKUP(C257,FACE!$B$47:$H$82,6,FALSE)*'Fatores de Emissão'!E447+VLOOKUP(C257,FACE!$B$47:$H$82,7,FALSE)*'Fatores de Emissão'!E448,"")</f>
        <v/>
      </c>
      <c r="G257" s="493" t="str">
        <f>IFERROR(VLOOKUP(C257,FACE!$B$84:$H$92,5,FALSE)+VLOOKUP(C257,FACE!$B$84:$H$92,6,FALSE)*'Fatores de Emissão'!F447+VLOOKUP(C257,FACE!$B$84:$H$92,7,FALSE)*'Fatores de Emissão'!F448,"")</f>
        <v/>
      </c>
      <c r="H257" s="802" t="str">
        <f t="shared" si="8"/>
        <v/>
      </c>
      <c r="I257" s="802" t="str">
        <f t="shared" si="9"/>
        <v/>
      </c>
      <c r="J257" s="1022" t="str">
        <f>IF(D257="","",SUMIF('Fatores de Emissão'!$B$31:$B$75, $C257, 'Fatores de Emissão'!$R$31:$R$75)*D257)</f>
        <v/>
      </c>
      <c r="L257" s="175"/>
    </row>
    <row r="258" spans="1:12" hidden="1" outlineLevel="2" x14ac:dyDescent="0.35">
      <c r="A258" s="192"/>
      <c r="B258" s="193"/>
      <c r="C258" s="194"/>
      <c r="D258" s="490"/>
      <c r="E258" s="492" t="str">
        <f>IF(C258="","",VLOOKUP(C258,FACE!$B$47:$D$92,3,FALSE))</f>
        <v/>
      </c>
      <c r="F258" s="956" t="str">
        <f>IFERROR(VLOOKUP(C258,FACE!$B$47:$H$82,5,FALSE)+VLOOKUP(C258,FACE!$B$47:$H$82,6,FALSE)*'Fatores de Emissão'!E448+VLOOKUP(C258,FACE!$B$47:$H$82,7,FALSE)*'Fatores de Emissão'!E449,"")</f>
        <v/>
      </c>
      <c r="G258" s="493" t="str">
        <f>IFERROR(VLOOKUP(C258,FACE!$B$84:$H$92,5,FALSE)+VLOOKUP(C258,FACE!$B$84:$H$92,6,FALSE)*'Fatores de Emissão'!F448+VLOOKUP(C258,FACE!$B$84:$H$92,7,FALSE)*'Fatores de Emissão'!F449,"")</f>
        <v/>
      </c>
      <c r="H258" s="802" t="str">
        <f t="shared" si="8"/>
        <v/>
      </c>
      <c r="I258" s="802" t="str">
        <f t="shared" si="9"/>
        <v/>
      </c>
      <c r="J258" s="1022" t="str">
        <f>IF(D258="","",SUMIF('Fatores de Emissão'!$B$31:$B$75, $C258, 'Fatores de Emissão'!$R$31:$R$75)*D258)</f>
        <v/>
      </c>
      <c r="L258" s="175"/>
    </row>
    <row r="259" spans="1:12" hidden="1" outlineLevel="2" x14ac:dyDescent="0.35">
      <c r="A259" s="192"/>
      <c r="B259" s="193"/>
      <c r="C259" s="194"/>
      <c r="D259" s="490"/>
      <c r="E259" s="492" t="str">
        <f>IF(C259="","",VLOOKUP(C259,FACE!$B$47:$D$92,3,FALSE))</f>
        <v/>
      </c>
      <c r="F259" s="956" t="str">
        <f>IFERROR(VLOOKUP(C259,FACE!$B$47:$H$82,5,FALSE)+VLOOKUP(C259,FACE!$B$47:$H$82,6,FALSE)*'Fatores de Emissão'!E449+VLOOKUP(C259,FACE!$B$47:$H$82,7,FALSE)*'Fatores de Emissão'!E450,"")</f>
        <v/>
      </c>
      <c r="G259" s="493" t="str">
        <f>IFERROR(VLOOKUP(C259,FACE!$B$84:$H$92,5,FALSE)+VLOOKUP(C259,FACE!$B$84:$H$92,6,FALSE)*'Fatores de Emissão'!F449+VLOOKUP(C259,FACE!$B$84:$H$92,7,FALSE)*'Fatores de Emissão'!F450,"")</f>
        <v/>
      </c>
      <c r="H259" s="802" t="str">
        <f t="shared" si="8"/>
        <v/>
      </c>
      <c r="I259" s="802" t="str">
        <f t="shared" si="9"/>
        <v/>
      </c>
      <c r="J259" s="1022" t="str">
        <f>IF(D259="","",SUMIF('Fatores de Emissão'!$B$31:$B$75, $C259, 'Fatores de Emissão'!$R$31:$R$75)*D259)</f>
        <v/>
      </c>
      <c r="L259" s="175"/>
    </row>
    <row r="260" spans="1:12" hidden="1" outlineLevel="2" x14ac:dyDescent="0.35">
      <c r="A260" s="192"/>
      <c r="B260" s="193"/>
      <c r="C260" s="194"/>
      <c r="D260" s="490"/>
      <c r="E260" s="492" t="str">
        <f>IF(C260="","",VLOOKUP(C260,FACE!$B$47:$D$92,3,FALSE))</f>
        <v/>
      </c>
      <c r="F260" s="956" t="str">
        <f>IFERROR(VLOOKUP(C260,FACE!$B$47:$H$82,5,FALSE)+VLOOKUP(C260,FACE!$B$47:$H$82,6,FALSE)*'Fatores de Emissão'!E450+VLOOKUP(C260,FACE!$B$47:$H$82,7,FALSE)*'Fatores de Emissão'!E451,"")</f>
        <v/>
      </c>
      <c r="G260" s="493" t="str">
        <f>IFERROR(VLOOKUP(C260,FACE!$B$84:$H$92,5,FALSE)+VLOOKUP(C260,FACE!$B$84:$H$92,6,FALSE)*'Fatores de Emissão'!F450+VLOOKUP(C260,FACE!$B$84:$H$92,7,FALSE)*'Fatores de Emissão'!F451,"")</f>
        <v/>
      </c>
      <c r="H260" s="802" t="str">
        <f t="shared" si="8"/>
        <v/>
      </c>
      <c r="I260" s="802" t="str">
        <f t="shared" si="9"/>
        <v/>
      </c>
      <c r="J260" s="1022" t="str">
        <f>IF(D260="","",SUMIF('Fatores de Emissão'!$B$31:$B$75, $C260, 'Fatores de Emissão'!$R$31:$R$75)*D260)</f>
        <v/>
      </c>
      <c r="L260" s="175"/>
    </row>
    <row r="261" spans="1:12" hidden="1" outlineLevel="2" x14ac:dyDescent="0.35">
      <c r="A261" s="192"/>
      <c r="B261" s="193"/>
      <c r="C261" s="194"/>
      <c r="D261" s="490"/>
      <c r="E261" s="492" t="str">
        <f>IF(C261="","",VLOOKUP(C261,FACE!$B$47:$D$92,3,FALSE))</f>
        <v/>
      </c>
      <c r="F261" s="956" t="str">
        <f>IFERROR(VLOOKUP(C261,FACE!$B$47:$H$82,5,FALSE)+VLOOKUP(C261,FACE!$B$47:$H$82,6,FALSE)*'Fatores de Emissão'!E451+VLOOKUP(C261,FACE!$B$47:$H$82,7,FALSE)*'Fatores de Emissão'!E452,"")</f>
        <v/>
      </c>
      <c r="G261" s="493" t="str">
        <f>IFERROR(VLOOKUP(C261,FACE!$B$84:$H$92,5,FALSE)+VLOOKUP(C261,FACE!$B$84:$H$92,6,FALSE)*'Fatores de Emissão'!F451+VLOOKUP(C261,FACE!$B$84:$H$92,7,FALSE)*'Fatores de Emissão'!F452,"")</f>
        <v/>
      </c>
      <c r="H261" s="802" t="str">
        <f t="shared" si="8"/>
        <v/>
      </c>
      <c r="I261" s="802" t="str">
        <f t="shared" si="9"/>
        <v/>
      </c>
      <c r="J261" s="1022" t="str">
        <f>IF(D261="","",SUMIF('Fatores de Emissão'!$B$31:$B$75, $C261, 'Fatores de Emissão'!$R$31:$R$75)*D261)</f>
        <v/>
      </c>
      <c r="L261" s="175"/>
    </row>
    <row r="262" spans="1:12" hidden="1" outlineLevel="2" x14ac:dyDescent="0.35">
      <c r="A262" s="192"/>
      <c r="B262" s="193"/>
      <c r="C262" s="194"/>
      <c r="D262" s="490"/>
      <c r="E262" s="492" t="str">
        <f>IF(C262="","",VLOOKUP(C262,FACE!$B$47:$D$92,3,FALSE))</f>
        <v/>
      </c>
      <c r="F262" s="956" t="str">
        <f>IFERROR(VLOOKUP(C262,FACE!$B$47:$H$82,5,FALSE)+VLOOKUP(C262,FACE!$B$47:$H$82,6,FALSE)*'Fatores de Emissão'!E452+VLOOKUP(C262,FACE!$B$47:$H$82,7,FALSE)*'Fatores de Emissão'!E453,"")</f>
        <v/>
      </c>
      <c r="G262" s="493" t="str">
        <f>IFERROR(VLOOKUP(C262,FACE!$B$84:$H$92,5,FALSE)+VLOOKUP(C262,FACE!$B$84:$H$92,6,FALSE)*'Fatores de Emissão'!F452+VLOOKUP(C262,FACE!$B$84:$H$92,7,FALSE)*'Fatores de Emissão'!F453,"")</f>
        <v/>
      </c>
      <c r="H262" s="802" t="str">
        <f t="shared" si="8"/>
        <v/>
      </c>
      <c r="I262" s="802" t="str">
        <f t="shared" si="9"/>
        <v/>
      </c>
      <c r="J262" s="1022" t="str">
        <f>IF(D262="","",SUMIF('Fatores de Emissão'!$B$31:$B$75, $C262, 'Fatores de Emissão'!$R$31:$R$75)*D262)</f>
        <v/>
      </c>
      <c r="L262" s="175"/>
    </row>
    <row r="263" spans="1:12" hidden="1" outlineLevel="2" x14ac:dyDescent="0.35">
      <c r="A263" s="192"/>
      <c r="B263" s="193"/>
      <c r="C263" s="194"/>
      <c r="D263" s="490"/>
      <c r="E263" s="492" t="str">
        <f>IF(C263="","",VLOOKUP(C263,FACE!$B$47:$D$92,3,FALSE))</f>
        <v/>
      </c>
      <c r="F263" s="956" t="str">
        <f>IFERROR(VLOOKUP(C263,FACE!$B$47:$H$82,5,FALSE)+VLOOKUP(C263,FACE!$B$47:$H$82,6,FALSE)*'Fatores de Emissão'!E453+VLOOKUP(C263,FACE!$B$47:$H$82,7,FALSE)*'Fatores de Emissão'!E454,"")</f>
        <v/>
      </c>
      <c r="G263" s="493" t="str">
        <f>IFERROR(VLOOKUP(C263,FACE!$B$84:$H$92,5,FALSE)+VLOOKUP(C263,FACE!$B$84:$H$92,6,FALSE)*'Fatores de Emissão'!F453+VLOOKUP(C263,FACE!$B$84:$H$92,7,FALSE)*'Fatores de Emissão'!F454,"")</f>
        <v/>
      </c>
      <c r="H263" s="802" t="str">
        <f t="shared" si="8"/>
        <v/>
      </c>
      <c r="I263" s="802" t="str">
        <f t="shared" si="9"/>
        <v/>
      </c>
      <c r="J263" s="1022" t="str">
        <f>IF(D263="","",SUMIF('Fatores de Emissão'!$B$31:$B$75, $C263, 'Fatores de Emissão'!$R$31:$R$75)*D263)</f>
        <v/>
      </c>
      <c r="L263" s="175"/>
    </row>
    <row r="264" spans="1:12" hidden="1" outlineLevel="2" x14ac:dyDescent="0.35">
      <c r="A264" s="192"/>
      <c r="B264" s="193"/>
      <c r="C264" s="194"/>
      <c r="D264" s="490"/>
      <c r="E264" s="492" t="str">
        <f>IF(C264="","",VLOOKUP(C264,FACE!$B$47:$D$92,3,FALSE))</f>
        <v/>
      </c>
      <c r="F264" s="956" t="str">
        <f>IFERROR(VLOOKUP(C264,FACE!$B$47:$H$82,5,FALSE)+VLOOKUP(C264,FACE!$B$47:$H$82,6,FALSE)*'Fatores de Emissão'!E454+VLOOKUP(C264,FACE!$B$47:$H$82,7,FALSE)*'Fatores de Emissão'!E455,"")</f>
        <v/>
      </c>
      <c r="G264" s="493" t="str">
        <f>IFERROR(VLOOKUP(C264,FACE!$B$84:$H$92,5,FALSE)+VLOOKUP(C264,FACE!$B$84:$H$92,6,FALSE)*'Fatores de Emissão'!F454+VLOOKUP(C264,FACE!$B$84:$H$92,7,FALSE)*'Fatores de Emissão'!F455,"")</f>
        <v/>
      </c>
      <c r="H264" s="802" t="str">
        <f t="shared" si="8"/>
        <v/>
      </c>
      <c r="I264" s="802" t="str">
        <f t="shared" si="9"/>
        <v/>
      </c>
      <c r="J264" s="1022" t="str">
        <f>IF(D264="","",SUMIF('Fatores de Emissão'!$B$31:$B$75, $C264, 'Fatores de Emissão'!$R$31:$R$75)*D264)</f>
        <v/>
      </c>
      <c r="L264" s="175"/>
    </row>
    <row r="265" spans="1:12" hidden="1" outlineLevel="2" x14ac:dyDescent="0.35">
      <c r="A265" s="192"/>
      <c r="B265" s="193"/>
      <c r="C265" s="194"/>
      <c r="D265" s="490"/>
      <c r="E265" s="492" t="str">
        <f>IF(C265="","",VLOOKUP(C265,FACE!$B$47:$D$92,3,FALSE))</f>
        <v/>
      </c>
      <c r="F265" s="956" t="str">
        <f>IFERROR(VLOOKUP(C265,FACE!$B$47:$H$82,5,FALSE)+VLOOKUP(C265,FACE!$B$47:$H$82,6,FALSE)*'Fatores de Emissão'!E455+VLOOKUP(C265,FACE!$B$47:$H$82,7,FALSE)*'Fatores de Emissão'!E456,"")</f>
        <v/>
      </c>
      <c r="G265" s="493" t="str">
        <f>IFERROR(VLOOKUP(C265,FACE!$B$84:$H$92,5,FALSE)+VLOOKUP(C265,FACE!$B$84:$H$92,6,FALSE)*'Fatores de Emissão'!F455+VLOOKUP(C265,FACE!$B$84:$H$92,7,FALSE)*'Fatores de Emissão'!F456,"")</f>
        <v/>
      </c>
      <c r="H265" s="802" t="str">
        <f t="shared" si="8"/>
        <v/>
      </c>
      <c r="I265" s="802" t="str">
        <f t="shared" si="9"/>
        <v/>
      </c>
      <c r="J265" s="1022" t="str">
        <f>IF(D265="","",SUMIF('Fatores de Emissão'!$B$31:$B$75, $C265, 'Fatores de Emissão'!$R$31:$R$75)*D265)</f>
        <v/>
      </c>
      <c r="L265" s="175"/>
    </row>
    <row r="266" spans="1:12" hidden="1" outlineLevel="2" x14ac:dyDescent="0.35">
      <c r="A266" s="192"/>
      <c r="B266" s="193"/>
      <c r="C266" s="194"/>
      <c r="D266" s="490"/>
      <c r="E266" s="492" t="str">
        <f>IF(C266="","",VLOOKUP(C266,FACE!$B$47:$D$92,3,FALSE))</f>
        <v/>
      </c>
      <c r="F266" s="956" t="str">
        <f>IFERROR(VLOOKUP(C266,FACE!$B$47:$H$82,5,FALSE)+VLOOKUP(C266,FACE!$B$47:$H$82,6,FALSE)*'Fatores de Emissão'!E456+VLOOKUP(C266,FACE!$B$47:$H$82,7,FALSE)*'Fatores de Emissão'!E457,"")</f>
        <v/>
      </c>
      <c r="G266" s="493" t="str">
        <f>IFERROR(VLOOKUP(C266,FACE!$B$84:$H$92,5,FALSE)+VLOOKUP(C266,FACE!$B$84:$H$92,6,FALSE)*'Fatores de Emissão'!F456+VLOOKUP(C266,FACE!$B$84:$H$92,7,FALSE)*'Fatores de Emissão'!F457,"")</f>
        <v/>
      </c>
      <c r="H266" s="802" t="str">
        <f t="shared" si="8"/>
        <v/>
      </c>
      <c r="I266" s="802" t="str">
        <f t="shared" si="9"/>
        <v/>
      </c>
      <c r="J266" s="1022" t="str">
        <f>IF(D266="","",SUMIF('Fatores de Emissão'!$B$31:$B$75, $C266, 'Fatores de Emissão'!$R$31:$R$75)*D266)</f>
        <v/>
      </c>
      <c r="L266" s="175"/>
    </row>
    <row r="267" spans="1:12" hidden="1" outlineLevel="2" x14ac:dyDescent="0.35">
      <c r="A267" s="192"/>
      <c r="B267" s="193"/>
      <c r="C267" s="194"/>
      <c r="D267" s="490"/>
      <c r="E267" s="492" t="str">
        <f>IF(C267="","",VLOOKUP(C267,FACE!$B$47:$D$92,3,FALSE))</f>
        <v/>
      </c>
      <c r="F267" s="956" t="str">
        <f>IFERROR(VLOOKUP(C267,FACE!$B$47:$H$82,5,FALSE)+VLOOKUP(C267,FACE!$B$47:$H$82,6,FALSE)*'Fatores de Emissão'!E457+VLOOKUP(C267,FACE!$B$47:$H$82,7,FALSE)*'Fatores de Emissão'!E458,"")</f>
        <v/>
      </c>
      <c r="G267" s="493" t="str">
        <f>IFERROR(VLOOKUP(C267,FACE!$B$84:$H$92,5,FALSE)+VLOOKUP(C267,FACE!$B$84:$H$92,6,FALSE)*'Fatores de Emissão'!F457+VLOOKUP(C267,FACE!$B$84:$H$92,7,FALSE)*'Fatores de Emissão'!F458,"")</f>
        <v/>
      </c>
      <c r="H267" s="802" t="str">
        <f t="shared" si="8"/>
        <v/>
      </c>
      <c r="I267" s="802" t="str">
        <f t="shared" si="9"/>
        <v/>
      </c>
      <c r="J267" s="1022" t="str">
        <f>IF(D267="","",SUMIF('Fatores de Emissão'!$B$31:$B$75, $C267, 'Fatores de Emissão'!$R$31:$R$75)*D267)</f>
        <v/>
      </c>
      <c r="L267" s="175"/>
    </row>
    <row r="268" spans="1:12" hidden="1" outlineLevel="2" x14ac:dyDescent="0.35">
      <c r="A268" s="192"/>
      <c r="B268" s="193"/>
      <c r="C268" s="194"/>
      <c r="D268" s="490"/>
      <c r="E268" s="492" t="str">
        <f>IF(C268="","",VLOOKUP(C268,FACE!$B$47:$D$92,3,FALSE))</f>
        <v/>
      </c>
      <c r="F268" s="956" t="str">
        <f>IFERROR(VLOOKUP(C268,FACE!$B$47:$H$82,5,FALSE)+VLOOKUP(C268,FACE!$B$47:$H$82,6,FALSE)*'Fatores de Emissão'!E458+VLOOKUP(C268,FACE!$B$47:$H$82,7,FALSE)*'Fatores de Emissão'!E459,"")</f>
        <v/>
      </c>
      <c r="G268" s="493" t="str">
        <f>IFERROR(VLOOKUP(C268,FACE!$B$84:$H$92,5,FALSE)+VLOOKUP(C268,FACE!$B$84:$H$92,6,FALSE)*'Fatores de Emissão'!F458+VLOOKUP(C268,FACE!$B$84:$H$92,7,FALSE)*'Fatores de Emissão'!F459,"")</f>
        <v/>
      </c>
      <c r="H268" s="802" t="str">
        <f t="shared" si="8"/>
        <v/>
      </c>
      <c r="I268" s="802" t="str">
        <f t="shared" si="9"/>
        <v/>
      </c>
      <c r="J268" s="1022" t="str">
        <f>IF(D268="","",SUMIF('Fatores de Emissão'!$B$31:$B$75, $C268, 'Fatores de Emissão'!$R$31:$R$75)*D268)</f>
        <v/>
      </c>
      <c r="L268" s="175"/>
    </row>
    <row r="269" spans="1:12" hidden="1" outlineLevel="2" x14ac:dyDescent="0.35">
      <c r="A269" s="192"/>
      <c r="B269" s="193"/>
      <c r="C269" s="194"/>
      <c r="D269" s="490"/>
      <c r="E269" s="492" t="str">
        <f>IF(C269="","",VLOOKUP(C269,FACE!$B$47:$D$92,3,FALSE))</f>
        <v/>
      </c>
      <c r="F269" s="956" t="str">
        <f>IFERROR(VLOOKUP(C269,FACE!$B$47:$H$82,5,FALSE)+VLOOKUP(C269,FACE!$B$47:$H$82,6,FALSE)*'Fatores de Emissão'!E459+VLOOKUP(C269,FACE!$B$47:$H$82,7,FALSE)*'Fatores de Emissão'!E460,"")</f>
        <v/>
      </c>
      <c r="G269" s="493" t="str">
        <f>IFERROR(VLOOKUP(C269,FACE!$B$84:$H$92,5,FALSE)+VLOOKUP(C269,FACE!$B$84:$H$92,6,FALSE)*'Fatores de Emissão'!F459+VLOOKUP(C269,FACE!$B$84:$H$92,7,FALSE)*'Fatores de Emissão'!F460,"")</f>
        <v/>
      </c>
      <c r="H269" s="802" t="str">
        <f t="shared" si="8"/>
        <v/>
      </c>
      <c r="I269" s="802" t="str">
        <f t="shared" si="9"/>
        <v/>
      </c>
      <c r="J269" s="1022" t="str">
        <f>IF(D269="","",SUMIF('Fatores de Emissão'!$B$31:$B$75, $C269, 'Fatores de Emissão'!$R$31:$R$75)*D269)</f>
        <v/>
      </c>
      <c r="L269" s="175"/>
    </row>
    <row r="270" spans="1:12" outlineLevel="1" collapsed="1" x14ac:dyDescent="0.35">
      <c r="A270" s="189"/>
      <c r="B270" s="189"/>
      <c r="C270" s="189"/>
      <c r="D270" s="189"/>
      <c r="E270" s="189"/>
      <c r="G270" s="196"/>
      <c r="H270" s="196"/>
      <c r="I270" s="196"/>
      <c r="J270" s="196"/>
      <c r="K270" s="196"/>
      <c r="L270" s="175"/>
    </row>
    <row r="271" spans="1:12" outlineLevel="1" x14ac:dyDescent="0.35">
      <c r="B271" s="174"/>
      <c r="K271" s="175"/>
    </row>
    <row r="272" spans="1:12" outlineLevel="1" x14ac:dyDescent="0.35"/>
    <row r="273" spans="1:21" outlineLevel="1" x14ac:dyDescent="0.35"/>
    <row r="274" spans="1:21" outlineLevel="1" x14ac:dyDescent="0.35"/>
    <row r="275" spans="1:21" ht="19.899999999999999" customHeight="1" outlineLevel="1" x14ac:dyDescent="0.35">
      <c r="B275" s="1086" t="s">
        <v>1081</v>
      </c>
      <c r="C275" s="1087"/>
      <c r="D275" s="1088"/>
      <c r="E275" s="959">
        <f>SUM(H170:H269)/1000</f>
        <v>0</v>
      </c>
      <c r="K275" s="197"/>
    </row>
    <row r="276" spans="1:21" ht="19.899999999999999" customHeight="1" outlineLevel="1" x14ac:dyDescent="0.35">
      <c r="B276" s="1086" t="s">
        <v>1082</v>
      </c>
      <c r="C276" s="1087"/>
      <c r="D276" s="1088"/>
      <c r="E276" s="959">
        <f>SUM(I170:I269)/1000</f>
        <v>0</v>
      </c>
      <c r="K276" s="197"/>
    </row>
    <row r="277" spans="1:21" ht="19.899999999999999" customHeight="1" outlineLevel="1" x14ac:dyDescent="0.35">
      <c r="B277" s="1086" t="s">
        <v>1083</v>
      </c>
      <c r="C277" s="1087"/>
      <c r="D277" s="1088"/>
      <c r="E277" s="959">
        <f>SUM(J170:J269)/1000</f>
        <v>0</v>
      </c>
      <c r="K277" s="197"/>
    </row>
    <row r="278" spans="1:21" outlineLevel="1" x14ac:dyDescent="0.35"/>
    <row r="279" spans="1:21" x14ac:dyDescent="0.35"/>
    <row r="280" spans="1:21" s="487" customFormat="1" ht="30" customHeight="1" x14ac:dyDescent="0.35">
      <c r="A280" s="609"/>
      <c r="B280" s="486" t="s">
        <v>500</v>
      </c>
    </row>
    <row r="281" spans="1:21" outlineLevel="1" x14ac:dyDescent="0.35">
      <c r="B281" s="174"/>
      <c r="K281" s="175"/>
    </row>
    <row r="282" spans="1:21" ht="18.5" outlineLevel="1" x14ac:dyDescent="0.35">
      <c r="B282" s="169" t="s">
        <v>1085</v>
      </c>
      <c r="C282" s="179"/>
      <c r="D282" s="180"/>
      <c r="E282" s="182"/>
      <c r="F282" s="610" t="str">
        <f>IF(D287&gt;0, IF($D$37="", "Tem de indicar o setor de atividade em cima", ""),"")</f>
        <v/>
      </c>
      <c r="K282" s="175"/>
    </row>
    <row r="283" spans="1:21" ht="33.65" customHeight="1" outlineLevel="1" x14ac:dyDescent="0.35">
      <c r="B283" s="1089" t="s">
        <v>645</v>
      </c>
      <c r="C283" s="1089" t="s">
        <v>28</v>
      </c>
      <c r="D283" s="1101" t="s">
        <v>531</v>
      </c>
      <c r="E283" s="1089" t="s">
        <v>29</v>
      </c>
      <c r="F283" s="1089" t="str">
        <f>F166</f>
        <v>Fator de emissão de GEE fóssil da combustão</v>
      </c>
      <c r="G283" s="1089" t="str">
        <f>G166</f>
        <v>Fator de emissão de GEE biogénico da combustão</v>
      </c>
      <c r="H283" s="1089" t="str">
        <f>H166</f>
        <v>Emissões de GEE fósseis anuais</v>
      </c>
      <c r="I283" s="1089" t="str">
        <f>I166</f>
        <v>Emissões de GEE biogénicas anuais</v>
      </c>
      <c r="J283" s="1089" t="s">
        <v>665</v>
      </c>
      <c r="L283" s="172"/>
      <c r="M283" s="185" t="s">
        <v>618</v>
      </c>
      <c r="N283" s="172"/>
      <c r="O283" s="173"/>
      <c r="P283" s="172"/>
      <c r="Q283" s="172"/>
      <c r="R283" s="172"/>
      <c r="S283" s="172"/>
      <c r="T283" s="172"/>
      <c r="U283" s="172"/>
    </row>
    <row r="284" spans="1:21" ht="18" customHeight="1" outlineLevel="1" x14ac:dyDescent="0.35">
      <c r="B284" s="1090"/>
      <c r="C284" s="1090"/>
      <c r="D284" s="1102"/>
      <c r="E284" s="1090"/>
      <c r="F284" s="1090"/>
      <c r="G284" s="1090"/>
      <c r="H284" s="1090"/>
      <c r="I284" s="1090"/>
      <c r="J284" s="1090"/>
      <c r="L284" s="172"/>
      <c r="M284" s="172" t="s">
        <v>1034</v>
      </c>
      <c r="N284" s="172"/>
      <c r="O284" s="1096"/>
      <c r="P284" s="1097"/>
      <c r="Q284" s="1098"/>
      <c r="R284" s="172"/>
      <c r="S284" s="172"/>
      <c r="T284" s="172"/>
      <c r="U284" s="172"/>
    </row>
    <row r="285" spans="1:21" ht="18" customHeight="1" outlineLevel="1" x14ac:dyDescent="0.35">
      <c r="B285" s="1100"/>
      <c r="C285" s="1100"/>
      <c r="D285" s="1103"/>
      <c r="E285" s="1100"/>
      <c r="F285" s="186" t="str">
        <f>F168</f>
        <v>(kgCO2e / unidade)</v>
      </c>
      <c r="G285" s="186" t="str">
        <f>G168</f>
        <v>(kgCO2e / unidade)</v>
      </c>
      <c r="H285" s="186" t="s">
        <v>1079</v>
      </c>
      <c r="I285" s="186" t="s">
        <v>1079</v>
      </c>
      <c r="J285" s="186" t="s">
        <v>1080</v>
      </c>
      <c r="L285" s="172"/>
      <c r="M285" s="172"/>
      <c r="N285" s="172"/>
      <c r="O285" s="173"/>
      <c r="P285" s="172"/>
      <c r="Q285" s="172"/>
      <c r="R285" s="172"/>
      <c r="S285" s="172"/>
      <c r="T285" s="172"/>
      <c r="U285" s="172"/>
    </row>
    <row r="286" spans="1:21" ht="19.899999999999999" customHeight="1" outlineLevel="1" x14ac:dyDescent="0.35">
      <c r="A286" s="189" t="s">
        <v>39</v>
      </c>
      <c r="B286" s="201" t="s">
        <v>646</v>
      </c>
      <c r="C286" s="301" t="s">
        <v>476</v>
      </c>
      <c r="D286" s="340">
        <v>100</v>
      </c>
      <c r="E286" s="203" t="str">
        <f>IF(C286="","",VLOOKUP(C286,FACE!$B$47:$D$82,3,FALSE))</f>
        <v>m3</v>
      </c>
      <c r="F286" s="955">
        <v>2.4295207639999994</v>
      </c>
      <c r="G286" s="955"/>
      <c r="H286" s="489">
        <v>242.95207639999995</v>
      </c>
      <c r="I286" s="489"/>
      <c r="J286" s="1026">
        <v>1.759262433046875E-3</v>
      </c>
      <c r="L286" s="172"/>
      <c r="M286" s="1073" t="str">
        <f>IF(O284="","",VLOOKUP(O284,FACE!$C$10:$D$40,2,FALSE))</f>
        <v/>
      </c>
      <c r="N286" s="1074"/>
      <c r="O286" s="1074"/>
      <c r="P286" s="1074"/>
      <c r="Q286" s="1074"/>
      <c r="R286" s="1074"/>
      <c r="S286" s="1074"/>
      <c r="T286" s="1075"/>
      <c r="U286" s="172"/>
    </row>
    <row r="287" spans="1:21" ht="19.899999999999999" customHeight="1" outlineLevel="1" x14ac:dyDescent="0.35">
      <c r="A287" s="192"/>
      <c r="B287" s="193"/>
      <c r="C287" s="454"/>
      <c r="D287" s="490"/>
      <c r="E287" s="492" t="str">
        <f>IF(C287="","",VLOOKUP(C287,FACE!$B$47:$D$92,3,FALSE))</f>
        <v/>
      </c>
      <c r="F287" s="956" t="str">
        <f>IFERROR(VLOOKUP(C287,FACE!$B$47:$H$82,5,FALSE)+VLOOKUP(C287,FACE!$B$47:$H$82,6,FALSE)*'Fatores de Emissão'!E477+VLOOKUP(C287,FACE!$B$47:$H$82,7,FALSE)*'Fatores de Emissão'!E478,"")</f>
        <v/>
      </c>
      <c r="G287" s="956" t="str">
        <f>IFERROR(VLOOKUP(C287,FACE!$B$84:$H$92,5,FALSE)+VLOOKUP(C287,FACE!$B$84:$H$92,6,FALSE)*'Fatores de Emissão'!F477+VLOOKUP(C287,FACE!$B$84:$H$92,7,FALSE)*'Fatores de Emissão'!F478,"")</f>
        <v/>
      </c>
      <c r="H287" s="802" t="str">
        <f>IFERROR(F287*D287,"")</f>
        <v/>
      </c>
      <c r="I287" s="802" t="str">
        <f>IFERROR(G287*D287,"")</f>
        <v/>
      </c>
      <c r="J287" s="1022" t="str">
        <f>IF(D287="","",SUMIF('Fatores de Emissão'!$B$31:$B$75, $C287, 'Fatores de Emissão'!$R$31:$R$75)*D287)</f>
        <v/>
      </c>
      <c r="L287" s="172"/>
      <c r="M287" s="1076"/>
      <c r="N287" s="1077"/>
      <c r="O287" s="1077"/>
      <c r="P287" s="1077"/>
      <c r="Q287" s="1077"/>
      <c r="R287" s="1077"/>
      <c r="S287" s="1077"/>
      <c r="T287" s="1078"/>
      <c r="U287" s="172"/>
    </row>
    <row r="288" spans="1:21" ht="19.899999999999999" customHeight="1" outlineLevel="1" x14ac:dyDescent="0.35">
      <c r="A288" s="192"/>
      <c r="B288" s="193"/>
      <c r="C288" s="454"/>
      <c r="D288" s="490"/>
      <c r="E288" s="492" t="str">
        <f>IF(C288="","",VLOOKUP(C288,FACE!$B$47:$D$92,3,FALSE))</f>
        <v/>
      </c>
      <c r="F288" s="956" t="str">
        <f>IFERROR(VLOOKUP(C288,FACE!$B$47:$H$82,5,FALSE)+VLOOKUP(C288,FACE!$B$47:$H$82,6,FALSE)*'Fatores de Emissão'!E478+VLOOKUP(C288,FACE!$B$47:$H$82,7,FALSE)*'Fatores de Emissão'!E479,"")</f>
        <v/>
      </c>
      <c r="G288" s="956" t="str">
        <f>IFERROR(VLOOKUP(C288,FACE!$B$84:$H$92,5,FALSE)+VLOOKUP(C288,FACE!$B$84:$H$92,6,FALSE)*'Fatores de Emissão'!F478+VLOOKUP(C288,FACE!$B$84:$H$92,7,FALSE)*'Fatores de Emissão'!F479,"")</f>
        <v/>
      </c>
      <c r="H288" s="802" t="str">
        <f t="shared" ref="H288:H351" si="10">IFERROR(F288*D288,"")</f>
        <v/>
      </c>
      <c r="I288" s="802" t="str">
        <f t="shared" ref="I288:I351" si="11">IFERROR(G288*D288,"")</f>
        <v/>
      </c>
      <c r="J288" s="1022" t="str">
        <f>IF(D288="","",SUMIF('Fatores de Emissão'!$B$31:$B$75, $C288, 'Fatores de Emissão'!$R$31:$R$75)*D288)</f>
        <v/>
      </c>
      <c r="L288" s="172"/>
      <c r="M288" s="1076"/>
      <c r="N288" s="1077"/>
      <c r="O288" s="1077"/>
      <c r="P288" s="1077"/>
      <c r="Q288" s="1077"/>
      <c r="R288" s="1077"/>
      <c r="S288" s="1077"/>
      <c r="T288" s="1078"/>
      <c r="U288" s="172"/>
    </row>
    <row r="289" spans="1:21" ht="19.899999999999999" customHeight="1" outlineLevel="1" x14ac:dyDescent="0.35">
      <c r="A289" s="192"/>
      <c r="B289" s="193"/>
      <c r="C289" s="454"/>
      <c r="D289" s="490"/>
      <c r="E289" s="492" t="str">
        <f>IF(C289="","",VLOOKUP(C289,FACE!$B$47:$D$92,3,FALSE))</f>
        <v/>
      </c>
      <c r="F289" s="956" t="str">
        <f>IFERROR(VLOOKUP(C289,FACE!$B$47:$H$82,5,FALSE)+VLOOKUP(C289,FACE!$B$47:$H$82,6,FALSE)*'Fatores de Emissão'!E479+VLOOKUP(C289,FACE!$B$47:$H$82,7,FALSE)*'Fatores de Emissão'!E480,"")</f>
        <v/>
      </c>
      <c r="G289" s="956" t="str">
        <f>IFERROR(VLOOKUP(C289,FACE!$B$84:$H$92,5,FALSE)+VLOOKUP(C289,FACE!$B$84:$H$92,6,FALSE)*'Fatores de Emissão'!F479+VLOOKUP(C289,FACE!$B$84:$H$92,7,FALSE)*'Fatores de Emissão'!F480,"")</f>
        <v/>
      </c>
      <c r="H289" s="802" t="str">
        <f t="shared" si="10"/>
        <v/>
      </c>
      <c r="I289" s="802" t="str">
        <f t="shared" si="11"/>
        <v/>
      </c>
      <c r="J289" s="1022" t="str">
        <f>IF(D289="","",SUMIF('Fatores de Emissão'!$B$31:$B$75, $C289, 'Fatores de Emissão'!$R$31:$R$75)*D289)</f>
        <v/>
      </c>
      <c r="L289" s="172"/>
      <c r="M289" s="1076"/>
      <c r="N289" s="1077"/>
      <c r="O289" s="1077"/>
      <c r="P289" s="1077"/>
      <c r="Q289" s="1077"/>
      <c r="R289" s="1077"/>
      <c r="S289" s="1077"/>
      <c r="T289" s="1078"/>
      <c r="U289" s="172"/>
    </row>
    <row r="290" spans="1:21" ht="19.899999999999999" customHeight="1" outlineLevel="1" x14ac:dyDescent="0.35">
      <c r="A290" s="192"/>
      <c r="B290" s="193"/>
      <c r="C290" s="454"/>
      <c r="D290" s="490"/>
      <c r="E290" s="492" t="str">
        <f>IF(C290="","",VLOOKUP(C290,FACE!$B$47:$D$92,3,FALSE))</f>
        <v/>
      </c>
      <c r="F290" s="956" t="str">
        <f>IFERROR(VLOOKUP(C290,FACE!$B$47:$H$82,5,FALSE)+VLOOKUP(C290,FACE!$B$47:$H$82,6,FALSE)*'Fatores de Emissão'!E480+VLOOKUP(C290,FACE!$B$47:$H$82,7,FALSE)*'Fatores de Emissão'!E481,"")</f>
        <v/>
      </c>
      <c r="G290" s="956" t="str">
        <f>IFERROR(VLOOKUP(C290,FACE!$B$84:$H$92,5,FALSE)+VLOOKUP(C290,FACE!$B$84:$H$92,6,FALSE)*'Fatores de Emissão'!F480+VLOOKUP(C290,FACE!$B$84:$H$92,7,FALSE)*'Fatores de Emissão'!F481,"")</f>
        <v/>
      </c>
      <c r="H290" s="802" t="str">
        <f t="shared" si="10"/>
        <v/>
      </c>
      <c r="I290" s="802" t="str">
        <f t="shared" si="11"/>
        <v/>
      </c>
      <c r="J290" s="1022" t="str">
        <f>IF(D290="","",SUMIF('Fatores de Emissão'!$B$31:$B$75, $C290, 'Fatores de Emissão'!$R$31:$R$75)*D290)</f>
        <v/>
      </c>
      <c r="L290" s="172"/>
      <c r="M290" s="1076"/>
      <c r="N290" s="1077"/>
      <c r="O290" s="1077"/>
      <c r="P290" s="1077"/>
      <c r="Q290" s="1077"/>
      <c r="R290" s="1077"/>
      <c r="S290" s="1077"/>
      <c r="T290" s="1078"/>
      <c r="U290" s="172"/>
    </row>
    <row r="291" spans="1:21" ht="19.899999999999999" customHeight="1" outlineLevel="1" x14ac:dyDescent="0.35">
      <c r="A291" s="192"/>
      <c r="B291" s="193"/>
      <c r="C291" s="454"/>
      <c r="D291" s="490"/>
      <c r="E291" s="492" t="str">
        <f>IF(C291="","",VLOOKUP(C291,FACE!$B$47:$D$92,3,FALSE))</f>
        <v/>
      </c>
      <c r="F291" s="956" t="str">
        <f>IFERROR(VLOOKUP(C291,FACE!$B$47:$H$82,5,FALSE)+VLOOKUP(C291,FACE!$B$47:$H$82,6,FALSE)*'Fatores de Emissão'!E481+VLOOKUP(C291,FACE!$B$47:$H$82,7,FALSE)*'Fatores de Emissão'!E482,"")</f>
        <v/>
      </c>
      <c r="G291" s="956" t="str">
        <f>IFERROR(VLOOKUP(C291,FACE!$B$84:$H$92,5,FALSE)+VLOOKUP(C291,FACE!$B$84:$H$92,6,FALSE)*'Fatores de Emissão'!F481+VLOOKUP(C291,FACE!$B$84:$H$92,7,FALSE)*'Fatores de Emissão'!F482,"")</f>
        <v/>
      </c>
      <c r="H291" s="802" t="str">
        <f t="shared" si="10"/>
        <v/>
      </c>
      <c r="I291" s="802" t="str">
        <f t="shared" si="11"/>
        <v/>
      </c>
      <c r="J291" s="1022" t="str">
        <f>IF(D291="","",SUMIF('Fatores de Emissão'!$B$31:$B$75, $C291, 'Fatores de Emissão'!$R$31:$R$75)*D291)</f>
        <v/>
      </c>
      <c r="L291" s="172"/>
      <c r="M291" s="1076"/>
      <c r="N291" s="1077"/>
      <c r="O291" s="1077"/>
      <c r="P291" s="1077"/>
      <c r="Q291" s="1077"/>
      <c r="R291" s="1077"/>
      <c r="S291" s="1077"/>
      <c r="T291" s="1078"/>
      <c r="U291" s="172"/>
    </row>
    <row r="292" spans="1:21" ht="19.899999999999999" customHeight="1" outlineLevel="1" x14ac:dyDescent="0.35">
      <c r="A292" s="192"/>
      <c r="B292" s="193"/>
      <c r="C292" s="454"/>
      <c r="D292" s="490"/>
      <c r="E292" s="492" t="str">
        <f>IF(C292="","",VLOOKUP(C292,FACE!$B$47:$D$92,3,FALSE))</f>
        <v/>
      </c>
      <c r="F292" s="956" t="str">
        <f>IFERROR(VLOOKUP(C292,FACE!$B$47:$H$82,5,FALSE)+VLOOKUP(C292,FACE!$B$47:$H$82,6,FALSE)*'Fatores de Emissão'!E482+VLOOKUP(C292,FACE!$B$47:$H$82,7,FALSE)*'Fatores de Emissão'!E483,"")</f>
        <v/>
      </c>
      <c r="G292" s="956" t="str">
        <f>IFERROR(VLOOKUP(C292,FACE!$B$84:$H$92,5,FALSE)+VLOOKUP(C292,FACE!$B$84:$H$92,6,FALSE)*'Fatores de Emissão'!F482+VLOOKUP(C292,FACE!$B$84:$H$92,7,FALSE)*'Fatores de Emissão'!F483,"")</f>
        <v/>
      </c>
      <c r="H292" s="802" t="str">
        <f t="shared" si="10"/>
        <v/>
      </c>
      <c r="I292" s="802" t="str">
        <f t="shared" si="11"/>
        <v/>
      </c>
      <c r="J292" s="1022" t="str">
        <f>IF(D292="","",SUMIF('Fatores de Emissão'!$B$31:$B$75, $C292, 'Fatores de Emissão'!$R$31:$R$75)*D292)</f>
        <v/>
      </c>
      <c r="L292" s="172"/>
      <c r="M292" s="1079"/>
      <c r="N292" s="1080"/>
      <c r="O292" s="1080"/>
      <c r="P292" s="1080"/>
      <c r="Q292" s="1080"/>
      <c r="R292" s="1080"/>
      <c r="S292" s="1080"/>
      <c r="T292" s="1081"/>
      <c r="U292" s="172"/>
    </row>
    <row r="293" spans="1:21" outlineLevel="1" x14ac:dyDescent="0.35">
      <c r="A293" s="192"/>
      <c r="B293" s="193"/>
      <c r="C293" s="454"/>
      <c r="D293" s="490"/>
      <c r="E293" s="492" t="str">
        <f>IF(C293="","",VLOOKUP(C293,FACE!$B$47:$D$92,3,FALSE))</f>
        <v/>
      </c>
      <c r="F293" s="956" t="str">
        <f>IFERROR(VLOOKUP(C293,FACE!$B$47:$H$82,5,FALSE)+VLOOKUP(C293,FACE!$B$47:$H$82,6,FALSE)*'Fatores de Emissão'!E483+VLOOKUP(C293,FACE!$B$47:$H$82,7,FALSE)*'Fatores de Emissão'!E484,"")</f>
        <v/>
      </c>
      <c r="G293" s="956" t="str">
        <f>IFERROR(VLOOKUP(C293,FACE!$B$84:$H$92,5,FALSE)+VLOOKUP(C293,FACE!$B$84:$H$92,6,FALSE)*'Fatores de Emissão'!F483+VLOOKUP(C293,FACE!$B$84:$H$92,7,FALSE)*'Fatores de Emissão'!F484,"")</f>
        <v/>
      </c>
      <c r="H293" s="802" t="str">
        <f t="shared" si="10"/>
        <v/>
      </c>
      <c r="I293" s="802" t="str">
        <f t="shared" si="11"/>
        <v/>
      </c>
      <c r="J293" s="1022" t="str">
        <f>IF(D293="","",SUMIF('Fatores de Emissão'!$B$31:$B$75, $C293, 'Fatores de Emissão'!$R$31:$R$75)*D293)</f>
        <v/>
      </c>
      <c r="L293" s="172"/>
      <c r="M293" s="172" t="s">
        <v>1060</v>
      </c>
      <c r="N293" s="172"/>
      <c r="O293" s="173"/>
      <c r="P293" s="172"/>
      <c r="Q293" s="172"/>
      <c r="R293" s="172"/>
      <c r="S293" s="172"/>
      <c r="T293" s="172"/>
      <c r="U293" s="172"/>
    </row>
    <row r="294" spans="1:21" outlineLevel="1" x14ac:dyDescent="0.35">
      <c r="A294" s="192"/>
      <c r="B294" s="193"/>
      <c r="C294" s="454"/>
      <c r="D294" s="490"/>
      <c r="E294" s="492" t="str">
        <f>IF(C294="","",VLOOKUP(C294,FACE!$B$47:$D$92,3,FALSE))</f>
        <v/>
      </c>
      <c r="F294" s="956" t="str">
        <f>IFERROR(VLOOKUP(C294,FACE!$B$47:$H$82,5,FALSE)+VLOOKUP(C294,FACE!$B$47:$H$82,6,FALSE)*'Fatores de Emissão'!E484+VLOOKUP(C294,FACE!$B$47:$H$82,7,FALSE)*'Fatores de Emissão'!E485,"")</f>
        <v/>
      </c>
      <c r="G294" s="956" t="str">
        <f>IFERROR(VLOOKUP(C294,FACE!$B$84:$H$92,5,FALSE)+VLOOKUP(C294,FACE!$B$84:$H$92,6,FALSE)*'Fatores de Emissão'!F484+VLOOKUP(C294,FACE!$B$84:$H$92,7,FALSE)*'Fatores de Emissão'!F485,"")</f>
        <v/>
      </c>
      <c r="H294" s="802" t="str">
        <f t="shared" si="10"/>
        <v/>
      </c>
      <c r="I294" s="802" t="str">
        <f t="shared" si="11"/>
        <v/>
      </c>
      <c r="J294" s="1022" t="str">
        <f>IF(D294="","",SUMIF('Fatores de Emissão'!$B$31:$B$75, $C294, 'Fatores de Emissão'!$R$31:$R$75)*D294)</f>
        <v/>
      </c>
      <c r="L294" s="175"/>
    </row>
    <row r="295" spans="1:21" outlineLevel="1" x14ac:dyDescent="0.35">
      <c r="A295" s="192"/>
      <c r="B295" s="193"/>
      <c r="C295" s="454"/>
      <c r="D295" s="490"/>
      <c r="E295" s="492" t="str">
        <f>IF(C295="","",VLOOKUP(C295,FACE!$B$47:$D$92,3,FALSE))</f>
        <v/>
      </c>
      <c r="F295" s="956" t="str">
        <f>IFERROR(VLOOKUP(C295,FACE!$B$47:$H$82,5,FALSE)+VLOOKUP(C295,FACE!$B$47:$H$82,6,FALSE)*'Fatores de Emissão'!E485+VLOOKUP(C295,FACE!$B$47:$H$82,7,FALSE)*'Fatores de Emissão'!E486,"")</f>
        <v/>
      </c>
      <c r="G295" s="956" t="str">
        <f>IFERROR(VLOOKUP(C295,FACE!$B$84:$H$92,5,FALSE)+VLOOKUP(C295,FACE!$B$84:$H$92,6,FALSE)*'Fatores de Emissão'!F485+VLOOKUP(C295,FACE!$B$84:$H$92,7,FALSE)*'Fatores de Emissão'!F486,"")</f>
        <v/>
      </c>
      <c r="H295" s="802" t="str">
        <f t="shared" si="10"/>
        <v/>
      </c>
      <c r="I295" s="802" t="str">
        <f t="shared" si="11"/>
        <v/>
      </c>
      <c r="J295" s="1022" t="str">
        <f>IF(D295="","",SUMIF('Fatores de Emissão'!$B$31:$B$75, $C295, 'Fatores de Emissão'!$R$31:$R$75)*D295)</f>
        <v/>
      </c>
      <c r="L295" s="175"/>
    </row>
    <row r="296" spans="1:21" outlineLevel="1" x14ac:dyDescent="0.35">
      <c r="A296" s="192"/>
      <c r="B296" s="193"/>
      <c r="C296" s="454"/>
      <c r="D296" s="490"/>
      <c r="E296" s="492" t="str">
        <f>IF(C296="","",VLOOKUP(C296,FACE!$B$47:$D$92,3,FALSE))</f>
        <v/>
      </c>
      <c r="F296" s="956" t="str">
        <f>IFERROR(VLOOKUP(C296,FACE!$B$47:$H$82,5,FALSE)+VLOOKUP(C296,FACE!$B$47:$H$82,6,FALSE)*'Fatores de Emissão'!E486+VLOOKUP(C296,FACE!$B$47:$H$82,7,FALSE)*'Fatores de Emissão'!E487,"")</f>
        <v/>
      </c>
      <c r="G296" s="956" t="str">
        <f>IFERROR(VLOOKUP(C296,FACE!$B$84:$H$92,5,FALSE)+VLOOKUP(C296,FACE!$B$84:$H$92,6,FALSE)*'Fatores de Emissão'!F486+VLOOKUP(C296,FACE!$B$84:$H$92,7,FALSE)*'Fatores de Emissão'!F487,"")</f>
        <v/>
      </c>
      <c r="H296" s="802" t="str">
        <f t="shared" si="10"/>
        <v/>
      </c>
      <c r="I296" s="802" t="str">
        <f t="shared" si="11"/>
        <v/>
      </c>
      <c r="J296" s="1022" t="str">
        <f>IF(D296="","",SUMIF('Fatores de Emissão'!$B$31:$B$75, $C296, 'Fatores de Emissão'!$R$31:$R$75)*D296)</f>
        <v/>
      </c>
      <c r="L296" s="175"/>
    </row>
    <row r="297" spans="1:21" outlineLevel="1" x14ac:dyDescent="0.35">
      <c r="A297" s="192"/>
      <c r="B297" s="193"/>
      <c r="C297" s="454"/>
      <c r="D297" s="490"/>
      <c r="E297" s="492" t="str">
        <f>IF(C297="","",VLOOKUP(C297,FACE!$B$47:$D$92,3,FALSE))</f>
        <v/>
      </c>
      <c r="F297" s="956" t="str">
        <f>IFERROR(VLOOKUP(C297,FACE!$B$47:$H$82,5,FALSE)+VLOOKUP(C297,FACE!$B$47:$H$82,6,FALSE)*'Fatores de Emissão'!E487+VLOOKUP(C297,FACE!$B$47:$H$82,7,FALSE)*'Fatores de Emissão'!E488,"")</f>
        <v/>
      </c>
      <c r="G297" s="956" t="str">
        <f>IFERROR(VLOOKUP(C297,FACE!$B$84:$H$92,5,FALSE)+VLOOKUP(C297,FACE!$B$84:$H$92,6,FALSE)*'Fatores de Emissão'!F487+VLOOKUP(C297,FACE!$B$84:$H$92,7,FALSE)*'Fatores de Emissão'!F488,"")</f>
        <v/>
      </c>
      <c r="H297" s="802" t="str">
        <f t="shared" si="10"/>
        <v/>
      </c>
      <c r="I297" s="802" t="str">
        <f t="shared" si="11"/>
        <v/>
      </c>
      <c r="J297" s="1022" t="str">
        <f>IF(D297="","",SUMIF('Fatores de Emissão'!$B$31:$B$75, $C297, 'Fatores de Emissão'!$R$31:$R$75)*D297)</f>
        <v/>
      </c>
      <c r="L297" s="175"/>
    </row>
    <row r="298" spans="1:21" hidden="1" outlineLevel="2" x14ac:dyDescent="0.35">
      <c r="A298" s="192"/>
      <c r="B298" s="193"/>
      <c r="C298" s="454"/>
      <c r="D298" s="490"/>
      <c r="E298" s="492" t="str">
        <f>IF(C298="","",VLOOKUP(C298,FACE!$B$47:$D$92,3,FALSE))</f>
        <v/>
      </c>
      <c r="F298" s="956" t="str">
        <f>IFERROR(VLOOKUP(C298,FACE!$B$47:$H$82,5,FALSE)+VLOOKUP(C298,FACE!$B$47:$H$82,6,FALSE)*'Fatores de Emissão'!E488+VLOOKUP(C298,FACE!$B$47:$H$82,7,FALSE)*'Fatores de Emissão'!E489,"")</f>
        <v/>
      </c>
      <c r="G298" s="493" t="str">
        <f>IFERROR(VLOOKUP(C298,FACE!$B$84:$H$92,5,FALSE)+VLOOKUP(C298,FACE!$B$84:$H$92,6,FALSE)*'Fatores de Emissão'!F488+VLOOKUP(C298,FACE!$B$84:$H$92,7,FALSE)*'Fatores de Emissão'!F489,"")</f>
        <v/>
      </c>
      <c r="H298" s="802" t="str">
        <f t="shared" si="10"/>
        <v/>
      </c>
      <c r="I298" s="802" t="str">
        <f t="shared" si="11"/>
        <v/>
      </c>
      <c r="J298" s="1022" t="str">
        <f>IF(D298="","",SUMIF('Fatores de Emissão'!$B$31:$B$75, $C298, 'Fatores de Emissão'!$R$31:$R$75)*D298)</f>
        <v/>
      </c>
      <c r="L298" s="175"/>
    </row>
    <row r="299" spans="1:21" hidden="1" outlineLevel="2" x14ac:dyDescent="0.35">
      <c r="A299" s="192"/>
      <c r="B299" s="193"/>
      <c r="C299" s="454"/>
      <c r="D299" s="490"/>
      <c r="E299" s="492" t="str">
        <f>IF(C299="","",VLOOKUP(C299,FACE!$B$47:$D$92,3,FALSE))</f>
        <v/>
      </c>
      <c r="F299" s="956" t="str">
        <f>IFERROR(VLOOKUP(C299,FACE!$B$47:$H$82,5,FALSE)+VLOOKUP(C299,FACE!$B$47:$H$82,6,FALSE)*'Fatores de Emissão'!E489+VLOOKUP(C299,FACE!$B$47:$H$82,7,FALSE)*'Fatores de Emissão'!E490,"")</f>
        <v/>
      </c>
      <c r="G299" s="493" t="str">
        <f>IFERROR(VLOOKUP(C299,FACE!$B$84:$H$92,5,FALSE)+VLOOKUP(C299,FACE!$B$84:$H$92,6,FALSE)*'Fatores de Emissão'!F489+VLOOKUP(C299,FACE!$B$84:$H$92,7,FALSE)*'Fatores de Emissão'!F490,"")</f>
        <v/>
      </c>
      <c r="H299" s="802" t="str">
        <f t="shared" si="10"/>
        <v/>
      </c>
      <c r="I299" s="802" t="str">
        <f t="shared" si="11"/>
        <v/>
      </c>
      <c r="J299" s="1022" t="str">
        <f>IF(D299="","",SUMIF('Fatores de Emissão'!$B$31:$B$75, $C299, 'Fatores de Emissão'!$R$31:$R$75)*D299)</f>
        <v/>
      </c>
      <c r="L299" s="175"/>
    </row>
    <row r="300" spans="1:21" hidden="1" outlineLevel="2" x14ac:dyDescent="0.35">
      <c r="A300" s="192"/>
      <c r="B300" s="193"/>
      <c r="C300" s="454"/>
      <c r="D300" s="490"/>
      <c r="E300" s="492" t="str">
        <f>IF(C300="","",VLOOKUP(C300,FACE!$B$47:$D$92,3,FALSE))</f>
        <v/>
      </c>
      <c r="F300" s="956" t="str">
        <f>IFERROR(VLOOKUP(C300,FACE!$B$47:$H$82,5,FALSE)+VLOOKUP(C300,FACE!$B$47:$H$82,6,FALSE)*'Fatores de Emissão'!E490+VLOOKUP(C300,FACE!$B$47:$H$82,7,FALSE)*'Fatores de Emissão'!E491,"")</f>
        <v/>
      </c>
      <c r="G300" s="493" t="str">
        <f>IFERROR(VLOOKUP(C300,FACE!$B$84:$H$92,5,FALSE)+VLOOKUP(C300,FACE!$B$84:$H$92,6,FALSE)*'Fatores de Emissão'!F490+VLOOKUP(C300,FACE!$B$84:$H$92,7,FALSE)*'Fatores de Emissão'!F491,"")</f>
        <v/>
      </c>
      <c r="H300" s="802" t="str">
        <f t="shared" si="10"/>
        <v/>
      </c>
      <c r="I300" s="802" t="str">
        <f t="shared" si="11"/>
        <v/>
      </c>
      <c r="J300" s="1022" t="str">
        <f>IF(D300="","",SUMIF('Fatores de Emissão'!$B$31:$B$75, $C300, 'Fatores de Emissão'!$R$31:$R$75)*D300)</f>
        <v/>
      </c>
      <c r="L300" s="175"/>
    </row>
    <row r="301" spans="1:21" hidden="1" outlineLevel="2" x14ac:dyDescent="0.35">
      <c r="A301" s="192"/>
      <c r="B301" s="193"/>
      <c r="C301" s="454"/>
      <c r="D301" s="490"/>
      <c r="E301" s="492" t="str">
        <f>IF(C301="","",VLOOKUP(C301,FACE!$B$47:$D$92,3,FALSE))</f>
        <v/>
      </c>
      <c r="F301" s="956" t="str">
        <f>IFERROR(VLOOKUP(C301,FACE!$B$47:$H$82,5,FALSE)+VLOOKUP(C301,FACE!$B$47:$H$82,6,FALSE)*'Fatores de Emissão'!E491+VLOOKUP(C301,FACE!$B$47:$H$82,7,FALSE)*'Fatores de Emissão'!E492,"")</f>
        <v/>
      </c>
      <c r="G301" s="493" t="str">
        <f>IFERROR(VLOOKUP(C301,FACE!$B$84:$H$92,5,FALSE)+VLOOKUP(C301,FACE!$B$84:$H$92,6,FALSE)*'Fatores de Emissão'!F491+VLOOKUP(C301,FACE!$B$84:$H$92,7,FALSE)*'Fatores de Emissão'!F492,"")</f>
        <v/>
      </c>
      <c r="H301" s="802" t="str">
        <f t="shared" si="10"/>
        <v/>
      </c>
      <c r="I301" s="802" t="str">
        <f t="shared" si="11"/>
        <v/>
      </c>
      <c r="J301" s="1022" t="str">
        <f>IF(D301="","",SUMIF('Fatores de Emissão'!$B$31:$B$75, $C301, 'Fatores de Emissão'!$R$31:$R$75)*D301)</f>
        <v/>
      </c>
      <c r="L301" s="175"/>
    </row>
    <row r="302" spans="1:21" hidden="1" outlineLevel="2" x14ac:dyDescent="0.35">
      <c r="A302" s="192"/>
      <c r="B302" s="193"/>
      <c r="C302" s="454"/>
      <c r="D302" s="490"/>
      <c r="E302" s="492" t="str">
        <f>IF(C302="","",VLOOKUP(C302,FACE!$B$47:$D$92,3,FALSE))</f>
        <v/>
      </c>
      <c r="F302" s="956" t="str">
        <f>IFERROR(VLOOKUP(C302,FACE!$B$47:$H$82,5,FALSE)+VLOOKUP(C302,FACE!$B$47:$H$82,6,FALSE)*'Fatores de Emissão'!E492+VLOOKUP(C302,FACE!$B$47:$H$82,7,FALSE)*'Fatores de Emissão'!E493,"")</f>
        <v/>
      </c>
      <c r="G302" s="493" t="str">
        <f>IFERROR(VLOOKUP(C302,FACE!$B$84:$H$92,5,FALSE)+VLOOKUP(C302,FACE!$B$84:$H$92,6,FALSE)*'Fatores de Emissão'!F492+VLOOKUP(C302,FACE!$B$84:$H$92,7,FALSE)*'Fatores de Emissão'!F493,"")</f>
        <v/>
      </c>
      <c r="H302" s="802" t="str">
        <f t="shared" si="10"/>
        <v/>
      </c>
      <c r="I302" s="802" t="str">
        <f t="shared" si="11"/>
        <v/>
      </c>
      <c r="J302" s="1022" t="str">
        <f>IF(D302="","",SUMIF('Fatores de Emissão'!$B$31:$B$75, $C302, 'Fatores de Emissão'!$R$31:$R$75)*D302)</f>
        <v/>
      </c>
      <c r="L302" s="175"/>
    </row>
    <row r="303" spans="1:21" hidden="1" outlineLevel="2" x14ac:dyDescent="0.35">
      <c r="A303" s="192"/>
      <c r="B303" s="193"/>
      <c r="C303" s="454"/>
      <c r="D303" s="490"/>
      <c r="E303" s="492" t="str">
        <f>IF(C303="","",VLOOKUP(C303,FACE!$B$47:$D$92,3,FALSE))</f>
        <v/>
      </c>
      <c r="F303" s="956" t="str">
        <f>IFERROR(VLOOKUP(C303,FACE!$B$47:$H$82,5,FALSE)+VLOOKUP(C303,FACE!$B$47:$H$82,6,FALSE)*'Fatores de Emissão'!E493+VLOOKUP(C303,FACE!$B$47:$H$82,7,FALSE)*'Fatores de Emissão'!E494,"")</f>
        <v/>
      </c>
      <c r="G303" s="493" t="str">
        <f>IFERROR(VLOOKUP(C303,FACE!$B$84:$H$92,5,FALSE)+VLOOKUP(C303,FACE!$B$84:$H$92,6,FALSE)*'Fatores de Emissão'!F493+VLOOKUP(C303,FACE!$B$84:$H$92,7,FALSE)*'Fatores de Emissão'!F494,"")</f>
        <v/>
      </c>
      <c r="H303" s="802" t="str">
        <f t="shared" si="10"/>
        <v/>
      </c>
      <c r="I303" s="802" t="str">
        <f t="shared" si="11"/>
        <v/>
      </c>
      <c r="J303" s="1022" t="str">
        <f>IF(D303="","",SUMIF('Fatores de Emissão'!$B$31:$B$75, $C303, 'Fatores de Emissão'!$R$31:$R$75)*D303)</f>
        <v/>
      </c>
      <c r="L303" s="175"/>
    </row>
    <row r="304" spans="1:21" hidden="1" outlineLevel="2" x14ac:dyDescent="0.35">
      <c r="A304" s="192"/>
      <c r="B304" s="193"/>
      <c r="C304" s="454"/>
      <c r="D304" s="490"/>
      <c r="E304" s="492" t="str">
        <f>IF(C304="","",VLOOKUP(C304,FACE!$B$47:$D$92,3,FALSE))</f>
        <v/>
      </c>
      <c r="F304" s="956" t="str">
        <f>IFERROR(VLOOKUP(C304,FACE!$B$47:$H$82,5,FALSE)+VLOOKUP(C304,FACE!$B$47:$H$82,6,FALSE)*'Fatores de Emissão'!E494+VLOOKUP(C304,FACE!$B$47:$H$82,7,FALSE)*'Fatores de Emissão'!E495,"")</f>
        <v/>
      </c>
      <c r="G304" s="493" t="str">
        <f>IFERROR(VLOOKUP(C304,FACE!$B$84:$H$92,5,FALSE)+VLOOKUP(C304,FACE!$B$84:$H$92,6,FALSE)*'Fatores de Emissão'!F494+VLOOKUP(C304,FACE!$B$84:$H$92,7,FALSE)*'Fatores de Emissão'!F495,"")</f>
        <v/>
      </c>
      <c r="H304" s="802" t="str">
        <f t="shared" si="10"/>
        <v/>
      </c>
      <c r="I304" s="802" t="str">
        <f t="shared" si="11"/>
        <v/>
      </c>
      <c r="J304" s="1022" t="str">
        <f>IF(D304="","",SUMIF('Fatores de Emissão'!$B$31:$B$75, $C304, 'Fatores de Emissão'!$R$31:$R$75)*D304)</f>
        <v/>
      </c>
      <c r="L304" s="175"/>
    </row>
    <row r="305" spans="1:12" hidden="1" outlineLevel="2" x14ac:dyDescent="0.35">
      <c r="A305" s="192"/>
      <c r="B305" s="193"/>
      <c r="C305" s="454"/>
      <c r="D305" s="490"/>
      <c r="E305" s="492" t="str">
        <f>IF(C305="","",VLOOKUP(C305,FACE!$B$47:$D$92,3,FALSE))</f>
        <v/>
      </c>
      <c r="F305" s="956" t="str">
        <f>IFERROR(VLOOKUP(C305,FACE!$B$47:$H$82,5,FALSE)+VLOOKUP(C305,FACE!$B$47:$H$82,6,FALSE)*'Fatores de Emissão'!E495+VLOOKUP(C305,FACE!$B$47:$H$82,7,FALSE)*'Fatores de Emissão'!E496,"")</f>
        <v/>
      </c>
      <c r="G305" s="493" t="str">
        <f>IFERROR(VLOOKUP(C305,FACE!$B$84:$H$92,5,FALSE)+VLOOKUP(C305,FACE!$B$84:$H$92,6,FALSE)*'Fatores de Emissão'!F495+VLOOKUP(C305,FACE!$B$84:$H$92,7,FALSE)*'Fatores de Emissão'!F496,"")</f>
        <v/>
      </c>
      <c r="H305" s="802" t="str">
        <f t="shared" si="10"/>
        <v/>
      </c>
      <c r="I305" s="802" t="str">
        <f t="shared" si="11"/>
        <v/>
      </c>
      <c r="J305" s="1022" t="str">
        <f>IF(D305="","",SUMIF('Fatores de Emissão'!$B$31:$B$75, $C305, 'Fatores de Emissão'!$R$31:$R$75)*D305)</f>
        <v/>
      </c>
      <c r="L305" s="175"/>
    </row>
    <row r="306" spans="1:12" hidden="1" outlineLevel="2" x14ac:dyDescent="0.35">
      <c r="A306" s="192"/>
      <c r="B306" s="193"/>
      <c r="C306" s="454"/>
      <c r="D306" s="490"/>
      <c r="E306" s="492" t="str">
        <f>IF(C306="","",VLOOKUP(C306,FACE!$B$47:$D$92,3,FALSE))</f>
        <v/>
      </c>
      <c r="F306" s="956" t="str">
        <f>IFERROR(VLOOKUP(C306,FACE!$B$47:$H$82,5,FALSE)+VLOOKUP(C306,FACE!$B$47:$H$82,6,FALSE)*'Fatores de Emissão'!E496+VLOOKUP(C306,FACE!$B$47:$H$82,7,FALSE)*'Fatores de Emissão'!E497,"")</f>
        <v/>
      </c>
      <c r="G306" s="493" t="str">
        <f>IFERROR(VLOOKUP(C306,FACE!$B$84:$H$92,5,FALSE)+VLOOKUP(C306,FACE!$B$84:$H$92,6,FALSE)*'Fatores de Emissão'!F496+VLOOKUP(C306,FACE!$B$84:$H$92,7,FALSE)*'Fatores de Emissão'!F497,"")</f>
        <v/>
      </c>
      <c r="H306" s="802" t="str">
        <f t="shared" si="10"/>
        <v/>
      </c>
      <c r="I306" s="802" t="str">
        <f t="shared" si="11"/>
        <v/>
      </c>
      <c r="J306" s="1022" t="str">
        <f>IF(D306="","",SUMIF('Fatores de Emissão'!$B$31:$B$75, $C306, 'Fatores de Emissão'!$R$31:$R$75)*D306)</f>
        <v/>
      </c>
      <c r="L306" s="175"/>
    </row>
    <row r="307" spans="1:12" hidden="1" outlineLevel="2" x14ac:dyDescent="0.35">
      <c r="A307" s="192"/>
      <c r="B307" s="193"/>
      <c r="C307" s="454"/>
      <c r="D307" s="490"/>
      <c r="E307" s="492" t="str">
        <f>IF(C307="","",VLOOKUP(C307,FACE!$B$47:$D$92,3,FALSE))</f>
        <v/>
      </c>
      <c r="F307" s="956" t="str">
        <f>IFERROR(VLOOKUP(C307,FACE!$B$47:$H$82,5,FALSE)+VLOOKUP(C307,FACE!$B$47:$H$82,6,FALSE)*'Fatores de Emissão'!E497+VLOOKUP(C307,FACE!$B$47:$H$82,7,FALSE)*'Fatores de Emissão'!E498,"")</f>
        <v/>
      </c>
      <c r="G307" s="493" t="str">
        <f>IFERROR(VLOOKUP(C307,FACE!$B$84:$H$92,5,FALSE)+VLOOKUP(C307,FACE!$B$84:$H$92,6,FALSE)*'Fatores de Emissão'!F497+VLOOKUP(C307,FACE!$B$84:$H$92,7,FALSE)*'Fatores de Emissão'!F498,"")</f>
        <v/>
      </c>
      <c r="H307" s="802" t="str">
        <f t="shared" si="10"/>
        <v/>
      </c>
      <c r="I307" s="802" t="str">
        <f t="shared" si="11"/>
        <v/>
      </c>
      <c r="J307" s="1022" t="str">
        <f>IF(D307="","",SUMIF('Fatores de Emissão'!$B$31:$B$75, $C307, 'Fatores de Emissão'!$R$31:$R$75)*D307)</f>
        <v/>
      </c>
      <c r="L307" s="175"/>
    </row>
    <row r="308" spans="1:12" hidden="1" outlineLevel="2" x14ac:dyDescent="0.35">
      <c r="A308" s="192"/>
      <c r="B308" s="193"/>
      <c r="C308" s="454"/>
      <c r="D308" s="490"/>
      <c r="E308" s="492" t="str">
        <f>IF(C308="","",VLOOKUP(C308,FACE!$B$47:$D$92,3,FALSE))</f>
        <v/>
      </c>
      <c r="F308" s="956" t="str">
        <f>IFERROR(VLOOKUP(C308,FACE!$B$47:$H$82,5,FALSE)+VLOOKUP(C308,FACE!$B$47:$H$82,6,FALSE)*'Fatores de Emissão'!E498+VLOOKUP(C308,FACE!$B$47:$H$82,7,FALSE)*'Fatores de Emissão'!E499,"")</f>
        <v/>
      </c>
      <c r="G308" s="493" t="str">
        <f>IFERROR(VLOOKUP(C308,FACE!$B$84:$H$92,5,FALSE)+VLOOKUP(C308,FACE!$B$84:$H$92,6,FALSE)*'Fatores de Emissão'!F498+VLOOKUP(C308,FACE!$B$84:$H$92,7,FALSE)*'Fatores de Emissão'!F499,"")</f>
        <v/>
      </c>
      <c r="H308" s="802" t="str">
        <f t="shared" si="10"/>
        <v/>
      </c>
      <c r="I308" s="802" t="str">
        <f t="shared" si="11"/>
        <v/>
      </c>
      <c r="J308" s="1022" t="str">
        <f>IF(D308="","",SUMIF('Fatores de Emissão'!$B$31:$B$75, $C308, 'Fatores de Emissão'!$R$31:$R$75)*D308)</f>
        <v/>
      </c>
      <c r="L308" s="175"/>
    </row>
    <row r="309" spans="1:12" hidden="1" outlineLevel="2" x14ac:dyDescent="0.35">
      <c r="A309" s="192"/>
      <c r="B309" s="193"/>
      <c r="C309" s="454"/>
      <c r="D309" s="490"/>
      <c r="E309" s="492" t="str">
        <f>IF(C309="","",VLOOKUP(C309,FACE!$B$47:$D$92,3,FALSE))</f>
        <v/>
      </c>
      <c r="F309" s="956" t="str">
        <f>IFERROR(VLOOKUP(C309,FACE!$B$47:$H$82,5,FALSE)+VLOOKUP(C309,FACE!$B$47:$H$82,6,FALSE)*'Fatores de Emissão'!E499+VLOOKUP(C309,FACE!$B$47:$H$82,7,FALSE)*'Fatores de Emissão'!E500,"")</f>
        <v/>
      </c>
      <c r="G309" s="493" t="str">
        <f>IFERROR(VLOOKUP(C309,FACE!$B$84:$H$92,5,FALSE)+VLOOKUP(C309,FACE!$B$84:$H$92,6,FALSE)*'Fatores de Emissão'!F499+VLOOKUP(C309,FACE!$B$84:$H$92,7,FALSE)*'Fatores de Emissão'!F500,"")</f>
        <v/>
      </c>
      <c r="H309" s="802" t="str">
        <f t="shared" si="10"/>
        <v/>
      </c>
      <c r="I309" s="802" t="str">
        <f t="shared" si="11"/>
        <v/>
      </c>
      <c r="J309" s="1022" t="str">
        <f>IF(D309="","",SUMIF('Fatores de Emissão'!$B$31:$B$75, $C309, 'Fatores de Emissão'!$R$31:$R$75)*D309)</f>
        <v/>
      </c>
      <c r="L309" s="175"/>
    </row>
    <row r="310" spans="1:12" hidden="1" outlineLevel="2" x14ac:dyDescent="0.35">
      <c r="A310" s="192"/>
      <c r="B310" s="193"/>
      <c r="C310" s="454"/>
      <c r="D310" s="490"/>
      <c r="E310" s="492" t="str">
        <f>IF(C310="","",VLOOKUP(C310,FACE!$B$47:$D$92,3,FALSE))</f>
        <v/>
      </c>
      <c r="F310" s="956" t="str">
        <f>IFERROR(VLOOKUP(C310,FACE!$B$47:$H$82,5,FALSE)+VLOOKUP(C310,FACE!$B$47:$H$82,6,FALSE)*'Fatores de Emissão'!E500+VLOOKUP(C310,FACE!$B$47:$H$82,7,FALSE)*'Fatores de Emissão'!E501,"")</f>
        <v/>
      </c>
      <c r="G310" s="493" t="str">
        <f>IFERROR(VLOOKUP(C310,FACE!$B$84:$H$92,5,FALSE)+VLOOKUP(C310,FACE!$B$84:$H$92,6,FALSE)*'Fatores de Emissão'!F500+VLOOKUP(C310,FACE!$B$84:$H$92,7,FALSE)*'Fatores de Emissão'!F501,"")</f>
        <v/>
      </c>
      <c r="H310" s="802" t="str">
        <f t="shared" si="10"/>
        <v/>
      </c>
      <c r="I310" s="802" t="str">
        <f t="shared" si="11"/>
        <v/>
      </c>
      <c r="J310" s="1022" t="str">
        <f>IF(D310="","",SUMIF('Fatores de Emissão'!$B$31:$B$75, $C310, 'Fatores de Emissão'!$R$31:$R$75)*D310)</f>
        <v/>
      </c>
      <c r="L310" s="175"/>
    </row>
    <row r="311" spans="1:12" hidden="1" outlineLevel="2" x14ac:dyDescent="0.35">
      <c r="A311" s="192"/>
      <c r="B311" s="193"/>
      <c r="C311" s="454"/>
      <c r="D311" s="490"/>
      <c r="E311" s="492" t="str">
        <f>IF(C311="","",VLOOKUP(C311,FACE!$B$47:$D$92,3,FALSE))</f>
        <v/>
      </c>
      <c r="F311" s="956" t="str">
        <f>IFERROR(VLOOKUP(C311,FACE!$B$47:$H$82,5,FALSE)+VLOOKUP(C311,FACE!$B$47:$H$82,6,FALSE)*'Fatores de Emissão'!E501+VLOOKUP(C311,FACE!$B$47:$H$82,7,FALSE)*'Fatores de Emissão'!E502,"")</f>
        <v/>
      </c>
      <c r="G311" s="493" t="str">
        <f>IFERROR(VLOOKUP(C311,FACE!$B$84:$H$92,5,FALSE)+VLOOKUP(C311,FACE!$B$84:$H$92,6,FALSE)*'Fatores de Emissão'!F501+VLOOKUP(C311,FACE!$B$84:$H$92,7,FALSE)*'Fatores de Emissão'!F502,"")</f>
        <v/>
      </c>
      <c r="H311" s="802" t="str">
        <f t="shared" si="10"/>
        <v/>
      </c>
      <c r="I311" s="802" t="str">
        <f t="shared" si="11"/>
        <v/>
      </c>
      <c r="J311" s="1022" t="str">
        <f>IF(D311="","",SUMIF('Fatores de Emissão'!$B$31:$B$75, $C311, 'Fatores de Emissão'!$R$31:$R$75)*D311)</f>
        <v/>
      </c>
      <c r="L311" s="175"/>
    </row>
    <row r="312" spans="1:12" hidden="1" outlineLevel="2" x14ac:dyDescent="0.35">
      <c r="A312" s="192"/>
      <c r="B312" s="193"/>
      <c r="C312" s="454"/>
      <c r="D312" s="490"/>
      <c r="E312" s="492" t="str">
        <f>IF(C312="","",VLOOKUP(C312,FACE!$B$47:$D$92,3,FALSE))</f>
        <v/>
      </c>
      <c r="F312" s="956" t="str">
        <f>IFERROR(VLOOKUP(C312,FACE!$B$47:$H$82,5,FALSE)+VLOOKUP(C312,FACE!$B$47:$H$82,6,FALSE)*'Fatores de Emissão'!E502+VLOOKUP(C312,FACE!$B$47:$H$82,7,FALSE)*'Fatores de Emissão'!E503,"")</f>
        <v/>
      </c>
      <c r="G312" s="493" t="str">
        <f>IFERROR(VLOOKUP(C312,FACE!$B$84:$H$92,5,FALSE)+VLOOKUP(C312,FACE!$B$84:$H$92,6,FALSE)*'Fatores de Emissão'!F502+VLOOKUP(C312,FACE!$B$84:$H$92,7,FALSE)*'Fatores de Emissão'!F503,"")</f>
        <v/>
      </c>
      <c r="H312" s="802" t="str">
        <f t="shared" si="10"/>
        <v/>
      </c>
      <c r="I312" s="802" t="str">
        <f t="shared" si="11"/>
        <v/>
      </c>
      <c r="J312" s="1022" t="str">
        <f>IF(D312="","",SUMIF('Fatores de Emissão'!$B$31:$B$75, $C312, 'Fatores de Emissão'!$R$31:$R$75)*D312)</f>
        <v/>
      </c>
      <c r="L312" s="175"/>
    </row>
    <row r="313" spans="1:12" hidden="1" outlineLevel="2" x14ac:dyDescent="0.35">
      <c r="A313" s="192"/>
      <c r="B313" s="193"/>
      <c r="C313" s="454"/>
      <c r="D313" s="490"/>
      <c r="E313" s="492" t="str">
        <f>IF(C313="","",VLOOKUP(C313,FACE!$B$47:$D$92,3,FALSE))</f>
        <v/>
      </c>
      <c r="F313" s="956" t="str">
        <f>IFERROR(VLOOKUP(C313,FACE!$B$47:$H$82,5,FALSE)+VLOOKUP(C313,FACE!$B$47:$H$82,6,FALSE)*'Fatores de Emissão'!E503+VLOOKUP(C313,FACE!$B$47:$H$82,7,FALSE)*'Fatores de Emissão'!E504,"")</f>
        <v/>
      </c>
      <c r="G313" s="493" t="str">
        <f>IFERROR(VLOOKUP(C313,FACE!$B$84:$H$92,5,FALSE)+VLOOKUP(C313,FACE!$B$84:$H$92,6,FALSE)*'Fatores de Emissão'!F503+VLOOKUP(C313,FACE!$B$84:$H$92,7,FALSE)*'Fatores de Emissão'!F504,"")</f>
        <v/>
      </c>
      <c r="H313" s="802" t="str">
        <f t="shared" si="10"/>
        <v/>
      </c>
      <c r="I313" s="802" t="str">
        <f t="shared" si="11"/>
        <v/>
      </c>
      <c r="J313" s="1022" t="str">
        <f>IF(D313="","",SUMIF('Fatores de Emissão'!$B$31:$B$75, $C313, 'Fatores de Emissão'!$R$31:$R$75)*D313)</f>
        <v/>
      </c>
      <c r="L313" s="175"/>
    </row>
    <row r="314" spans="1:12" hidden="1" outlineLevel="2" x14ac:dyDescent="0.35">
      <c r="A314" s="192"/>
      <c r="B314" s="193"/>
      <c r="C314" s="454"/>
      <c r="D314" s="490"/>
      <c r="E314" s="492" t="str">
        <f>IF(C314="","",VLOOKUP(C314,FACE!$B$47:$D$92,3,FALSE))</f>
        <v/>
      </c>
      <c r="F314" s="956" t="str">
        <f>IFERROR(VLOOKUP(C314,FACE!$B$47:$H$82,5,FALSE)+VLOOKUP(C314,FACE!$B$47:$H$82,6,FALSE)*'Fatores de Emissão'!E504+VLOOKUP(C314,FACE!$B$47:$H$82,7,FALSE)*'Fatores de Emissão'!E505,"")</f>
        <v/>
      </c>
      <c r="G314" s="493" t="str">
        <f>IFERROR(VLOOKUP(C314,FACE!$B$84:$H$92,5,FALSE)+VLOOKUP(C314,FACE!$B$84:$H$92,6,FALSE)*'Fatores de Emissão'!F504+VLOOKUP(C314,FACE!$B$84:$H$92,7,FALSE)*'Fatores de Emissão'!F505,"")</f>
        <v/>
      </c>
      <c r="H314" s="802" t="str">
        <f t="shared" si="10"/>
        <v/>
      </c>
      <c r="I314" s="802" t="str">
        <f t="shared" si="11"/>
        <v/>
      </c>
      <c r="J314" s="1022" t="str">
        <f>IF(D314="","",SUMIF('Fatores de Emissão'!$B$31:$B$75, $C314, 'Fatores de Emissão'!$R$31:$R$75)*D314)</f>
        <v/>
      </c>
      <c r="L314" s="175"/>
    </row>
    <row r="315" spans="1:12" hidden="1" outlineLevel="2" x14ac:dyDescent="0.35">
      <c r="A315" s="192"/>
      <c r="B315" s="193"/>
      <c r="C315" s="454"/>
      <c r="D315" s="490"/>
      <c r="E315" s="492" t="str">
        <f>IF(C315="","",VLOOKUP(C315,FACE!$B$47:$D$92,3,FALSE))</f>
        <v/>
      </c>
      <c r="F315" s="956" t="str">
        <f>IFERROR(VLOOKUP(C315,FACE!$B$47:$H$82,5,FALSE)+VLOOKUP(C315,FACE!$B$47:$H$82,6,FALSE)*'Fatores de Emissão'!E505+VLOOKUP(C315,FACE!$B$47:$H$82,7,FALSE)*'Fatores de Emissão'!E506,"")</f>
        <v/>
      </c>
      <c r="G315" s="493" t="str">
        <f>IFERROR(VLOOKUP(C315,FACE!$B$84:$H$92,5,FALSE)+VLOOKUP(C315,FACE!$B$84:$H$92,6,FALSE)*'Fatores de Emissão'!F505+VLOOKUP(C315,FACE!$B$84:$H$92,7,FALSE)*'Fatores de Emissão'!F506,"")</f>
        <v/>
      </c>
      <c r="H315" s="802" t="str">
        <f t="shared" si="10"/>
        <v/>
      </c>
      <c r="I315" s="802" t="str">
        <f t="shared" si="11"/>
        <v/>
      </c>
      <c r="J315" s="1022" t="str">
        <f>IF(D315="","",SUMIF('Fatores de Emissão'!$B$31:$B$75, $C315, 'Fatores de Emissão'!$R$31:$R$75)*D315)</f>
        <v/>
      </c>
      <c r="L315" s="175"/>
    </row>
    <row r="316" spans="1:12" hidden="1" outlineLevel="2" x14ac:dyDescent="0.35">
      <c r="A316" s="192"/>
      <c r="B316" s="193"/>
      <c r="C316" s="454"/>
      <c r="D316" s="490"/>
      <c r="E316" s="492" t="str">
        <f>IF(C316="","",VLOOKUP(C316,FACE!$B$47:$D$92,3,FALSE))</f>
        <v/>
      </c>
      <c r="F316" s="956" t="str">
        <f>IFERROR(VLOOKUP(C316,FACE!$B$47:$H$82,5,FALSE)+VLOOKUP(C316,FACE!$B$47:$H$82,6,FALSE)*'Fatores de Emissão'!E506+VLOOKUP(C316,FACE!$B$47:$H$82,7,FALSE)*'Fatores de Emissão'!E507,"")</f>
        <v/>
      </c>
      <c r="G316" s="493" t="str">
        <f>IFERROR(VLOOKUP(C316,FACE!$B$84:$H$92,5,FALSE)+VLOOKUP(C316,FACE!$B$84:$H$92,6,FALSE)*'Fatores de Emissão'!F506+VLOOKUP(C316,FACE!$B$84:$H$92,7,FALSE)*'Fatores de Emissão'!F507,"")</f>
        <v/>
      </c>
      <c r="H316" s="802" t="str">
        <f t="shared" si="10"/>
        <v/>
      </c>
      <c r="I316" s="802" t="str">
        <f t="shared" si="11"/>
        <v/>
      </c>
      <c r="J316" s="1022" t="str">
        <f>IF(D316="","",SUMIF('Fatores de Emissão'!$B$31:$B$75, $C316, 'Fatores de Emissão'!$R$31:$R$75)*D316)</f>
        <v/>
      </c>
      <c r="L316" s="175"/>
    </row>
    <row r="317" spans="1:12" hidden="1" outlineLevel="2" x14ac:dyDescent="0.35">
      <c r="A317" s="192"/>
      <c r="B317" s="193"/>
      <c r="C317" s="454"/>
      <c r="D317" s="490"/>
      <c r="E317" s="492" t="str">
        <f>IF(C317="","",VLOOKUP(C317,FACE!$B$47:$D$92,3,FALSE))</f>
        <v/>
      </c>
      <c r="F317" s="956" t="str">
        <f>IFERROR(VLOOKUP(C317,FACE!$B$47:$H$82,5,FALSE)+VLOOKUP(C317,FACE!$B$47:$H$82,6,FALSE)*'Fatores de Emissão'!E507+VLOOKUP(C317,FACE!$B$47:$H$82,7,FALSE)*'Fatores de Emissão'!E508,"")</f>
        <v/>
      </c>
      <c r="G317" s="493" t="str">
        <f>IFERROR(VLOOKUP(C317,FACE!$B$84:$H$92,5,FALSE)+VLOOKUP(C317,FACE!$B$84:$H$92,6,FALSE)*'Fatores de Emissão'!F507+VLOOKUP(C317,FACE!$B$84:$H$92,7,FALSE)*'Fatores de Emissão'!F508,"")</f>
        <v/>
      </c>
      <c r="H317" s="802" t="str">
        <f t="shared" si="10"/>
        <v/>
      </c>
      <c r="I317" s="802" t="str">
        <f t="shared" si="11"/>
        <v/>
      </c>
      <c r="J317" s="1022" t="str">
        <f>IF(D317="","",SUMIF('Fatores de Emissão'!$B$31:$B$75, $C317, 'Fatores de Emissão'!$R$31:$R$75)*D317)</f>
        <v/>
      </c>
      <c r="L317" s="175"/>
    </row>
    <row r="318" spans="1:12" hidden="1" outlineLevel="2" x14ac:dyDescent="0.35">
      <c r="A318" s="192"/>
      <c r="B318" s="193"/>
      <c r="C318" s="454"/>
      <c r="D318" s="490"/>
      <c r="E318" s="492" t="str">
        <f>IF(C318="","",VLOOKUP(C318,FACE!$B$47:$D$92,3,FALSE))</f>
        <v/>
      </c>
      <c r="F318" s="956" t="str">
        <f>IFERROR(VLOOKUP(C318,FACE!$B$47:$H$82,5,FALSE)+VLOOKUP(C318,FACE!$B$47:$H$82,6,FALSE)*'Fatores de Emissão'!E508+VLOOKUP(C318,FACE!$B$47:$H$82,7,FALSE)*'Fatores de Emissão'!E509,"")</f>
        <v/>
      </c>
      <c r="G318" s="493" t="str">
        <f>IFERROR(VLOOKUP(C318,FACE!$B$84:$H$92,5,FALSE)+VLOOKUP(C318,FACE!$B$84:$H$92,6,FALSE)*'Fatores de Emissão'!F508+VLOOKUP(C318,FACE!$B$84:$H$92,7,FALSE)*'Fatores de Emissão'!F509,"")</f>
        <v/>
      </c>
      <c r="H318" s="802" t="str">
        <f t="shared" si="10"/>
        <v/>
      </c>
      <c r="I318" s="802" t="str">
        <f t="shared" si="11"/>
        <v/>
      </c>
      <c r="J318" s="1022" t="str">
        <f>IF(D318="","",SUMIF('Fatores de Emissão'!$B$31:$B$75, $C318, 'Fatores de Emissão'!$R$31:$R$75)*D318)</f>
        <v/>
      </c>
      <c r="L318" s="175"/>
    </row>
    <row r="319" spans="1:12" hidden="1" outlineLevel="2" x14ac:dyDescent="0.35">
      <c r="A319" s="192"/>
      <c r="B319" s="193"/>
      <c r="C319" s="454"/>
      <c r="D319" s="490"/>
      <c r="E319" s="492" t="str">
        <f>IF(C319="","",VLOOKUP(C319,FACE!$B$47:$D$92,3,FALSE))</f>
        <v/>
      </c>
      <c r="F319" s="956" t="str">
        <f>IFERROR(VLOOKUP(C319,FACE!$B$47:$H$82,5,FALSE)+VLOOKUP(C319,FACE!$B$47:$H$82,6,FALSE)*'Fatores de Emissão'!E509+VLOOKUP(C319,FACE!$B$47:$H$82,7,FALSE)*'Fatores de Emissão'!E510,"")</f>
        <v/>
      </c>
      <c r="G319" s="493" t="str">
        <f>IFERROR(VLOOKUP(C319,FACE!$B$84:$H$92,5,FALSE)+VLOOKUP(C319,FACE!$B$84:$H$92,6,FALSE)*'Fatores de Emissão'!F509+VLOOKUP(C319,FACE!$B$84:$H$92,7,FALSE)*'Fatores de Emissão'!F510,"")</f>
        <v/>
      </c>
      <c r="H319" s="802" t="str">
        <f t="shared" si="10"/>
        <v/>
      </c>
      <c r="I319" s="802" t="str">
        <f t="shared" si="11"/>
        <v/>
      </c>
      <c r="J319" s="1022" t="str">
        <f>IF(D319="","",SUMIF('Fatores de Emissão'!$B$31:$B$75, $C319, 'Fatores de Emissão'!$R$31:$R$75)*D319)</f>
        <v/>
      </c>
      <c r="L319" s="175"/>
    </row>
    <row r="320" spans="1:12" hidden="1" outlineLevel="2" x14ac:dyDescent="0.35">
      <c r="A320" s="192"/>
      <c r="B320" s="193"/>
      <c r="C320" s="454"/>
      <c r="D320" s="490"/>
      <c r="E320" s="492" t="str">
        <f>IF(C320="","",VLOOKUP(C320,FACE!$B$47:$D$92,3,FALSE))</f>
        <v/>
      </c>
      <c r="F320" s="956" t="str">
        <f>IFERROR(VLOOKUP(C320,FACE!$B$47:$H$82,5,FALSE)+VLOOKUP(C320,FACE!$B$47:$H$82,6,FALSE)*'Fatores de Emissão'!E510+VLOOKUP(C320,FACE!$B$47:$H$82,7,FALSE)*'Fatores de Emissão'!E511,"")</f>
        <v/>
      </c>
      <c r="G320" s="493" t="str">
        <f>IFERROR(VLOOKUP(C320,FACE!$B$84:$H$92,5,FALSE)+VLOOKUP(C320,FACE!$B$84:$H$92,6,FALSE)*'Fatores de Emissão'!F510+VLOOKUP(C320,FACE!$B$84:$H$92,7,FALSE)*'Fatores de Emissão'!F511,"")</f>
        <v/>
      </c>
      <c r="H320" s="802" t="str">
        <f t="shared" si="10"/>
        <v/>
      </c>
      <c r="I320" s="802" t="str">
        <f t="shared" si="11"/>
        <v/>
      </c>
      <c r="J320" s="1022" t="str">
        <f>IF(D320="","",SUMIF('Fatores de Emissão'!$B$31:$B$75, $C320, 'Fatores de Emissão'!$R$31:$R$75)*D320)</f>
        <v/>
      </c>
      <c r="L320" s="175"/>
    </row>
    <row r="321" spans="1:12" hidden="1" outlineLevel="2" x14ac:dyDescent="0.35">
      <c r="A321" s="192"/>
      <c r="B321" s="193"/>
      <c r="C321" s="454"/>
      <c r="D321" s="490"/>
      <c r="E321" s="492" t="str">
        <f>IF(C321="","",VLOOKUP(C321,FACE!$B$47:$D$92,3,FALSE))</f>
        <v/>
      </c>
      <c r="F321" s="956" t="str">
        <f>IFERROR(VLOOKUP(C321,FACE!$B$47:$H$82,5,FALSE)+VLOOKUP(C321,FACE!$B$47:$H$82,6,FALSE)*'Fatores de Emissão'!E511+VLOOKUP(C321,FACE!$B$47:$H$82,7,FALSE)*'Fatores de Emissão'!E512,"")</f>
        <v/>
      </c>
      <c r="G321" s="493" t="str">
        <f>IFERROR(VLOOKUP(C321,FACE!$B$84:$H$92,5,FALSE)+VLOOKUP(C321,FACE!$B$84:$H$92,6,FALSE)*'Fatores de Emissão'!F511+VLOOKUP(C321,FACE!$B$84:$H$92,7,FALSE)*'Fatores de Emissão'!F512,"")</f>
        <v/>
      </c>
      <c r="H321" s="802" t="str">
        <f t="shared" si="10"/>
        <v/>
      </c>
      <c r="I321" s="802" t="str">
        <f t="shared" si="11"/>
        <v/>
      </c>
      <c r="J321" s="1022" t="str">
        <f>IF(D321="","",SUMIF('Fatores de Emissão'!$B$31:$B$75, $C321, 'Fatores de Emissão'!$R$31:$R$75)*D321)</f>
        <v/>
      </c>
      <c r="L321" s="175"/>
    </row>
    <row r="322" spans="1:12" hidden="1" outlineLevel="2" x14ac:dyDescent="0.35">
      <c r="A322" s="192"/>
      <c r="B322" s="193"/>
      <c r="C322" s="454"/>
      <c r="D322" s="490"/>
      <c r="E322" s="492" t="str">
        <f>IF(C322="","",VLOOKUP(C322,FACE!$B$47:$D$92,3,FALSE))</f>
        <v/>
      </c>
      <c r="F322" s="956" t="str">
        <f>IFERROR(VLOOKUP(C322,FACE!$B$47:$H$82,5,FALSE)+VLOOKUP(C322,FACE!$B$47:$H$82,6,FALSE)*'Fatores de Emissão'!E512+VLOOKUP(C322,FACE!$B$47:$H$82,7,FALSE)*'Fatores de Emissão'!E513,"")</f>
        <v/>
      </c>
      <c r="G322" s="493" t="str">
        <f>IFERROR(VLOOKUP(C322,FACE!$B$84:$H$92,5,FALSE)+VLOOKUP(C322,FACE!$B$84:$H$92,6,FALSE)*'Fatores de Emissão'!F512+VLOOKUP(C322,FACE!$B$84:$H$92,7,FALSE)*'Fatores de Emissão'!F513,"")</f>
        <v/>
      </c>
      <c r="H322" s="802" t="str">
        <f t="shared" si="10"/>
        <v/>
      </c>
      <c r="I322" s="802" t="str">
        <f t="shared" si="11"/>
        <v/>
      </c>
      <c r="J322" s="1022" t="str">
        <f>IF(D322="","",SUMIF('Fatores de Emissão'!$B$31:$B$75, $C322, 'Fatores de Emissão'!$R$31:$R$75)*D322)</f>
        <v/>
      </c>
      <c r="L322" s="175"/>
    </row>
    <row r="323" spans="1:12" hidden="1" outlineLevel="2" x14ac:dyDescent="0.35">
      <c r="A323" s="192"/>
      <c r="B323" s="193"/>
      <c r="C323" s="454"/>
      <c r="D323" s="490"/>
      <c r="E323" s="492" t="str">
        <f>IF(C323="","",VLOOKUP(C323,FACE!$B$47:$D$92,3,FALSE))</f>
        <v/>
      </c>
      <c r="F323" s="956" t="str">
        <f>IFERROR(VLOOKUP(C323,FACE!$B$47:$H$82,5,FALSE)+VLOOKUP(C323,FACE!$B$47:$H$82,6,FALSE)*'Fatores de Emissão'!E513+VLOOKUP(C323,FACE!$B$47:$H$82,7,FALSE)*'Fatores de Emissão'!E514,"")</f>
        <v/>
      </c>
      <c r="G323" s="493" t="str">
        <f>IFERROR(VLOOKUP(C323,FACE!$B$84:$H$92,5,FALSE)+VLOOKUP(C323,FACE!$B$84:$H$92,6,FALSE)*'Fatores de Emissão'!F513+VLOOKUP(C323,FACE!$B$84:$H$92,7,FALSE)*'Fatores de Emissão'!F514,"")</f>
        <v/>
      </c>
      <c r="H323" s="802" t="str">
        <f t="shared" si="10"/>
        <v/>
      </c>
      <c r="I323" s="802" t="str">
        <f t="shared" si="11"/>
        <v/>
      </c>
      <c r="J323" s="1022" t="str">
        <f>IF(D323="","",SUMIF('Fatores de Emissão'!$B$31:$B$75, $C323, 'Fatores de Emissão'!$R$31:$R$75)*D323)</f>
        <v/>
      </c>
      <c r="L323" s="175"/>
    </row>
    <row r="324" spans="1:12" hidden="1" outlineLevel="2" x14ac:dyDescent="0.35">
      <c r="A324" s="192"/>
      <c r="B324" s="193"/>
      <c r="C324" s="454"/>
      <c r="D324" s="490"/>
      <c r="E324" s="492" t="str">
        <f>IF(C324="","",VLOOKUP(C324,FACE!$B$47:$D$92,3,FALSE))</f>
        <v/>
      </c>
      <c r="F324" s="956" t="str">
        <f>IFERROR(VLOOKUP(C324,FACE!$B$47:$H$82,5,FALSE)+VLOOKUP(C324,FACE!$B$47:$H$82,6,FALSE)*'Fatores de Emissão'!E514+VLOOKUP(C324,FACE!$B$47:$H$82,7,FALSE)*'Fatores de Emissão'!E515,"")</f>
        <v/>
      </c>
      <c r="G324" s="493" t="str">
        <f>IFERROR(VLOOKUP(C324,FACE!$B$84:$H$92,5,FALSE)+VLOOKUP(C324,FACE!$B$84:$H$92,6,FALSE)*'Fatores de Emissão'!F514+VLOOKUP(C324,FACE!$B$84:$H$92,7,FALSE)*'Fatores de Emissão'!F515,"")</f>
        <v/>
      </c>
      <c r="H324" s="802" t="str">
        <f t="shared" si="10"/>
        <v/>
      </c>
      <c r="I324" s="802" t="str">
        <f t="shared" si="11"/>
        <v/>
      </c>
      <c r="J324" s="1022" t="str">
        <f>IF(D324="","",SUMIF('Fatores de Emissão'!$B$31:$B$75, $C324, 'Fatores de Emissão'!$R$31:$R$75)*D324)</f>
        <v/>
      </c>
      <c r="L324" s="175"/>
    </row>
    <row r="325" spans="1:12" hidden="1" outlineLevel="2" x14ac:dyDescent="0.35">
      <c r="A325" s="192"/>
      <c r="B325" s="193"/>
      <c r="C325" s="454"/>
      <c r="D325" s="490"/>
      <c r="E325" s="492" t="str">
        <f>IF(C325="","",VLOOKUP(C325,FACE!$B$47:$D$92,3,FALSE))</f>
        <v/>
      </c>
      <c r="F325" s="956" t="str">
        <f>IFERROR(VLOOKUP(C325,FACE!$B$47:$H$82,5,FALSE)+VLOOKUP(C325,FACE!$B$47:$H$82,6,FALSE)*'Fatores de Emissão'!E515+VLOOKUP(C325,FACE!$B$47:$H$82,7,FALSE)*'Fatores de Emissão'!E516,"")</f>
        <v/>
      </c>
      <c r="G325" s="493" t="str">
        <f>IFERROR(VLOOKUP(C325,FACE!$B$84:$H$92,5,FALSE)+VLOOKUP(C325,FACE!$B$84:$H$92,6,FALSE)*'Fatores de Emissão'!F515+VLOOKUP(C325,FACE!$B$84:$H$92,7,FALSE)*'Fatores de Emissão'!F516,"")</f>
        <v/>
      </c>
      <c r="H325" s="802" t="str">
        <f t="shared" si="10"/>
        <v/>
      </c>
      <c r="I325" s="802" t="str">
        <f t="shared" si="11"/>
        <v/>
      </c>
      <c r="J325" s="1022" t="str">
        <f>IF(D325="","",SUMIF('Fatores de Emissão'!$B$31:$B$75, $C325, 'Fatores de Emissão'!$R$31:$R$75)*D325)</f>
        <v/>
      </c>
      <c r="L325" s="175"/>
    </row>
    <row r="326" spans="1:12" hidden="1" outlineLevel="2" x14ac:dyDescent="0.35">
      <c r="A326" s="192"/>
      <c r="B326" s="193"/>
      <c r="C326" s="454"/>
      <c r="D326" s="490"/>
      <c r="E326" s="492" t="str">
        <f>IF(C326="","",VLOOKUP(C326,FACE!$B$47:$D$92,3,FALSE))</f>
        <v/>
      </c>
      <c r="F326" s="956" t="str">
        <f>IFERROR(VLOOKUP(C326,FACE!$B$47:$H$82,5,FALSE)+VLOOKUP(C326,FACE!$B$47:$H$82,6,FALSE)*'Fatores de Emissão'!E516+VLOOKUP(C326,FACE!$B$47:$H$82,7,FALSE)*'Fatores de Emissão'!E517,"")</f>
        <v/>
      </c>
      <c r="G326" s="493" t="str">
        <f>IFERROR(VLOOKUP(C326,FACE!$B$84:$H$92,5,FALSE)+VLOOKUP(C326,FACE!$B$84:$H$92,6,FALSE)*'Fatores de Emissão'!F516+VLOOKUP(C326,FACE!$B$84:$H$92,7,FALSE)*'Fatores de Emissão'!F517,"")</f>
        <v/>
      </c>
      <c r="H326" s="802" t="str">
        <f t="shared" si="10"/>
        <v/>
      </c>
      <c r="I326" s="802" t="str">
        <f t="shared" si="11"/>
        <v/>
      </c>
      <c r="J326" s="1022" t="str">
        <f>IF(D326="","",SUMIF('Fatores de Emissão'!$B$31:$B$75, $C326, 'Fatores de Emissão'!$R$31:$R$75)*D326)</f>
        <v/>
      </c>
      <c r="L326" s="175"/>
    </row>
    <row r="327" spans="1:12" hidden="1" outlineLevel="2" x14ac:dyDescent="0.35">
      <c r="A327" s="192"/>
      <c r="B327" s="193"/>
      <c r="C327" s="454"/>
      <c r="D327" s="490"/>
      <c r="E327" s="492" t="str">
        <f>IF(C327="","",VLOOKUP(C327,FACE!$B$47:$D$92,3,FALSE))</f>
        <v/>
      </c>
      <c r="F327" s="956" t="str">
        <f>IFERROR(VLOOKUP(C327,FACE!$B$47:$H$82,5,FALSE)+VLOOKUP(C327,FACE!$B$47:$H$82,6,FALSE)*'Fatores de Emissão'!E517+VLOOKUP(C327,FACE!$B$47:$H$82,7,FALSE)*'Fatores de Emissão'!E518,"")</f>
        <v/>
      </c>
      <c r="G327" s="493" t="str">
        <f>IFERROR(VLOOKUP(C327,FACE!$B$84:$H$92,5,FALSE)+VLOOKUP(C327,FACE!$B$84:$H$92,6,FALSE)*'Fatores de Emissão'!F517+VLOOKUP(C327,FACE!$B$84:$H$92,7,FALSE)*'Fatores de Emissão'!F518,"")</f>
        <v/>
      </c>
      <c r="H327" s="802" t="str">
        <f t="shared" si="10"/>
        <v/>
      </c>
      <c r="I327" s="802" t="str">
        <f t="shared" si="11"/>
        <v/>
      </c>
      <c r="J327" s="1022" t="str">
        <f>IF(D327="","",SUMIF('Fatores de Emissão'!$B$31:$B$75, $C327, 'Fatores de Emissão'!$R$31:$R$75)*D327)</f>
        <v/>
      </c>
      <c r="L327" s="175"/>
    </row>
    <row r="328" spans="1:12" hidden="1" outlineLevel="2" x14ac:dyDescent="0.35">
      <c r="A328" s="192"/>
      <c r="B328" s="193"/>
      <c r="C328" s="454"/>
      <c r="D328" s="490"/>
      <c r="E328" s="492" t="str">
        <f>IF(C328="","",VLOOKUP(C328,FACE!$B$47:$D$92,3,FALSE))</f>
        <v/>
      </c>
      <c r="F328" s="956" t="str">
        <f>IFERROR(VLOOKUP(C328,FACE!$B$47:$H$82,5,FALSE)+VLOOKUP(C328,FACE!$B$47:$H$82,6,FALSE)*'Fatores de Emissão'!E518+VLOOKUP(C328,FACE!$B$47:$H$82,7,FALSE)*'Fatores de Emissão'!E519,"")</f>
        <v/>
      </c>
      <c r="G328" s="493" t="str">
        <f>IFERROR(VLOOKUP(C328,FACE!$B$84:$H$92,5,FALSE)+VLOOKUP(C328,FACE!$B$84:$H$92,6,FALSE)*'Fatores de Emissão'!F518+VLOOKUP(C328,FACE!$B$84:$H$92,7,FALSE)*'Fatores de Emissão'!F519,"")</f>
        <v/>
      </c>
      <c r="H328" s="802" t="str">
        <f t="shared" si="10"/>
        <v/>
      </c>
      <c r="I328" s="802" t="str">
        <f t="shared" si="11"/>
        <v/>
      </c>
      <c r="J328" s="1022" t="str">
        <f>IF(D328="","",SUMIF('Fatores de Emissão'!$B$31:$B$75, $C328, 'Fatores de Emissão'!$R$31:$R$75)*D328)</f>
        <v/>
      </c>
      <c r="L328" s="175"/>
    </row>
    <row r="329" spans="1:12" hidden="1" outlineLevel="2" x14ac:dyDescent="0.35">
      <c r="A329" s="192"/>
      <c r="B329" s="193"/>
      <c r="C329" s="454"/>
      <c r="D329" s="490"/>
      <c r="E329" s="492" t="str">
        <f>IF(C329="","",VLOOKUP(C329,FACE!$B$47:$D$92,3,FALSE))</f>
        <v/>
      </c>
      <c r="F329" s="956" t="str">
        <f>IFERROR(VLOOKUP(C329,FACE!$B$47:$H$82,5,FALSE)+VLOOKUP(C329,FACE!$B$47:$H$82,6,FALSE)*'Fatores de Emissão'!E519+VLOOKUP(C329,FACE!$B$47:$H$82,7,FALSE)*'Fatores de Emissão'!E520,"")</f>
        <v/>
      </c>
      <c r="G329" s="493" t="str">
        <f>IFERROR(VLOOKUP(C329,FACE!$B$84:$H$92,5,FALSE)+VLOOKUP(C329,FACE!$B$84:$H$92,6,FALSE)*'Fatores de Emissão'!F519+VLOOKUP(C329,FACE!$B$84:$H$92,7,FALSE)*'Fatores de Emissão'!F520,"")</f>
        <v/>
      </c>
      <c r="H329" s="802" t="str">
        <f t="shared" si="10"/>
        <v/>
      </c>
      <c r="I329" s="802" t="str">
        <f t="shared" si="11"/>
        <v/>
      </c>
      <c r="J329" s="1022" t="str">
        <f>IF(D329="","",SUMIF('Fatores de Emissão'!$B$31:$B$75, $C329, 'Fatores de Emissão'!$R$31:$R$75)*D329)</f>
        <v/>
      </c>
      <c r="L329" s="175"/>
    </row>
    <row r="330" spans="1:12" hidden="1" outlineLevel="2" x14ac:dyDescent="0.35">
      <c r="A330" s="192"/>
      <c r="B330" s="193"/>
      <c r="C330" s="454"/>
      <c r="D330" s="490"/>
      <c r="E330" s="492" t="str">
        <f>IF(C330="","",VLOOKUP(C330,FACE!$B$47:$D$92,3,FALSE))</f>
        <v/>
      </c>
      <c r="F330" s="956" t="str">
        <f>IFERROR(VLOOKUP(C330,FACE!$B$47:$H$82,5,FALSE)+VLOOKUP(C330,FACE!$B$47:$H$82,6,FALSE)*'Fatores de Emissão'!E520+VLOOKUP(C330,FACE!$B$47:$H$82,7,FALSE)*'Fatores de Emissão'!E521,"")</f>
        <v/>
      </c>
      <c r="G330" s="493" t="str">
        <f>IFERROR(VLOOKUP(C330,FACE!$B$84:$H$92,5,FALSE)+VLOOKUP(C330,FACE!$B$84:$H$92,6,FALSE)*'Fatores de Emissão'!F520+VLOOKUP(C330,FACE!$B$84:$H$92,7,FALSE)*'Fatores de Emissão'!F521,"")</f>
        <v/>
      </c>
      <c r="H330" s="802" t="str">
        <f t="shared" si="10"/>
        <v/>
      </c>
      <c r="I330" s="802" t="str">
        <f t="shared" si="11"/>
        <v/>
      </c>
      <c r="J330" s="1022" t="str">
        <f>IF(D330="","",SUMIF('Fatores de Emissão'!$B$31:$B$75, $C330, 'Fatores de Emissão'!$R$31:$R$75)*D330)</f>
        <v/>
      </c>
      <c r="L330" s="175"/>
    </row>
    <row r="331" spans="1:12" hidden="1" outlineLevel="2" x14ac:dyDescent="0.35">
      <c r="A331" s="192"/>
      <c r="B331" s="193"/>
      <c r="C331" s="454"/>
      <c r="D331" s="490"/>
      <c r="E331" s="492" t="str">
        <f>IF(C331="","",VLOOKUP(C331,FACE!$B$47:$D$92,3,FALSE))</f>
        <v/>
      </c>
      <c r="F331" s="956" t="str">
        <f>IFERROR(VLOOKUP(C331,FACE!$B$47:$H$82,5,FALSE)+VLOOKUP(C331,FACE!$B$47:$H$82,6,FALSE)*'Fatores de Emissão'!E521+VLOOKUP(C331,FACE!$B$47:$H$82,7,FALSE)*'Fatores de Emissão'!E522,"")</f>
        <v/>
      </c>
      <c r="G331" s="493" t="str">
        <f>IFERROR(VLOOKUP(C331,FACE!$B$84:$H$92,5,FALSE)+VLOOKUP(C331,FACE!$B$84:$H$92,6,FALSE)*'Fatores de Emissão'!F521+VLOOKUP(C331,FACE!$B$84:$H$92,7,FALSE)*'Fatores de Emissão'!F522,"")</f>
        <v/>
      </c>
      <c r="H331" s="802" t="str">
        <f t="shared" si="10"/>
        <v/>
      </c>
      <c r="I331" s="802" t="str">
        <f t="shared" si="11"/>
        <v/>
      </c>
      <c r="J331" s="1022" t="str">
        <f>IF(D331="","",SUMIF('Fatores de Emissão'!$B$31:$B$75, $C331, 'Fatores de Emissão'!$R$31:$R$75)*D331)</f>
        <v/>
      </c>
      <c r="L331" s="175"/>
    </row>
    <row r="332" spans="1:12" hidden="1" outlineLevel="2" x14ac:dyDescent="0.35">
      <c r="A332" s="192"/>
      <c r="B332" s="193"/>
      <c r="C332" s="454"/>
      <c r="D332" s="490"/>
      <c r="E332" s="492" t="str">
        <f>IF(C332="","",VLOOKUP(C332,FACE!$B$47:$D$92,3,FALSE))</f>
        <v/>
      </c>
      <c r="F332" s="956" t="str">
        <f>IFERROR(VLOOKUP(C332,FACE!$B$47:$H$82,5,FALSE)+VLOOKUP(C332,FACE!$B$47:$H$82,6,FALSE)*'Fatores de Emissão'!E522+VLOOKUP(C332,FACE!$B$47:$H$82,7,FALSE)*'Fatores de Emissão'!E523,"")</f>
        <v/>
      </c>
      <c r="G332" s="493" t="str">
        <f>IFERROR(VLOOKUP(C332,FACE!$B$84:$H$92,5,FALSE)+VLOOKUP(C332,FACE!$B$84:$H$92,6,FALSE)*'Fatores de Emissão'!F522+VLOOKUP(C332,FACE!$B$84:$H$92,7,FALSE)*'Fatores de Emissão'!F523,"")</f>
        <v/>
      </c>
      <c r="H332" s="802" t="str">
        <f t="shared" si="10"/>
        <v/>
      </c>
      <c r="I332" s="802" t="str">
        <f t="shared" si="11"/>
        <v/>
      </c>
      <c r="J332" s="1022" t="str">
        <f>IF(D332="","",SUMIF('Fatores de Emissão'!$B$31:$B$75, $C332, 'Fatores de Emissão'!$R$31:$R$75)*D332)</f>
        <v/>
      </c>
      <c r="L332" s="175"/>
    </row>
    <row r="333" spans="1:12" hidden="1" outlineLevel="2" x14ac:dyDescent="0.35">
      <c r="A333" s="192"/>
      <c r="B333" s="193"/>
      <c r="C333" s="454"/>
      <c r="D333" s="490"/>
      <c r="E333" s="492" t="str">
        <f>IF(C333="","",VLOOKUP(C333,FACE!$B$47:$D$92,3,FALSE))</f>
        <v/>
      </c>
      <c r="F333" s="956" t="str">
        <f>IFERROR(VLOOKUP(C333,FACE!$B$47:$H$82,5,FALSE)+VLOOKUP(C333,FACE!$B$47:$H$82,6,FALSE)*'Fatores de Emissão'!E523+VLOOKUP(C333,FACE!$B$47:$H$82,7,FALSE)*'Fatores de Emissão'!E524,"")</f>
        <v/>
      </c>
      <c r="G333" s="493" t="str">
        <f>IFERROR(VLOOKUP(C333,FACE!$B$84:$H$92,5,FALSE)+VLOOKUP(C333,FACE!$B$84:$H$92,6,FALSE)*'Fatores de Emissão'!F523+VLOOKUP(C333,FACE!$B$84:$H$92,7,FALSE)*'Fatores de Emissão'!F524,"")</f>
        <v/>
      </c>
      <c r="H333" s="802" t="str">
        <f t="shared" si="10"/>
        <v/>
      </c>
      <c r="I333" s="802" t="str">
        <f t="shared" si="11"/>
        <v/>
      </c>
      <c r="J333" s="1022" t="str">
        <f>IF(D333="","",SUMIF('Fatores de Emissão'!$B$31:$B$75, $C333, 'Fatores de Emissão'!$R$31:$R$75)*D333)</f>
        <v/>
      </c>
      <c r="L333" s="175"/>
    </row>
    <row r="334" spans="1:12" hidden="1" outlineLevel="2" x14ac:dyDescent="0.35">
      <c r="A334" s="192"/>
      <c r="B334" s="193"/>
      <c r="C334" s="454"/>
      <c r="D334" s="490"/>
      <c r="E334" s="492" t="str">
        <f>IF(C334="","",VLOOKUP(C334,FACE!$B$47:$D$92,3,FALSE))</f>
        <v/>
      </c>
      <c r="F334" s="956" t="str">
        <f>IFERROR(VLOOKUP(C334,FACE!$B$47:$H$82,5,FALSE)+VLOOKUP(C334,FACE!$B$47:$H$82,6,FALSE)*'Fatores de Emissão'!E524+VLOOKUP(C334,FACE!$B$47:$H$82,7,FALSE)*'Fatores de Emissão'!E525,"")</f>
        <v/>
      </c>
      <c r="G334" s="493" t="str">
        <f>IFERROR(VLOOKUP(C334,FACE!$B$84:$H$92,5,FALSE)+VLOOKUP(C334,FACE!$B$84:$H$92,6,FALSE)*'Fatores de Emissão'!F524+VLOOKUP(C334,FACE!$B$84:$H$92,7,FALSE)*'Fatores de Emissão'!F525,"")</f>
        <v/>
      </c>
      <c r="H334" s="802" t="str">
        <f t="shared" si="10"/>
        <v/>
      </c>
      <c r="I334" s="802" t="str">
        <f t="shared" si="11"/>
        <v/>
      </c>
      <c r="J334" s="1022" t="str">
        <f>IF(D334="","",SUMIF('Fatores de Emissão'!$B$31:$B$75, $C334, 'Fatores de Emissão'!$R$31:$R$75)*D334)</f>
        <v/>
      </c>
      <c r="L334" s="175"/>
    </row>
    <row r="335" spans="1:12" hidden="1" outlineLevel="2" x14ac:dyDescent="0.35">
      <c r="A335" s="192"/>
      <c r="B335" s="193"/>
      <c r="C335" s="454"/>
      <c r="D335" s="490"/>
      <c r="E335" s="492" t="str">
        <f>IF(C335="","",VLOOKUP(C335,FACE!$B$47:$D$92,3,FALSE))</f>
        <v/>
      </c>
      <c r="F335" s="956" t="str">
        <f>IFERROR(VLOOKUP(C335,FACE!$B$47:$H$82,5,FALSE)+VLOOKUP(C335,FACE!$B$47:$H$82,6,FALSE)*'Fatores de Emissão'!E525+VLOOKUP(C335,FACE!$B$47:$H$82,7,FALSE)*'Fatores de Emissão'!E526,"")</f>
        <v/>
      </c>
      <c r="G335" s="493" t="str">
        <f>IFERROR(VLOOKUP(C335,FACE!$B$84:$H$92,5,FALSE)+VLOOKUP(C335,FACE!$B$84:$H$92,6,FALSE)*'Fatores de Emissão'!F525+VLOOKUP(C335,FACE!$B$84:$H$92,7,FALSE)*'Fatores de Emissão'!F526,"")</f>
        <v/>
      </c>
      <c r="H335" s="802" t="str">
        <f t="shared" si="10"/>
        <v/>
      </c>
      <c r="I335" s="802" t="str">
        <f t="shared" si="11"/>
        <v/>
      </c>
      <c r="J335" s="1022" t="str">
        <f>IF(D335="","",SUMIF('Fatores de Emissão'!$B$31:$B$75, $C335, 'Fatores de Emissão'!$R$31:$R$75)*D335)</f>
        <v/>
      </c>
      <c r="L335" s="175"/>
    </row>
    <row r="336" spans="1:12" hidden="1" outlineLevel="2" x14ac:dyDescent="0.35">
      <c r="A336" s="192"/>
      <c r="B336" s="193"/>
      <c r="C336" s="454"/>
      <c r="D336" s="490"/>
      <c r="E336" s="492" t="str">
        <f>IF(C336="","",VLOOKUP(C336,FACE!$B$47:$D$92,3,FALSE))</f>
        <v/>
      </c>
      <c r="F336" s="956" t="str">
        <f>IFERROR(VLOOKUP(C336,FACE!$B$47:$H$82,5,FALSE)+VLOOKUP(C336,FACE!$B$47:$H$82,6,FALSE)*'Fatores de Emissão'!E526+VLOOKUP(C336,FACE!$B$47:$H$82,7,FALSE)*'Fatores de Emissão'!E527,"")</f>
        <v/>
      </c>
      <c r="G336" s="493" t="str">
        <f>IFERROR(VLOOKUP(C336,FACE!$B$84:$H$92,5,FALSE)+VLOOKUP(C336,FACE!$B$84:$H$92,6,FALSE)*'Fatores de Emissão'!F526+VLOOKUP(C336,FACE!$B$84:$H$92,7,FALSE)*'Fatores de Emissão'!F527,"")</f>
        <v/>
      </c>
      <c r="H336" s="802" t="str">
        <f t="shared" si="10"/>
        <v/>
      </c>
      <c r="I336" s="802" t="str">
        <f t="shared" si="11"/>
        <v/>
      </c>
      <c r="J336" s="1022" t="str">
        <f>IF(D336="","",SUMIF('Fatores de Emissão'!$B$31:$B$75, $C336, 'Fatores de Emissão'!$R$31:$R$75)*D336)</f>
        <v/>
      </c>
      <c r="L336" s="175"/>
    </row>
    <row r="337" spans="1:12" hidden="1" outlineLevel="2" x14ac:dyDescent="0.35">
      <c r="A337" s="192"/>
      <c r="B337" s="193"/>
      <c r="C337" s="454"/>
      <c r="D337" s="490"/>
      <c r="E337" s="492" t="str">
        <f>IF(C337="","",VLOOKUP(C337,FACE!$B$47:$D$92,3,FALSE))</f>
        <v/>
      </c>
      <c r="F337" s="956" t="str">
        <f>IFERROR(VLOOKUP(C337,FACE!$B$47:$H$82,5,FALSE)+VLOOKUP(C337,FACE!$B$47:$H$82,6,FALSE)*'Fatores de Emissão'!E527+VLOOKUP(C337,FACE!$B$47:$H$82,7,FALSE)*'Fatores de Emissão'!E528,"")</f>
        <v/>
      </c>
      <c r="G337" s="493" t="str">
        <f>IFERROR(VLOOKUP(C337,FACE!$B$84:$H$92,5,FALSE)+VLOOKUP(C337,FACE!$B$84:$H$92,6,FALSE)*'Fatores de Emissão'!F527+VLOOKUP(C337,FACE!$B$84:$H$92,7,FALSE)*'Fatores de Emissão'!F528,"")</f>
        <v/>
      </c>
      <c r="H337" s="802" t="str">
        <f t="shared" si="10"/>
        <v/>
      </c>
      <c r="I337" s="802" t="str">
        <f t="shared" si="11"/>
        <v/>
      </c>
      <c r="J337" s="1022" t="str">
        <f>IF(D337="","",SUMIF('Fatores de Emissão'!$B$31:$B$75, $C337, 'Fatores de Emissão'!$R$31:$R$75)*D337)</f>
        <v/>
      </c>
      <c r="L337" s="175"/>
    </row>
    <row r="338" spans="1:12" hidden="1" outlineLevel="2" x14ac:dyDescent="0.35">
      <c r="A338" s="192"/>
      <c r="B338" s="193"/>
      <c r="C338" s="454"/>
      <c r="D338" s="490"/>
      <c r="E338" s="492" t="str">
        <f>IF(C338="","",VLOOKUP(C338,FACE!$B$47:$D$92,3,FALSE))</f>
        <v/>
      </c>
      <c r="F338" s="956" t="str">
        <f>IFERROR(VLOOKUP(C338,FACE!$B$47:$H$82,5,FALSE)+VLOOKUP(C338,FACE!$B$47:$H$82,6,FALSE)*'Fatores de Emissão'!E528+VLOOKUP(C338,FACE!$B$47:$H$82,7,FALSE)*'Fatores de Emissão'!E529,"")</f>
        <v/>
      </c>
      <c r="G338" s="493" t="str">
        <f>IFERROR(VLOOKUP(C338,FACE!$B$84:$H$92,5,FALSE)+VLOOKUP(C338,FACE!$B$84:$H$92,6,FALSE)*'Fatores de Emissão'!F528+VLOOKUP(C338,FACE!$B$84:$H$92,7,FALSE)*'Fatores de Emissão'!F529,"")</f>
        <v/>
      </c>
      <c r="H338" s="802" t="str">
        <f t="shared" si="10"/>
        <v/>
      </c>
      <c r="I338" s="802" t="str">
        <f t="shared" si="11"/>
        <v/>
      </c>
      <c r="J338" s="1022" t="str">
        <f>IF(D338="","",SUMIF('Fatores de Emissão'!$B$31:$B$75, $C338, 'Fatores de Emissão'!$R$31:$R$75)*D338)</f>
        <v/>
      </c>
      <c r="L338" s="175"/>
    </row>
    <row r="339" spans="1:12" hidden="1" outlineLevel="2" x14ac:dyDescent="0.35">
      <c r="A339" s="192"/>
      <c r="B339" s="193"/>
      <c r="C339" s="454"/>
      <c r="D339" s="490"/>
      <c r="E339" s="492" t="str">
        <f>IF(C339="","",VLOOKUP(C339,FACE!$B$47:$D$92,3,FALSE))</f>
        <v/>
      </c>
      <c r="F339" s="956" t="str">
        <f>IFERROR(VLOOKUP(C339,FACE!$B$47:$H$82,5,FALSE)+VLOOKUP(C339,FACE!$B$47:$H$82,6,FALSE)*'Fatores de Emissão'!E529+VLOOKUP(C339,FACE!$B$47:$H$82,7,FALSE)*'Fatores de Emissão'!E530,"")</f>
        <v/>
      </c>
      <c r="G339" s="493" t="str">
        <f>IFERROR(VLOOKUP(C339,FACE!$B$84:$H$92,5,FALSE)+VLOOKUP(C339,FACE!$B$84:$H$92,6,FALSE)*'Fatores de Emissão'!F529+VLOOKUP(C339,FACE!$B$84:$H$92,7,FALSE)*'Fatores de Emissão'!F530,"")</f>
        <v/>
      </c>
      <c r="H339" s="802" t="str">
        <f t="shared" si="10"/>
        <v/>
      </c>
      <c r="I339" s="802" t="str">
        <f t="shared" si="11"/>
        <v/>
      </c>
      <c r="J339" s="1022" t="str">
        <f>IF(D339="","",SUMIF('Fatores de Emissão'!$B$31:$B$75, $C339, 'Fatores de Emissão'!$R$31:$R$75)*D339)</f>
        <v/>
      </c>
      <c r="L339" s="175"/>
    </row>
    <row r="340" spans="1:12" hidden="1" outlineLevel="2" x14ac:dyDescent="0.35">
      <c r="A340" s="192"/>
      <c r="B340" s="193"/>
      <c r="C340" s="454"/>
      <c r="D340" s="490"/>
      <c r="E340" s="492" t="str">
        <f>IF(C340="","",VLOOKUP(C340,FACE!$B$47:$D$92,3,FALSE))</f>
        <v/>
      </c>
      <c r="F340" s="956" t="str">
        <f>IFERROR(VLOOKUP(C340,FACE!$B$47:$H$82,5,FALSE)+VLOOKUP(C340,FACE!$B$47:$H$82,6,FALSE)*'Fatores de Emissão'!E530+VLOOKUP(C340,FACE!$B$47:$H$82,7,FALSE)*'Fatores de Emissão'!E531,"")</f>
        <v/>
      </c>
      <c r="G340" s="493" t="str">
        <f>IFERROR(VLOOKUP(C340,FACE!$B$84:$H$92,5,FALSE)+VLOOKUP(C340,FACE!$B$84:$H$92,6,FALSE)*'Fatores de Emissão'!F530+VLOOKUP(C340,FACE!$B$84:$H$92,7,FALSE)*'Fatores de Emissão'!F531,"")</f>
        <v/>
      </c>
      <c r="H340" s="802" t="str">
        <f t="shared" si="10"/>
        <v/>
      </c>
      <c r="I340" s="802" t="str">
        <f t="shared" si="11"/>
        <v/>
      </c>
      <c r="J340" s="1022" t="str">
        <f>IF(D340="","",SUMIF('Fatores de Emissão'!$B$31:$B$75, $C340, 'Fatores de Emissão'!$R$31:$R$75)*D340)</f>
        <v/>
      </c>
      <c r="L340" s="175"/>
    </row>
    <row r="341" spans="1:12" hidden="1" outlineLevel="2" x14ac:dyDescent="0.35">
      <c r="A341" s="192"/>
      <c r="B341" s="193"/>
      <c r="C341" s="454"/>
      <c r="D341" s="490"/>
      <c r="E341" s="492" t="str">
        <f>IF(C341="","",VLOOKUP(C341,FACE!$B$47:$D$92,3,FALSE))</f>
        <v/>
      </c>
      <c r="F341" s="956" t="str">
        <f>IFERROR(VLOOKUP(C341,FACE!$B$47:$H$82,5,FALSE)+VLOOKUP(C341,FACE!$B$47:$H$82,6,FALSE)*'Fatores de Emissão'!E531+VLOOKUP(C341,FACE!$B$47:$H$82,7,FALSE)*'Fatores de Emissão'!E532,"")</f>
        <v/>
      </c>
      <c r="G341" s="493" t="str">
        <f>IFERROR(VLOOKUP(C341,FACE!$B$84:$H$92,5,FALSE)+VLOOKUP(C341,FACE!$B$84:$H$92,6,FALSE)*'Fatores de Emissão'!F531+VLOOKUP(C341,FACE!$B$84:$H$92,7,FALSE)*'Fatores de Emissão'!F532,"")</f>
        <v/>
      </c>
      <c r="H341" s="802" t="str">
        <f t="shared" si="10"/>
        <v/>
      </c>
      <c r="I341" s="802" t="str">
        <f t="shared" si="11"/>
        <v/>
      </c>
      <c r="J341" s="1022" t="str">
        <f>IF(D341="","",SUMIF('Fatores de Emissão'!$B$31:$B$75, $C341, 'Fatores de Emissão'!$R$31:$R$75)*D341)</f>
        <v/>
      </c>
      <c r="L341" s="175"/>
    </row>
    <row r="342" spans="1:12" hidden="1" outlineLevel="2" x14ac:dyDescent="0.35">
      <c r="A342" s="192"/>
      <c r="B342" s="193"/>
      <c r="C342" s="454"/>
      <c r="D342" s="490"/>
      <c r="E342" s="492" t="str">
        <f>IF(C342="","",VLOOKUP(C342,FACE!$B$47:$D$92,3,FALSE))</f>
        <v/>
      </c>
      <c r="F342" s="956" t="str">
        <f>IFERROR(VLOOKUP(C342,FACE!$B$47:$H$82,5,FALSE)+VLOOKUP(C342,FACE!$B$47:$H$82,6,FALSE)*'Fatores de Emissão'!E532+VLOOKUP(C342,FACE!$B$47:$H$82,7,FALSE)*'Fatores de Emissão'!E533,"")</f>
        <v/>
      </c>
      <c r="G342" s="493" t="str">
        <f>IFERROR(VLOOKUP(C342,FACE!$B$84:$H$92,5,FALSE)+VLOOKUP(C342,FACE!$B$84:$H$92,6,FALSE)*'Fatores de Emissão'!F532+VLOOKUP(C342,FACE!$B$84:$H$92,7,FALSE)*'Fatores de Emissão'!F533,"")</f>
        <v/>
      </c>
      <c r="H342" s="802" t="str">
        <f t="shared" si="10"/>
        <v/>
      </c>
      <c r="I342" s="802" t="str">
        <f t="shared" si="11"/>
        <v/>
      </c>
      <c r="J342" s="1022" t="str">
        <f>IF(D342="","",SUMIF('Fatores de Emissão'!$B$31:$B$75, $C342, 'Fatores de Emissão'!$R$31:$R$75)*D342)</f>
        <v/>
      </c>
      <c r="L342" s="175"/>
    </row>
    <row r="343" spans="1:12" hidden="1" outlineLevel="2" x14ac:dyDescent="0.35">
      <c r="A343" s="192"/>
      <c r="B343" s="193"/>
      <c r="C343" s="454"/>
      <c r="D343" s="490"/>
      <c r="E343" s="492" t="str">
        <f>IF(C343="","",VLOOKUP(C343,FACE!$B$47:$D$92,3,FALSE))</f>
        <v/>
      </c>
      <c r="F343" s="956" t="str">
        <f>IFERROR(VLOOKUP(C343,FACE!$B$47:$H$82,5,FALSE)+VLOOKUP(C343,FACE!$B$47:$H$82,6,FALSE)*'Fatores de Emissão'!E533+VLOOKUP(C343,FACE!$B$47:$H$82,7,FALSE)*'Fatores de Emissão'!E534,"")</f>
        <v/>
      </c>
      <c r="G343" s="493" t="str">
        <f>IFERROR(VLOOKUP(C343,FACE!$B$84:$H$92,5,FALSE)+VLOOKUP(C343,FACE!$B$84:$H$92,6,FALSE)*'Fatores de Emissão'!F533+VLOOKUP(C343,FACE!$B$84:$H$92,7,FALSE)*'Fatores de Emissão'!F534,"")</f>
        <v/>
      </c>
      <c r="H343" s="802" t="str">
        <f t="shared" si="10"/>
        <v/>
      </c>
      <c r="I343" s="802" t="str">
        <f t="shared" si="11"/>
        <v/>
      </c>
      <c r="J343" s="1022" t="str">
        <f>IF(D343="","",SUMIF('Fatores de Emissão'!$B$31:$B$75, $C343, 'Fatores de Emissão'!$R$31:$R$75)*D343)</f>
        <v/>
      </c>
      <c r="L343" s="175"/>
    </row>
    <row r="344" spans="1:12" hidden="1" outlineLevel="2" x14ac:dyDescent="0.35">
      <c r="A344" s="192"/>
      <c r="B344" s="193"/>
      <c r="C344" s="454"/>
      <c r="D344" s="490"/>
      <c r="E344" s="492" t="str">
        <f>IF(C344="","",VLOOKUP(C344,FACE!$B$47:$D$92,3,FALSE))</f>
        <v/>
      </c>
      <c r="F344" s="956" t="str">
        <f>IFERROR(VLOOKUP(C344,FACE!$B$47:$H$82,5,FALSE)+VLOOKUP(C344,FACE!$B$47:$H$82,6,FALSE)*'Fatores de Emissão'!E534+VLOOKUP(C344,FACE!$B$47:$H$82,7,FALSE)*'Fatores de Emissão'!E535,"")</f>
        <v/>
      </c>
      <c r="G344" s="493" t="str">
        <f>IFERROR(VLOOKUP(C344,FACE!$B$84:$H$92,5,FALSE)+VLOOKUP(C344,FACE!$B$84:$H$92,6,FALSE)*'Fatores de Emissão'!F534+VLOOKUP(C344,FACE!$B$84:$H$92,7,FALSE)*'Fatores de Emissão'!F535,"")</f>
        <v/>
      </c>
      <c r="H344" s="802" t="str">
        <f t="shared" si="10"/>
        <v/>
      </c>
      <c r="I344" s="802" t="str">
        <f t="shared" si="11"/>
        <v/>
      </c>
      <c r="J344" s="1022" t="str">
        <f>IF(D344="","",SUMIF('Fatores de Emissão'!$B$31:$B$75, $C344, 'Fatores de Emissão'!$R$31:$R$75)*D344)</f>
        <v/>
      </c>
      <c r="L344" s="175"/>
    </row>
    <row r="345" spans="1:12" hidden="1" outlineLevel="2" x14ac:dyDescent="0.35">
      <c r="A345" s="192"/>
      <c r="B345" s="193"/>
      <c r="C345" s="454"/>
      <c r="D345" s="490"/>
      <c r="E345" s="492" t="str">
        <f>IF(C345="","",VLOOKUP(C345,FACE!$B$47:$D$92,3,FALSE))</f>
        <v/>
      </c>
      <c r="F345" s="956" t="str">
        <f>IFERROR(VLOOKUP(C345,FACE!$B$47:$H$82,5,FALSE)+VLOOKUP(C345,FACE!$B$47:$H$82,6,FALSE)*'Fatores de Emissão'!E535+VLOOKUP(C345,FACE!$B$47:$H$82,7,FALSE)*'Fatores de Emissão'!E536,"")</f>
        <v/>
      </c>
      <c r="G345" s="493" t="str">
        <f>IFERROR(VLOOKUP(C345,FACE!$B$84:$H$92,5,FALSE)+VLOOKUP(C345,FACE!$B$84:$H$92,6,FALSE)*'Fatores de Emissão'!F535+VLOOKUP(C345,FACE!$B$84:$H$92,7,FALSE)*'Fatores de Emissão'!F536,"")</f>
        <v/>
      </c>
      <c r="H345" s="802" t="str">
        <f t="shared" si="10"/>
        <v/>
      </c>
      <c r="I345" s="802" t="str">
        <f t="shared" si="11"/>
        <v/>
      </c>
      <c r="J345" s="1022" t="str">
        <f>IF(D345="","",SUMIF('Fatores de Emissão'!$B$31:$B$75, $C345, 'Fatores de Emissão'!$R$31:$R$75)*D345)</f>
        <v/>
      </c>
      <c r="L345" s="175"/>
    </row>
    <row r="346" spans="1:12" hidden="1" outlineLevel="2" x14ac:dyDescent="0.35">
      <c r="A346" s="192"/>
      <c r="B346" s="193"/>
      <c r="C346" s="454"/>
      <c r="D346" s="490"/>
      <c r="E346" s="492" t="str">
        <f>IF(C346="","",VLOOKUP(C346,FACE!$B$47:$D$92,3,FALSE))</f>
        <v/>
      </c>
      <c r="F346" s="956" t="str">
        <f>IFERROR(VLOOKUP(C346,FACE!$B$47:$H$82,5,FALSE)+VLOOKUP(C346,FACE!$B$47:$H$82,6,FALSE)*'Fatores de Emissão'!E536+VLOOKUP(C346,FACE!$B$47:$H$82,7,FALSE)*'Fatores de Emissão'!E537,"")</f>
        <v/>
      </c>
      <c r="G346" s="493" t="str">
        <f>IFERROR(VLOOKUP(C346,FACE!$B$84:$H$92,5,FALSE)+VLOOKUP(C346,FACE!$B$84:$H$92,6,FALSE)*'Fatores de Emissão'!F536+VLOOKUP(C346,FACE!$B$84:$H$92,7,FALSE)*'Fatores de Emissão'!F537,"")</f>
        <v/>
      </c>
      <c r="H346" s="802" t="str">
        <f t="shared" si="10"/>
        <v/>
      </c>
      <c r="I346" s="802" t="str">
        <f t="shared" si="11"/>
        <v/>
      </c>
      <c r="J346" s="1022" t="str">
        <f>IF(D346="","",SUMIF('Fatores de Emissão'!$B$31:$B$75, $C346, 'Fatores de Emissão'!$R$31:$R$75)*D346)</f>
        <v/>
      </c>
      <c r="L346" s="175"/>
    </row>
    <row r="347" spans="1:12" hidden="1" outlineLevel="2" x14ac:dyDescent="0.35">
      <c r="A347" s="192"/>
      <c r="B347" s="193"/>
      <c r="C347" s="454"/>
      <c r="D347" s="490"/>
      <c r="E347" s="492" t="str">
        <f>IF(C347="","",VLOOKUP(C347,FACE!$B$47:$D$92,3,FALSE))</f>
        <v/>
      </c>
      <c r="F347" s="956" t="str">
        <f>IFERROR(VLOOKUP(C347,FACE!$B$47:$H$82,5,FALSE)+VLOOKUP(C347,FACE!$B$47:$H$82,6,FALSE)*'Fatores de Emissão'!E537+VLOOKUP(C347,FACE!$B$47:$H$82,7,FALSE)*'Fatores de Emissão'!E538,"")</f>
        <v/>
      </c>
      <c r="G347" s="493" t="str">
        <f>IFERROR(VLOOKUP(C347,FACE!$B$84:$H$92,5,FALSE)+VLOOKUP(C347,FACE!$B$84:$H$92,6,FALSE)*'Fatores de Emissão'!F537+VLOOKUP(C347,FACE!$B$84:$H$92,7,FALSE)*'Fatores de Emissão'!F538,"")</f>
        <v/>
      </c>
      <c r="H347" s="802" t="str">
        <f t="shared" si="10"/>
        <v/>
      </c>
      <c r="I347" s="802" t="str">
        <f t="shared" si="11"/>
        <v/>
      </c>
      <c r="J347" s="1022" t="str">
        <f>IF(D347="","",SUMIF('Fatores de Emissão'!$B$31:$B$75, $C347, 'Fatores de Emissão'!$R$31:$R$75)*D347)</f>
        <v/>
      </c>
      <c r="L347" s="175"/>
    </row>
    <row r="348" spans="1:12" hidden="1" outlineLevel="2" x14ac:dyDescent="0.35">
      <c r="A348" s="192"/>
      <c r="B348" s="193"/>
      <c r="C348" s="454"/>
      <c r="D348" s="490"/>
      <c r="E348" s="492" t="str">
        <f>IF(C348="","",VLOOKUP(C348,FACE!$B$47:$D$92,3,FALSE))</f>
        <v/>
      </c>
      <c r="F348" s="956" t="str">
        <f>IFERROR(VLOOKUP(C348,FACE!$B$47:$H$82,5,FALSE)+VLOOKUP(C348,FACE!$B$47:$H$82,6,FALSE)*'Fatores de Emissão'!E538+VLOOKUP(C348,FACE!$B$47:$H$82,7,FALSE)*'Fatores de Emissão'!E539,"")</f>
        <v/>
      </c>
      <c r="G348" s="493" t="str">
        <f>IFERROR(VLOOKUP(C348,FACE!$B$84:$H$92,5,FALSE)+VLOOKUP(C348,FACE!$B$84:$H$92,6,FALSE)*'Fatores de Emissão'!F538+VLOOKUP(C348,FACE!$B$84:$H$92,7,FALSE)*'Fatores de Emissão'!F539,"")</f>
        <v/>
      </c>
      <c r="H348" s="802" t="str">
        <f t="shared" si="10"/>
        <v/>
      </c>
      <c r="I348" s="802" t="str">
        <f t="shared" si="11"/>
        <v/>
      </c>
      <c r="J348" s="1022" t="str">
        <f>IF(D348="","",SUMIF('Fatores de Emissão'!$B$31:$B$75, $C348, 'Fatores de Emissão'!$R$31:$R$75)*D348)</f>
        <v/>
      </c>
      <c r="L348" s="175"/>
    </row>
    <row r="349" spans="1:12" hidden="1" outlineLevel="2" x14ac:dyDescent="0.35">
      <c r="A349" s="192"/>
      <c r="B349" s="193"/>
      <c r="C349" s="454"/>
      <c r="D349" s="490"/>
      <c r="E349" s="492" t="str">
        <f>IF(C349="","",VLOOKUP(C349,FACE!$B$47:$D$92,3,FALSE))</f>
        <v/>
      </c>
      <c r="F349" s="956" t="str">
        <f>IFERROR(VLOOKUP(C349,FACE!$B$47:$H$82,5,FALSE)+VLOOKUP(C349,FACE!$B$47:$H$82,6,FALSE)*'Fatores de Emissão'!E539+VLOOKUP(C349,FACE!$B$47:$H$82,7,FALSE)*'Fatores de Emissão'!E540,"")</f>
        <v/>
      </c>
      <c r="G349" s="493" t="str">
        <f>IFERROR(VLOOKUP(C349,FACE!$B$84:$H$92,5,FALSE)+VLOOKUP(C349,FACE!$B$84:$H$92,6,FALSE)*'Fatores de Emissão'!F539+VLOOKUP(C349,FACE!$B$84:$H$92,7,FALSE)*'Fatores de Emissão'!F540,"")</f>
        <v/>
      </c>
      <c r="H349" s="802" t="str">
        <f t="shared" si="10"/>
        <v/>
      </c>
      <c r="I349" s="802" t="str">
        <f t="shared" si="11"/>
        <v/>
      </c>
      <c r="J349" s="1022" t="str">
        <f>IF(D349="","",SUMIF('Fatores de Emissão'!$B$31:$B$75, $C349, 'Fatores de Emissão'!$R$31:$R$75)*D349)</f>
        <v/>
      </c>
      <c r="L349" s="175"/>
    </row>
    <row r="350" spans="1:12" hidden="1" outlineLevel="2" x14ac:dyDescent="0.35">
      <c r="A350" s="192"/>
      <c r="B350" s="193"/>
      <c r="C350" s="454"/>
      <c r="D350" s="490"/>
      <c r="E350" s="492" t="str">
        <f>IF(C350="","",VLOOKUP(C350,FACE!$B$47:$D$92,3,FALSE))</f>
        <v/>
      </c>
      <c r="F350" s="956" t="str">
        <f>IFERROR(VLOOKUP(C350,FACE!$B$47:$H$82,5,FALSE)+VLOOKUP(C350,FACE!$B$47:$H$82,6,FALSE)*'Fatores de Emissão'!E540+VLOOKUP(C350,FACE!$B$47:$H$82,7,FALSE)*'Fatores de Emissão'!E541,"")</f>
        <v/>
      </c>
      <c r="G350" s="493" t="str">
        <f>IFERROR(VLOOKUP(C350,FACE!$B$84:$H$92,5,FALSE)+VLOOKUP(C350,FACE!$B$84:$H$92,6,FALSE)*'Fatores de Emissão'!F540+VLOOKUP(C350,FACE!$B$84:$H$92,7,FALSE)*'Fatores de Emissão'!F541,"")</f>
        <v/>
      </c>
      <c r="H350" s="802" t="str">
        <f t="shared" si="10"/>
        <v/>
      </c>
      <c r="I350" s="802" t="str">
        <f t="shared" si="11"/>
        <v/>
      </c>
      <c r="J350" s="1022" t="str">
        <f>IF(D350="","",SUMIF('Fatores de Emissão'!$B$31:$B$75, $C350, 'Fatores de Emissão'!$R$31:$R$75)*D350)</f>
        <v/>
      </c>
      <c r="L350" s="175"/>
    </row>
    <row r="351" spans="1:12" hidden="1" outlineLevel="2" x14ac:dyDescent="0.35">
      <c r="A351" s="192"/>
      <c r="B351" s="193"/>
      <c r="C351" s="454"/>
      <c r="D351" s="490"/>
      <c r="E351" s="492" t="str">
        <f>IF(C351="","",VLOOKUP(C351,FACE!$B$47:$D$92,3,FALSE))</f>
        <v/>
      </c>
      <c r="F351" s="956" t="str">
        <f>IFERROR(VLOOKUP(C351,FACE!$B$47:$H$82,5,FALSE)+VLOOKUP(C351,FACE!$B$47:$H$82,6,FALSE)*'Fatores de Emissão'!E541+VLOOKUP(C351,FACE!$B$47:$H$82,7,FALSE)*'Fatores de Emissão'!E542,"")</f>
        <v/>
      </c>
      <c r="G351" s="493" t="str">
        <f>IFERROR(VLOOKUP(C351,FACE!$B$84:$H$92,5,FALSE)+VLOOKUP(C351,FACE!$B$84:$H$92,6,FALSE)*'Fatores de Emissão'!F541+VLOOKUP(C351,FACE!$B$84:$H$92,7,FALSE)*'Fatores de Emissão'!F542,"")</f>
        <v/>
      </c>
      <c r="H351" s="802" t="str">
        <f t="shared" si="10"/>
        <v/>
      </c>
      <c r="I351" s="802" t="str">
        <f t="shared" si="11"/>
        <v/>
      </c>
      <c r="J351" s="1022" t="str">
        <f>IF(D351="","",SUMIF('Fatores de Emissão'!$B$31:$B$75, $C351, 'Fatores de Emissão'!$R$31:$R$75)*D351)</f>
        <v/>
      </c>
      <c r="L351" s="175"/>
    </row>
    <row r="352" spans="1:12" hidden="1" outlineLevel="2" x14ac:dyDescent="0.35">
      <c r="A352" s="192"/>
      <c r="B352" s="193"/>
      <c r="C352" s="454"/>
      <c r="D352" s="490"/>
      <c r="E352" s="492" t="str">
        <f>IF(C352="","",VLOOKUP(C352,FACE!$B$47:$D$92,3,FALSE))</f>
        <v/>
      </c>
      <c r="F352" s="956" t="str">
        <f>IFERROR(VLOOKUP(C352,FACE!$B$47:$H$82,5,FALSE)+VLOOKUP(C352,FACE!$B$47:$H$82,6,FALSE)*'Fatores de Emissão'!E542+VLOOKUP(C352,FACE!$B$47:$H$82,7,FALSE)*'Fatores de Emissão'!E543,"")</f>
        <v/>
      </c>
      <c r="G352" s="493" t="str">
        <f>IFERROR(VLOOKUP(C352,FACE!$B$84:$H$92,5,FALSE)+VLOOKUP(C352,FACE!$B$84:$H$92,6,FALSE)*'Fatores de Emissão'!F542+VLOOKUP(C352,FACE!$B$84:$H$92,7,FALSE)*'Fatores de Emissão'!F543,"")</f>
        <v/>
      </c>
      <c r="H352" s="802" t="str">
        <f t="shared" ref="H352:H386" si="12">IFERROR(F352*D352,"")</f>
        <v/>
      </c>
      <c r="I352" s="802" t="str">
        <f t="shared" ref="I352:I386" si="13">IFERROR(G352*D352,"")</f>
        <v/>
      </c>
      <c r="J352" s="1022" t="str">
        <f>IF(D352="","",SUMIF('Fatores de Emissão'!$B$31:$B$75, $C352, 'Fatores de Emissão'!$R$31:$R$75)*D352)</f>
        <v/>
      </c>
      <c r="L352" s="175"/>
    </row>
    <row r="353" spans="1:12" hidden="1" outlineLevel="2" x14ac:dyDescent="0.35">
      <c r="A353" s="192"/>
      <c r="B353" s="193"/>
      <c r="C353" s="454"/>
      <c r="D353" s="490"/>
      <c r="E353" s="492" t="str">
        <f>IF(C353="","",VLOOKUP(C353,FACE!$B$47:$D$92,3,FALSE))</f>
        <v/>
      </c>
      <c r="F353" s="956" t="str">
        <f>IFERROR(VLOOKUP(C353,FACE!$B$47:$H$82,5,FALSE)+VLOOKUP(C353,FACE!$B$47:$H$82,6,FALSE)*'Fatores de Emissão'!E543+VLOOKUP(C353,FACE!$B$47:$H$82,7,FALSE)*'Fatores de Emissão'!E544,"")</f>
        <v/>
      </c>
      <c r="G353" s="493" t="str">
        <f>IFERROR(VLOOKUP(C353,FACE!$B$84:$H$92,5,FALSE)+VLOOKUP(C353,FACE!$B$84:$H$92,6,FALSE)*'Fatores de Emissão'!F543+VLOOKUP(C353,FACE!$B$84:$H$92,7,FALSE)*'Fatores de Emissão'!F544,"")</f>
        <v/>
      </c>
      <c r="H353" s="802" t="str">
        <f t="shared" si="12"/>
        <v/>
      </c>
      <c r="I353" s="802" t="str">
        <f t="shared" si="13"/>
        <v/>
      </c>
      <c r="J353" s="1022" t="str">
        <f>IF(D353="","",SUMIF('Fatores de Emissão'!$B$31:$B$75, $C353, 'Fatores de Emissão'!$R$31:$R$75)*D353)</f>
        <v/>
      </c>
      <c r="L353" s="175"/>
    </row>
    <row r="354" spans="1:12" hidden="1" outlineLevel="2" x14ac:dyDescent="0.35">
      <c r="A354" s="192"/>
      <c r="B354" s="193"/>
      <c r="C354" s="454"/>
      <c r="D354" s="490"/>
      <c r="E354" s="492" t="str">
        <f>IF(C354="","",VLOOKUP(C354,FACE!$B$47:$D$92,3,FALSE))</f>
        <v/>
      </c>
      <c r="F354" s="956" t="str">
        <f>IFERROR(VLOOKUP(C354,FACE!$B$47:$H$82,5,FALSE)+VLOOKUP(C354,FACE!$B$47:$H$82,6,FALSE)*'Fatores de Emissão'!E544+VLOOKUP(C354,FACE!$B$47:$H$82,7,FALSE)*'Fatores de Emissão'!E545,"")</f>
        <v/>
      </c>
      <c r="G354" s="493" t="str">
        <f>IFERROR(VLOOKUP(C354,FACE!$B$84:$H$92,5,FALSE)+VLOOKUP(C354,FACE!$B$84:$H$92,6,FALSE)*'Fatores de Emissão'!F544+VLOOKUP(C354,FACE!$B$84:$H$92,7,FALSE)*'Fatores de Emissão'!F545,"")</f>
        <v/>
      </c>
      <c r="H354" s="802" t="str">
        <f t="shared" si="12"/>
        <v/>
      </c>
      <c r="I354" s="802" t="str">
        <f t="shared" si="13"/>
        <v/>
      </c>
      <c r="J354" s="1022" t="str">
        <f>IF(D354="","",SUMIF('Fatores de Emissão'!$B$31:$B$75, $C354, 'Fatores de Emissão'!$R$31:$R$75)*D354)</f>
        <v/>
      </c>
      <c r="L354" s="175"/>
    </row>
    <row r="355" spans="1:12" hidden="1" outlineLevel="2" x14ac:dyDescent="0.35">
      <c r="A355" s="192"/>
      <c r="B355" s="193"/>
      <c r="C355" s="454"/>
      <c r="D355" s="490"/>
      <c r="E355" s="492" t="str">
        <f>IF(C355="","",VLOOKUP(C355,FACE!$B$47:$D$92,3,FALSE))</f>
        <v/>
      </c>
      <c r="F355" s="956" t="str">
        <f>IFERROR(VLOOKUP(C355,FACE!$B$47:$H$82,5,FALSE)+VLOOKUP(C355,FACE!$B$47:$H$82,6,FALSE)*'Fatores de Emissão'!E545+VLOOKUP(C355,FACE!$B$47:$H$82,7,FALSE)*'Fatores de Emissão'!E546,"")</f>
        <v/>
      </c>
      <c r="G355" s="493" t="str">
        <f>IFERROR(VLOOKUP(C355,FACE!$B$84:$H$92,5,FALSE)+VLOOKUP(C355,FACE!$B$84:$H$92,6,FALSE)*'Fatores de Emissão'!F545+VLOOKUP(C355,FACE!$B$84:$H$92,7,FALSE)*'Fatores de Emissão'!F546,"")</f>
        <v/>
      </c>
      <c r="H355" s="802" t="str">
        <f t="shared" si="12"/>
        <v/>
      </c>
      <c r="I355" s="802" t="str">
        <f t="shared" si="13"/>
        <v/>
      </c>
      <c r="J355" s="1022" t="str">
        <f>IF(D355="","",SUMIF('Fatores de Emissão'!$B$31:$B$75, $C355, 'Fatores de Emissão'!$R$31:$R$75)*D355)</f>
        <v/>
      </c>
      <c r="L355" s="175"/>
    </row>
    <row r="356" spans="1:12" hidden="1" outlineLevel="2" x14ac:dyDescent="0.35">
      <c r="A356" s="192"/>
      <c r="B356" s="193"/>
      <c r="C356" s="454"/>
      <c r="D356" s="490"/>
      <c r="E356" s="492" t="str">
        <f>IF(C356="","",VLOOKUP(C356,FACE!$B$47:$D$92,3,FALSE))</f>
        <v/>
      </c>
      <c r="F356" s="956" t="str">
        <f>IFERROR(VLOOKUP(C356,FACE!$B$47:$H$82,5,FALSE)+VLOOKUP(C356,FACE!$B$47:$H$82,6,FALSE)*'Fatores de Emissão'!E546+VLOOKUP(C356,FACE!$B$47:$H$82,7,FALSE)*'Fatores de Emissão'!E547,"")</f>
        <v/>
      </c>
      <c r="G356" s="493" t="str">
        <f>IFERROR(VLOOKUP(C356,FACE!$B$84:$H$92,5,FALSE)+VLOOKUP(C356,FACE!$B$84:$H$92,6,FALSE)*'Fatores de Emissão'!F546+VLOOKUP(C356,FACE!$B$84:$H$92,7,FALSE)*'Fatores de Emissão'!F547,"")</f>
        <v/>
      </c>
      <c r="H356" s="802" t="str">
        <f t="shared" si="12"/>
        <v/>
      </c>
      <c r="I356" s="802" t="str">
        <f t="shared" si="13"/>
        <v/>
      </c>
      <c r="J356" s="1022" t="str">
        <f>IF(D356="","",SUMIF('Fatores de Emissão'!$B$31:$B$75, $C356, 'Fatores de Emissão'!$R$31:$R$75)*D356)</f>
        <v/>
      </c>
      <c r="L356" s="175"/>
    </row>
    <row r="357" spans="1:12" hidden="1" outlineLevel="2" x14ac:dyDescent="0.35">
      <c r="A357" s="192"/>
      <c r="B357" s="193"/>
      <c r="C357" s="454"/>
      <c r="D357" s="490"/>
      <c r="E357" s="492" t="str">
        <f>IF(C357="","",VLOOKUP(C357,FACE!$B$47:$D$92,3,FALSE))</f>
        <v/>
      </c>
      <c r="F357" s="956" t="str">
        <f>IFERROR(VLOOKUP(C357,FACE!$B$47:$H$82,5,FALSE)+VLOOKUP(C357,FACE!$B$47:$H$82,6,FALSE)*'Fatores de Emissão'!E547+VLOOKUP(C357,FACE!$B$47:$H$82,7,FALSE)*'Fatores de Emissão'!E548,"")</f>
        <v/>
      </c>
      <c r="G357" s="493" t="str">
        <f>IFERROR(VLOOKUP(C357,FACE!$B$84:$H$92,5,FALSE)+VLOOKUP(C357,FACE!$B$84:$H$92,6,FALSE)*'Fatores de Emissão'!F547+VLOOKUP(C357,FACE!$B$84:$H$92,7,FALSE)*'Fatores de Emissão'!F548,"")</f>
        <v/>
      </c>
      <c r="H357" s="802" t="str">
        <f t="shared" si="12"/>
        <v/>
      </c>
      <c r="I357" s="802" t="str">
        <f t="shared" si="13"/>
        <v/>
      </c>
      <c r="J357" s="1022" t="str">
        <f>IF(D357="","",SUMIF('Fatores de Emissão'!$B$31:$B$75, $C357, 'Fatores de Emissão'!$R$31:$R$75)*D357)</f>
        <v/>
      </c>
      <c r="L357" s="175"/>
    </row>
    <row r="358" spans="1:12" hidden="1" outlineLevel="2" x14ac:dyDescent="0.35">
      <c r="A358" s="192"/>
      <c r="B358" s="193"/>
      <c r="C358" s="454"/>
      <c r="D358" s="490"/>
      <c r="E358" s="492" t="str">
        <f>IF(C358="","",VLOOKUP(C358,FACE!$B$47:$D$92,3,FALSE))</f>
        <v/>
      </c>
      <c r="F358" s="956" t="str">
        <f>IFERROR(VLOOKUP(C358,FACE!$B$47:$H$82,5,FALSE)+VLOOKUP(C358,FACE!$B$47:$H$82,6,FALSE)*'Fatores de Emissão'!E548+VLOOKUP(C358,FACE!$B$47:$H$82,7,FALSE)*'Fatores de Emissão'!E549,"")</f>
        <v/>
      </c>
      <c r="G358" s="493" t="str">
        <f>IFERROR(VLOOKUP(C358,FACE!$B$84:$H$92,5,FALSE)+VLOOKUP(C358,FACE!$B$84:$H$92,6,FALSE)*'Fatores de Emissão'!F548+VLOOKUP(C358,FACE!$B$84:$H$92,7,FALSE)*'Fatores de Emissão'!F549,"")</f>
        <v/>
      </c>
      <c r="H358" s="802" t="str">
        <f t="shared" si="12"/>
        <v/>
      </c>
      <c r="I358" s="802" t="str">
        <f t="shared" si="13"/>
        <v/>
      </c>
      <c r="J358" s="1022" t="str">
        <f>IF(D358="","",SUMIF('Fatores de Emissão'!$B$31:$B$75, $C358, 'Fatores de Emissão'!$R$31:$R$75)*D358)</f>
        <v/>
      </c>
      <c r="L358" s="175"/>
    </row>
    <row r="359" spans="1:12" hidden="1" outlineLevel="2" x14ac:dyDescent="0.35">
      <c r="A359" s="192"/>
      <c r="B359" s="193"/>
      <c r="C359" s="454"/>
      <c r="D359" s="490"/>
      <c r="E359" s="492" t="str">
        <f>IF(C359="","",VLOOKUP(C359,FACE!$B$47:$D$92,3,FALSE))</f>
        <v/>
      </c>
      <c r="F359" s="956" t="str">
        <f>IFERROR(VLOOKUP(C359,FACE!$B$47:$H$82,5,FALSE)+VLOOKUP(C359,FACE!$B$47:$H$82,6,FALSE)*'Fatores de Emissão'!E549+VLOOKUP(C359,FACE!$B$47:$H$82,7,FALSE)*'Fatores de Emissão'!E550,"")</f>
        <v/>
      </c>
      <c r="G359" s="493" t="str">
        <f>IFERROR(VLOOKUP(C359,FACE!$B$84:$H$92,5,FALSE)+VLOOKUP(C359,FACE!$B$84:$H$92,6,FALSE)*'Fatores de Emissão'!F549+VLOOKUP(C359,FACE!$B$84:$H$92,7,FALSE)*'Fatores de Emissão'!F550,"")</f>
        <v/>
      </c>
      <c r="H359" s="802" t="str">
        <f t="shared" si="12"/>
        <v/>
      </c>
      <c r="I359" s="802" t="str">
        <f t="shared" si="13"/>
        <v/>
      </c>
      <c r="J359" s="1022" t="str">
        <f>IF(D359="","",SUMIF('Fatores de Emissão'!$B$31:$B$75, $C359, 'Fatores de Emissão'!$R$31:$R$75)*D359)</f>
        <v/>
      </c>
      <c r="L359" s="175"/>
    </row>
    <row r="360" spans="1:12" hidden="1" outlineLevel="2" x14ac:dyDescent="0.35">
      <c r="A360" s="192"/>
      <c r="B360" s="193"/>
      <c r="C360" s="454"/>
      <c r="D360" s="490"/>
      <c r="E360" s="492" t="str">
        <f>IF(C360="","",VLOOKUP(C360,FACE!$B$47:$D$92,3,FALSE))</f>
        <v/>
      </c>
      <c r="F360" s="956" t="str">
        <f>IFERROR(VLOOKUP(C360,FACE!$B$47:$H$82,5,FALSE)+VLOOKUP(C360,FACE!$B$47:$H$82,6,FALSE)*'Fatores de Emissão'!E550+VLOOKUP(C360,FACE!$B$47:$H$82,7,FALSE)*'Fatores de Emissão'!E551,"")</f>
        <v/>
      </c>
      <c r="G360" s="493" t="str">
        <f>IFERROR(VLOOKUP(C360,FACE!$B$84:$H$92,5,FALSE)+VLOOKUP(C360,FACE!$B$84:$H$92,6,FALSE)*'Fatores de Emissão'!F550+VLOOKUP(C360,FACE!$B$84:$H$92,7,FALSE)*'Fatores de Emissão'!F551,"")</f>
        <v/>
      </c>
      <c r="H360" s="802" t="str">
        <f t="shared" si="12"/>
        <v/>
      </c>
      <c r="I360" s="802" t="str">
        <f t="shared" si="13"/>
        <v/>
      </c>
      <c r="J360" s="1022" t="str">
        <f>IF(D360="","",SUMIF('Fatores de Emissão'!$B$31:$B$75, $C360, 'Fatores de Emissão'!$R$31:$R$75)*D360)</f>
        <v/>
      </c>
      <c r="L360" s="175"/>
    </row>
    <row r="361" spans="1:12" hidden="1" outlineLevel="2" x14ac:dyDescent="0.35">
      <c r="A361" s="192"/>
      <c r="B361" s="193"/>
      <c r="C361" s="454"/>
      <c r="D361" s="490"/>
      <c r="E361" s="492" t="str">
        <f>IF(C361="","",VLOOKUP(C361,FACE!$B$47:$D$92,3,FALSE))</f>
        <v/>
      </c>
      <c r="F361" s="956" t="str">
        <f>IFERROR(VLOOKUP(C361,FACE!$B$47:$H$82,5,FALSE)+VLOOKUP(C361,FACE!$B$47:$H$82,6,FALSE)*'Fatores de Emissão'!E551+VLOOKUP(C361,FACE!$B$47:$H$82,7,FALSE)*'Fatores de Emissão'!E552,"")</f>
        <v/>
      </c>
      <c r="G361" s="493" t="str">
        <f>IFERROR(VLOOKUP(C361,FACE!$B$84:$H$92,5,FALSE)+VLOOKUP(C361,FACE!$B$84:$H$92,6,FALSE)*'Fatores de Emissão'!F551+VLOOKUP(C361,FACE!$B$84:$H$92,7,FALSE)*'Fatores de Emissão'!F552,"")</f>
        <v/>
      </c>
      <c r="H361" s="802" t="str">
        <f t="shared" si="12"/>
        <v/>
      </c>
      <c r="I361" s="802" t="str">
        <f t="shared" si="13"/>
        <v/>
      </c>
      <c r="J361" s="1022" t="str">
        <f>IF(D361="","",SUMIF('Fatores de Emissão'!$B$31:$B$75, $C361, 'Fatores de Emissão'!$R$31:$R$75)*D361)</f>
        <v/>
      </c>
      <c r="L361" s="175"/>
    </row>
    <row r="362" spans="1:12" hidden="1" outlineLevel="2" x14ac:dyDescent="0.35">
      <c r="A362" s="192"/>
      <c r="B362" s="193"/>
      <c r="C362" s="454"/>
      <c r="D362" s="490"/>
      <c r="E362" s="492" t="str">
        <f>IF(C362="","",VLOOKUP(C362,FACE!$B$47:$D$92,3,FALSE))</f>
        <v/>
      </c>
      <c r="F362" s="956" t="str">
        <f>IFERROR(VLOOKUP(C362,FACE!$B$47:$H$82,5,FALSE)+VLOOKUP(C362,FACE!$B$47:$H$82,6,FALSE)*'Fatores de Emissão'!E552+VLOOKUP(C362,FACE!$B$47:$H$82,7,FALSE)*'Fatores de Emissão'!E553,"")</f>
        <v/>
      </c>
      <c r="G362" s="493" t="str">
        <f>IFERROR(VLOOKUP(C362,FACE!$B$84:$H$92,5,FALSE)+VLOOKUP(C362,FACE!$B$84:$H$92,6,FALSE)*'Fatores de Emissão'!F552+VLOOKUP(C362,FACE!$B$84:$H$92,7,FALSE)*'Fatores de Emissão'!F553,"")</f>
        <v/>
      </c>
      <c r="H362" s="802" t="str">
        <f t="shared" si="12"/>
        <v/>
      </c>
      <c r="I362" s="802" t="str">
        <f t="shared" si="13"/>
        <v/>
      </c>
      <c r="J362" s="1022" t="str">
        <f>IF(D362="","",SUMIF('Fatores de Emissão'!$B$31:$B$75, $C362, 'Fatores de Emissão'!$R$31:$R$75)*D362)</f>
        <v/>
      </c>
      <c r="L362" s="175"/>
    </row>
    <row r="363" spans="1:12" hidden="1" outlineLevel="2" x14ac:dyDescent="0.35">
      <c r="A363" s="192"/>
      <c r="B363" s="193"/>
      <c r="C363" s="454"/>
      <c r="D363" s="490"/>
      <c r="E363" s="492" t="str">
        <f>IF(C363="","",VLOOKUP(C363,FACE!$B$47:$D$92,3,FALSE))</f>
        <v/>
      </c>
      <c r="F363" s="956" t="str">
        <f>IFERROR(VLOOKUP(C363,FACE!$B$47:$H$82,5,FALSE)+VLOOKUP(C363,FACE!$B$47:$H$82,6,FALSE)*'Fatores de Emissão'!E553+VLOOKUP(C363,FACE!$B$47:$H$82,7,FALSE)*'Fatores de Emissão'!E554,"")</f>
        <v/>
      </c>
      <c r="G363" s="493" t="str">
        <f>IFERROR(VLOOKUP(C363,FACE!$B$84:$H$92,5,FALSE)+VLOOKUP(C363,FACE!$B$84:$H$92,6,FALSE)*'Fatores de Emissão'!F553+VLOOKUP(C363,FACE!$B$84:$H$92,7,FALSE)*'Fatores de Emissão'!F554,"")</f>
        <v/>
      </c>
      <c r="H363" s="802" t="str">
        <f t="shared" si="12"/>
        <v/>
      </c>
      <c r="I363" s="802" t="str">
        <f t="shared" si="13"/>
        <v/>
      </c>
      <c r="J363" s="1022" t="str">
        <f>IF(D363="","",SUMIF('Fatores de Emissão'!$B$31:$B$75, $C363, 'Fatores de Emissão'!$R$31:$R$75)*D363)</f>
        <v/>
      </c>
      <c r="L363" s="175"/>
    </row>
    <row r="364" spans="1:12" hidden="1" outlineLevel="2" x14ac:dyDescent="0.35">
      <c r="A364" s="192"/>
      <c r="B364" s="193"/>
      <c r="C364" s="454"/>
      <c r="D364" s="490"/>
      <c r="E364" s="492" t="str">
        <f>IF(C364="","",VLOOKUP(C364,FACE!$B$47:$D$92,3,FALSE))</f>
        <v/>
      </c>
      <c r="F364" s="956" t="str">
        <f>IFERROR(VLOOKUP(C364,FACE!$B$47:$H$82,5,FALSE)+VLOOKUP(C364,FACE!$B$47:$H$82,6,FALSE)*'Fatores de Emissão'!E554+VLOOKUP(C364,FACE!$B$47:$H$82,7,FALSE)*'Fatores de Emissão'!E555,"")</f>
        <v/>
      </c>
      <c r="G364" s="493" t="str">
        <f>IFERROR(VLOOKUP(C364,FACE!$B$84:$H$92,5,FALSE)+VLOOKUP(C364,FACE!$B$84:$H$92,6,FALSE)*'Fatores de Emissão'!F554+VLOOKUP(C364,FACE!$B$84:$H$92,7,FALSE)*'Fatores de Emissão'!F555,"")</f>
        <v/>
      </c>
      <c r="H364" s="802" t="str">
        <f t="shared" si="12"/>
        <v/>
      </c>
      <c r="I364" s="802" t="str">
        <f t="shared" si="13"/>
        <v/>
      </c>
      <c r="J364" s="1022" t="str">
        <f>IF(D364="","",SUMIF('Fatores de Emissão'!$B$31:$B$75, $C364, 'Fatores de Emissão'!$R$31:$R$75)*D364)</f>
        <v/>
      </c>
      <c r="L364" s="175"/>
    </row>
    <row r="365" spans="1:12" hidden="1" outlineLevel="2" x14ac:dyDescent="0.35">
      <c r="A365" s="192"/>
      <c r="B365" s="193"/>
      <c r="C365" s="454"/>
      <c r="D365" s="490"/>
      <c r="E365" s="492" t="str">
        <f>IF(C365="","",VLOOKUP(C365,FACE!$B$47:$D$92,3,FALSE))</f>
        <v/>
      </c>
      <c r="F365" s="956" t="str">
        <f>IFERROR(VLOOKUP(C365,FACE!$B$47:$H$82,5,FALSE)+VLOOKUP(C365,FACE!$B$47:$H$82,6,FALSE)*'Fatores de Emissão'!E555+VLOOKUP(C365,FACE!$B$47:$H$82,7,FALSE)*'Fatores de Emissão'!E556,"")</f>
        <v/>
      </c>
      <c r="G365" s="493" t="str">
        <f>IFERROR(VLOOKUP(C365,FACE!$B$84:$H$92,5,FALSE)+VLOOKUP(C365,FACE!$B$84:$H$92,6,FALSE)*'Fatores de Emissão'!F555+VLOOKUP(C365,FACE!$B$84:$H$92,7,FALSE)*'Fatores de Emissão'!F556,"")</f>
        <v/>
      </c>
      <c r="H365" s="802" t="str">
        <f t="shared" si="12"/>
        <v/>
      </c>
      <c r="I365" s="802" t="str">
        <f t="shared" si="13"/>
        <v/>
      </c>
      <c r="J365" s="1022" t="str">
        <f>IF(D365="","",SUMIF('Fatores de Emissão'!$B$31:$B$75, $C365, 'Fatores de Emissão'!$R$31:$R$75)*D365)</f>
        <v/>
      </c>
      <c r="L365" s="175"/>
    </row>
    <row r="366" spans="1:12" hidden="1" outlineLevel="2" x14ac:dyDescent="0.35">
      <c r="A366" s="192"/>
      <c r="B366" s="193"/>
      <c r="C366" s="454"/>
      <c r="D366" s="490"/>
      <c r="E366" s="492" t="str">
        <f>IF(C366="","",VLOOKUP(C366,FACE!$B$47:$D$92,3,FALSE))</f>
        <v/>
      </c>
      <c r="F366" s="956" t="str">
        <f>IFERROR(VLOOKUP(C366,FACE!$B$47:$H$82,5,FALSE)+VLOOKUP(C366,FACE!$B$47:$H$82,6,FALSE)*'Fatores de Emissão'!E556+VLOOKUP(C366,FACE!$B$47:$H$82,7,FALSE)*'Fatores de Emissão'!E557,"")</f>
        <v/>
      </c>
      <c r="G366" s="493" t="str">
        <f>IFERROR(VLOOKUP(C366,FACE!$B$84:$H$92,5,FALSE)+VLOOKUP(C366,FACE!$B$84:$H$92,6,FALSE)*'Fatores de Emissão'!F556+VLOOKUP(C366,FACE!$B$84:$H$92,7,FALSE)*'Fatores de Emissão'!F557,"")</f>
        <v/>
      </c>
      <c r="H366" s="802" t="str">
        <f t="shared" si="12"/>
        <v/>
      </c>
      <c r="I366" s="802" t="str">
        <f t="shared" si="13"/>
        <v/>
      </c>
      <c r="J366" s="1022" t="str">
        <f>IF(D366="","",SUMIF('Fatores de Emissão'!$B$31:$B$75, $C366, 'Fatores de Emissão'!$R$31:$R$75)*D366)</f>
        <v/>
      </c>
      <c r="L366" s="175"/>
    </row>
    <row r="367" spans="1:12" hidden="1" outlineLevel="2" x14ac:dyDescent="0.35">
      <c r="A367" s="192"/>
      <c r="B367" s="193"/>
      <c r="C367" s="454"/>
      <c r="D367" s="490"/>
      <c r="E367" s="492" t="str">
        <f>IF(C367="","",VLOOKUP(C367,FACE!$B$47:$D$92,3,FALSE))</f>
        <v/>
      </c>
      <c r="F367" s="956" t="str">
        <f>IFERROR(VLOOKUP(C367,FACE!$B$47:$H$82,5,FALSE)+VLOOKUP(C367,FACE!$B$47:$H$82,6,FALSE)*'Fatores de Emissão'!E557+VLOOKUP(C367,FACE!$B$47:$H$82,7,FALSE)*'Fatores de Emissão'!E558,"")</f>
        <v/>
      </c>
      <c r="G367" s="493" t="str">
        <f>IFERROR(VLOOKUP(C367,FACE!$B$84:$H$92,5,FALSE)+VLOOKUP(C367,FACE!$B$84:$H$92,6,FALSE)*'Fatores de Emissão'!F557+VLOOKUP(C367,FACE!$B$84:$H$92,7,FALSE)*'Fatores de Emissão'!F558,"")</f>
        <v/>
      </c>
      <c r="H367" s="802" t="str">
        <f t="shared" si="12"/>
        <v/>
      </c>
      <c r="I367" s="802" t="str">
        <f t="shared" si="13"/>
        <v/>
      </c>
      <c r="J367" s="1022" t="str">
        <f>IF(D367="","",SUMIF('Fatores de Emissão'!$B$31:$B$75, $C367, 'Fatores de Emissão'!$R$31:$R$75)*D367)</f>
        <v/>
      </c>
      <c r="L367" s="175"/>
    </row>
    <row r="368" spans="1:12" hidden="1" outlineLevel="2" x14ac:dyDescent="0.35">
      <c r="A368" s="192"/>
      <c r="B368" s="193"/>
      <c r="C368" s="454"/>
      <c r="D368" s="490"/>
      <c r="E368" s="492" t="str">
        <f>IF(C368="","",VLOOKUP(C368,FACE!$B$47:$D$92,3,FALSE))</f>
        <v/>
      </c>
      <c r="F368" s="956" t="str">
        <f>IFERROR(VLOOKUP(C368,FACE!$B$47:$H$82,5,FALSE)+VLOOKUP(C368,FACE!$B$47:$H$82,6,FALSE)*'Fatores de Emissão'!E558+VLOOKUP(C368,FACE!$B$47:$H$82,7,FALSE)*'Fatores de Emissão'!E559,"")</f>
        <v/>
      </c>
      <c r="G368" s="493" t="str">
        <f>IFERROR(VLOOKUP(C368,FACE!$B$84:$H$92,5,FALSE)+VLOOKUP(C368,FACE!$B$84:$H$92,6,FALSE)*'Fatores de Emissão'!F558+VLOOKUP(C368,FACE!$B$84:$H$92,7,FALSE)*'Fatores de Emissão'!F559,"")</f>
        <v/>
      </c>
      <c r="H368" s="802" t="str">
        <f t="shared" si="12"/>
        <v/>
      </c>
      <c r="I368" s="802" t="str">
        <f t="shared" si="13"/>
        <v/>
      </c>
      <c r="J368" s="1022" t="str">
        <f>IF(D368="","",SUMIF('Fatores de Emissão'!$B$31:$B$75, $C368, 'Fatores de Emissão'!$R$31:$R$75)*D368)</f>
        <v/>
      </c>
      <c r="L368" s="175"/>
    </row>
    <row r="369" spans="1:12" hidden="1" outlineLevel="2" x14ac:dyDescent="0.35">
      <c r="A369" s="192"/>
      <c r="B369" s="193"/>
      <c r="C369" s="454"/>
      <c r="D369" s="490"/>
      <c r="E369" s="492" t="str">
        <f>IF(C369="","",VLOOKUP(C369,FACE!$B$47:$D$92,3,FALSE))</f>
        <v/>
      </c>
      <c r="F369" s="956" t="str">
        <f>IFERROR(VLOOKUP(C369,FACE!$B$47:$H$82,5,FALSE)+VLOOKUP(C369,FACE!$B$47:$H$82,6,FALSE)*'Fatores de Emissão'!E559+VLOOKUP(C369,FACE!$B$47:$H$82,7,FALSE)*'Fatores de Emissão'!E560,"")</f>
        <v/>
      </c>
      <c r="G369" s="493" t="str">
        <f>IFERROR(VLOOKUP(C369,FACE!$B$84:$H$92,5,FALSE)+VLOOKUP(C369,FACE!$B$84:$H$92,6,FALSE)*'Fatores de Emissão'!F559+VLOOKUP(C369,FACE!$B$84:$H$92,7,FALSE)*'Fatores de Emissão'!F560,"")</f>
        <v/>
      </c>
      <c r="H369" s="802" t="str">
        <f t="shared" si="12"/>
        <v/>
      </c>
      <c r="I369" s="802" t="str">
        <f t="shared" si="13"/>
        <v/>
      </c>
      <c r="J369" s="1022" t="str">
        <f>IF(D369="","",SUMIF('Fatores de Emissão'!$B$31:$B$75, $C369, 'Fatores de Emissão'!$R$31:$R$75)*D369)</f>
        <v/>
      </c>
      <c r="L369" s="175"/>
    </row>
    <row r="370" spans="1:12" hidden="1" outlineLevel="2" x14ac:dyDescent="0.35">
      <c r="A370" s="192"/>
      <c r="B370" s="193"/>
      <c r="C370" s="454"/>
      <c r="D370" s="490"/>
      <c r="E370" s="492" t="str">
        <f>IF(C370="","",VLOOKUP(C370,FACE!$B$47:$D$92,3,FALSE))</f>
        <v/>
      </c>
      <c r="F370" s="956" t="str">
        <f>IFERROR(VLOOKUP(C370,FACE!$B$47:$H$82,5,FALSE)+VLOOKUP(C370,FACE!$B$47:$H$82,6,FALSE)*'Fatores de Emissão'!E560+VLOOKUP(C370,FACE!$B$47:$H$82,7,FALSE)*'Fatores de Emissão'!E561,"")</f>
        <v/>
      </c>
      <c r="G370" s="493" t="str">
        <f>IFERROR(VLOOKUP(C370,FACE!$B$84:$H$92,5,FALSE)+VLOOKUP(C370,FACE!$B$84:$H$92,6,FALSE)*'Fatores de Emissão'!F560+VLOOKUP(C370,FACE!$B$84:$H$92,7,FALSE)*'Fatores de Emissão'!F561,"")</f>
        <v/>
      </c>
      <c r="H370" s="802" t="str">
        <f t="shared" si="12"/>
        <v/>
      </c>
      <c r="I370" s="802" t="str">
        <f t="shared" si="13"/>
        <v/>
      </c>
      <c r="J370" s="1022" t="str">
        <f>IF(D370="","",SUMIF('Fatores de Emissão'!$B$31:$B$75, $C370, 'Fatores de Emissão'!$R$31:$R$75)*D370)</f>
        <v/>
      </c>
      <c r="L370" s="175"/>
    </row>
    <row r="371" spans="1:12" hidden="1" outlineLevel="2" x14ac:dyDescent="0.35">
      <c r="A371" s="192"/>
      <c r="B371" s="193"/>
      <c r="C371" s="454"/>
      <c r="D371" s="490"/>
      <c r="E371" s="492" t="str">
        <f>IF(C371="","",VLOOKUP(C371,FACE!$B$47:$D$92,3,FALSE))</f>
        <v/>
      </c>
      <c r="F371" s="956" t="str">
        <f>IFERROR(VLOOKUP(C371,FACE!$B$47:$H$82,5,FALSE)+VLOOKUP(C371,FACE!$B$47:$H$82,6,FALSE)*'Fatores de Emissão'!E561+VLOOKUP(C371,FACE!$B$47:$H$82,7,FALSE)*'Fatores de Emissão'!E562,"")</f>
        <v/>
      </c>
      <c r="G371" s="493" t="str">
        <f>IFERROR(VLOOKUP(C371,FACE!$B$84:$H$92,5,FALSE)+VLOOKUP(C371,FACE!$B$84:$H$92,6,FALSE)*'Fatores de Emissão'!F561+VLOOKUP(C371,FACE!$B$84:$H$92,7,FALSE)*'Fatores de Emissão'!F562,"")</f>
        <v/>
      </c>
      <c r="H371" s="802" t="str">
        <f t="shared" si="12"/>
        <v/>
      </c>
      <c r="I371" s="802" t="str">
        <f t="shared" si="13"/>
        <v/>
      </c>
      <c r="J371" s="1022" t="str">
        <f>IF(D371="","",SUMIF('Fatores de Emissão'!$B$31:$B$75, $C371, 'Fatores de Emissão'!$R$31:$R$75)*D371)</f>
        <v/>
      </c>
      <c r="L371" s="175"/>
    </row>
    <row r="372" spans="1:12" hidden="1" outlineLevel="2" x14ac:dyDescent="0.35">
      <c r="A372" s="192"/>
      <c r="B372" s="193"/>
      <c r="C372" s="454"/>
      <c r="D372" s="490"/>
      <c r="E372" s="492" t="str">
        <f>IF(C372="","",VLOOKUP(C372,FACE!$B$47:$D$92,3,FALSE))</f>
        <v/>
      </c>
      <c r="F372" s="956" t="str">
        <f>IFERROR(VLOOKUP(C372,FACE!$B$47:$H$82,5,FALSE)+VLOOKUP(C372,FACE!$B$47:$H$82,6,FALSE)*'Fatores de Emissão'!E562+VLOOKUP(C372,FACE!$B$47:$H$82,7,FALSE)*'Fatores de Emissão'!E563,"")</f>
        <v/>
      </c>
      <c r="G372" s="493" t="str">
        <f>IFERROR(VLOOKUP(C372,FACE!$B$84:$H$92,5,FALSE)+VLOOKUP(C372,FACE!$B$84:$H$92,6,FALSE)*'Fatores de Emissão'!F562+VLOOKUP(C372,FACE!$B$84:$H$92,7,FALSE)*'Fatores de Emissão'!F563,"")</f>
        <v/>
      </c>
      <c r="H372" s="802" t="str">
        <f t="shared" si="12"/>
        <v/>
      </c>
      <c r="I372" s="802" t="str">
        <f t="shared" si="13"/>
        <v/>
      </c>
      <c r="J372" s="1022" t="str">
        <f>IF(D372="","",SUMIF('Fatores de Emissão'!$B$31:$B$75, $C372, 'Fatores de Emissão'!$R$31:$R$75)*D372)</f>
        <v/>
      </c>
      <c r="L372" s="175"/>
    </row>
    <row r="373" spans="1:12" hidden="1" outlineLevel="2" x14ac:dyDescent="0.35">
      <c r="A373" s="192"/>
      <c r="B373" s="193"/>
      <c r="C373" s="454"/>
      <c r="D373" s="490"/>
      <c r="E373" s="492" t="str">
        <f>IF(C373="","",VLOOKUP(C373,FACE!$B$47:$D$92,3,FALSE))</f>
        <v/>
      </c>
      <c r="F373" s="956" t="str">
        <f>IFERROR(VLOOKUP(C373,FACE!$B$47:$H$82,5,FALSE)+VLOOKUP(C373,FACE!$B$47:$H$82,6,FALSE)*'Fatores de Emissão'!E563+VLOOKUP(C373,FACE!$B$47:$H$82,7,FALSE)*'Fatores de Emissão'!E564,"")</f>
        <v/>
      </c>
      <c r="G373" s="493" t="str">
        <f>IFERROR(VLOOKUP(C373,FACE!$B$84:$H$92,5,FALSE)+VLOOKUP(C373,FACE!$B$84:$H$92,6,FALSE)*'Fatores de Emissão'!F563+VLOOKUP(C373,FACE!$B$84:$H$92,7,FALSE)*'Fatores de Emissão'!F564,"")</f>
        <v/>
      </c>
      <c r="H373" s="802" t="str">
        <f t="shared" si="12"/>
        <v/>
      </c>
      <c r="I373" s="802" t="str">
        <f t="shared" si="13"/>
        <v/>
      </c>
      <c r="J373" s="1022" t="str">
        <f>IF(D373="","",SUMIF('Fatores de Emissão'!$B$31:$B$75, $C373, 'Fatores de Emissão'!$R$31:$R$75)*D373)</f>
        <v/>
      </c>
      <c r="L373" s="175"/>
    </row>
    <row r="374" spans="1:12" hidden="1" outlineLevel="2" x14ac:dyDescent="0.35">
      <c r="A374" s="192"/>
      <c r="B374" s="193"/>
      <c r="C374" s="454"/>
      <c r="D374" s="490"/>
      <c r="E374" s="492" t="str">
        <f>IF(C374="","",VLOOKUP(C374,FACE!$B$47:$D$92,3,FALSE))</f>
        <v/>
      </c>
      <c r="F374" s="956" t="str">
        <f>IFERROR(VLOOKUP(C374,FACE!$B$47:$H$82,5,FALSE)+VLOOKUP(C374,FACE!$B$47:$H$82,6,FALSE)*'Fatores de Emissão'!E564+VLOOKUP(C374,FACE!$B$47:$H$82,7,FALSE)*'Fatores de Emissão'!E565,"")</f>
        <v/>
      </c>
      <c r="G374" s="493" t="str">
        <f>IFERROR(VLOOKUP(C374,FACE!$B$84:$H$92,5,FALSE)+VLOOKUP(C374,FACE!$B$84:$H$92,6,FALSE)*'Fatores de Emissão'!F564+VLOOKUP(C374,FACE!$B$84:$H$92,7,FALSE)*'Fatores de Emissão'!F565,"")</f>
        <v/>
      </c>
      <c r="H374" s="802" t="str">
        <f t="shared" si="12"/>
        <v/>
      </c>
      <c r="I374" s="802" t="str">
        <f t="shared" si="13"/>
        <v/>
      </c>
      <c r="J374" s="1022" t="str">
        <f>IF(D374="","",SUMIF('Fatores de Emissão'!$B$31:$B$75, $C374, 'Fatores de Emissão'!$R$31:$R$75)*D374)</f>
        <v/>
      </c>
      <c r="L374" s="175"/>
    </row>
    <row r="375" spans="1:12" hidden="1" outlineLevel="2" x14ac:dyDescent="0.35">
      <c r="A375" s="192"/>
      <c r="B375" s="193"/>
      <c r="C375" s="454"/>
      <c r="D375" s="490"/>
      <c r="E375" s="492" t="str">
        <f>IF(C375="","",VLOOKUP(C375,FACE!$B$47:$D$92,3,FALSE))</f>
        <v/>
      </c>
      <c r="F375" s="956" t="str">
        <f>IFERROR(VLOOKUP(C375,FACE!$B$47:$H$82,5,FALSE)+VLOOKUP(C375,FACE!$B$47:$H$82,6,FALSE)*'Fatores de Emissão'!E565+VLOOKUP(C375,FACE!$B$47:$H$82,7,FALSE)*'Fatores de Emissão'!E566,"")</f>
        <v/>
      </c>
      <c r="G375" s="493" t="str">
        <f>IFERROR(VLOOKUP(C375,FACE!$B$84:$H$92,5,FALSE)+VLOOKUP(C375,FACE!$B$84:$H$92,6,FALSE)*'Fatores de Emissão'!F565+VLOOKUP(C375,FACE!$B$84:$H$92,7,FALSE)*'Fatores de Emissão'!F566,"")</f>
        <v/>
      </c>
      <c r="H375" s="802" t="str">
        <f t="shared" si="12"/>
        <v/>
      </c>
      <c r="I375" s="802" t="str">
        <f t="shared" si="13"/>
        <v/>
      </c>
      <c r="J375" s="1022" t="str">
        <f>IF(D375="","",SUMIF('Fatores de Emissão'!$B$31:$B$75, $C375, 'Fatores de Emissão'!$R$31:$R$75)*D375)</f>
        <v/>
      </c>
      <c r="L375" s="175"/>
    </row>
    <row r="376" spans="1:12" hidden="1" outlineLevel="2" x14ac:dyDescent="0.35">
      <c r="A376" s="192"/>
      <c r="B376" s="193"/>
      <c r="C376" s="454"/>
      <c r="D376" s="490"/>
      <c r="E376" s="492" t="str">
        <f>IF(C376="","",VLOOKUP(C376,FACE!$B$47:$D$92,3,FALSE))</f>
        <v/>
      </c>
      <c r="F376" s="956" t="str">
        <f>IFERROR(VLOOKUP(C376,FACE!$B$47:$H$82,5,FALSE)+VLOOKUP(C376,FACE!$B$47:$H$82,6,FALSE)*'Fatores de Emissão'!E566+VLOOKUP(C376,FACE!$B$47:$H$82,7,FALSE)*'Fatores de Emissão'!E567,"")</f>
        <v/>
      </c>
      <c r="G376" s="493" t="str">
        <f>IFERROR(VLOOKUP(C376,FACE!$B$84:$H$92,5,FALSE)+VLOOKUP(C376,FACE!$B$84:$H$92,6,FALSE)*'Fatores de Emissão'!F566+VLOOKUP(C376,FACE!$B$84:$H$92,7,FALSE)*'Fatores de Emissão'!F567,"")</f>
        <v/>
      </c>
      <c r="H376" s="802" t="str">
        <f t="shared" si="12"/>
        <v/>
      </c>
      <c r="I376" s="802" t="str">
        <f t="shared" si="13"/>
        <v/>
      </c>
      <c r="J376" s="1022" t="str">
        <f>IF(D376="","",SUMIF('Fatores de Emissão'!$B$31:$B$75, $C376, 'Fatores de Emissão'!$R$31:$R$75)*D376)</f>
        <v/>
      </c>
      <c r="L376" s="175"/>
    </row>
    <row r="377" spans="1:12" hidden="1" outlineLevel="2" x14ac:dyDescent="0.35">
      <c r="A377" s="192"/>
      <c r="B377" s="193"/>
      <c r="C377" s="454"/>
      <c r="D377" s="490"/>
      <c r="E377" s="492" t="str">
        <f>IF(C377="","",VLOOKUP(C377,FACE!$B$47:$D$92,3,FALSE))</f>
        <v/>
      </c>
      <c r="F377" s="956" t="str">
        <f>IFERROR(VLOOKUP(C377,FACE!$B$47:$H$82,5,FALSE)+VLOOKUP(C377,FACE!$B$47:$H$82,6,FALSE)*'Fatores de Emissão'!E567+VLOOKUP(C377,FACE!$B$47:$H$82,7,FALSE)*'Fatores de Emissão'!E568,"")</f>
        <v/>
      </c>
      <c r="G377" s="493" t="str">
        <f>IFERROR(VLOOKUP(C377,FACE!$B$84:$H$92,5,FALSE)+VLOOKUP(C377,FACE!$B$84:$H$92,6,FALSE)*'Fatores de Emissão'!F567+VLOOKUP(C377,FACE!$B$84:$H$92,7,FALSE)*'Fatores de Emissão'!F568,"")</f>
        <v/>
      </c>
      <c r="H377" s="802" t="str">
        <f t="shared" si="12"/>
        <v/>
      </c>
      <c r="I377" s="802" t="str">
        <f t="shared" si="13"/>
        <v/>
      </c>
      <c r="J377" s="1022" t="str">
        <f>IF(D377="","",SUMIF('Fatores de Emissão'!$B$31:$B$75, $C377, 'Fatores de Emissão'!$R$31:$R$75)*D377)</f>
        <v/>
      </c>
      <c r="L377" s="175"/>
    </row>
    <row r="378" spans="1:12" hidden="1" outlineLevel="2" x14ac:dyDescent="0.35">
      <c r="A378" s="192"/>
      <c r="B378" s="193"/>
      <c r="C378" s="454"/>
      <c r="D378" s="490"/>
      <c r="E378" s="492" t="str">
        <f>IF(C378="","",VLOOKUP(C378,FACE!$B$47:$D$92,3,FALSE))</f>
        <v/>
      </c>
      <c r="F378" s="956" t="str">
        <f>IFERROR(VLOOKUP(C378,FACE!$B$47:$H$82,5,FALSE)+VLOOKUP(C378,FACE!$B$47:$H$82,6,FALSE)*'Fatores de Emissão'!E568+VLOOKUP(C378,FACE!$B$47:$H$82,7,FALSE)*'Fatores de Emissão'!E569,"")</f>
        <v/>
      </c>
      <c r="G378" s="493" t="str">
        <f>IFERROR(VLOOKUP(C378,FACE!$B$84:$H$92,5,FALSE)+VLOOKUP(C378,FACE!$B$84:$H$92,6,FALSE)*'Fatores de Emissão'!F568+VLOOKUP(C378,FACE!$B$84:$H$92,7,FALSE)*'Fatores de Emissão'!F569,"")</f>
        <v/>
      </c>
      <c r="H378" s="802" t="str">
        <f t="shared" si="12"/>
        <v/>
      </c>
      <c r="I378" s="802" t="str">
        <f t="shared" si="13"/>
        <v/>
      </c>
      <c r="J378" s="1022" t="str">
        <f>IF(D378="","",SUMIF('Fatores de Emissão'!$B$31:$B$75, $C378, 'Fatores de Emissão'!$R$31:$R$75)*D378)</f>
        <v/>
      </c>
      <c r="L378" s="175"/>
    </row>
    <row r="379" spans="1:12" hidden="1" outlineLevel="2" x14ac:dyDescent="0.35">
      <c r="A379" s="192"/>
      <c r="B379" s="193"/>
      <c r="C379" s="454"/>
      <c r="D379" s="490"/>
      <c r="E379" s="492" t="str">
        <f>IF(C379="","",VLOOKUP(C379,FACE!$B$47:$D$92,3,FALSE))</f>
        <v/>
      </c>
      <c r="F379" s="956" t="str">
        <f>IFERROR(VLOOKUP(C379,FACE!$B$47:$H$82,5,FALSE)+VLOOKUP(C379,FACE!$B$47:$H$82,6,FALSE)*'Fatores de Emissão'!E569+VLOOKUP(C379,FACE!$B$47:$H$82,7,FALSE)*'Fatores de Emissão'!E570,"")</f>
        <v/>
      </c>
      <c r="G379" s="493" t="str">
        <f>IFERROR(VLOOKUP(C379,FACE!$B$84:$H$92,5,FALSE)+VLOOKUP(C379,FACE!$B$84:$H$92,6,FALSE)*'Fatores de Emissão'!F569+VLOOKUP(C379,FACE!$B$84:$H$92,7,FALSE)*'Fatores de Emissão'!F570,"")</f>
        <v/>
      </c>
      <c r="H379" s="802" t="str">
        <f t="shared" si="12"/>
        <v/>
      </c>
      <c r="I379" s="802" t="str">
        <f t="shared" si="13"/>
        <v/>
      </c>
      <c r="J379" s="1022" t="str">
        <f>IF(D379="","",SUMIF('Fatores de Emissão'!$B$31:$B$75, $C379, 'Fatores de Emissão'!$R$31:$R$75)*D379)</f>
        <v/>
      </c>
      <c r="L379" s="175"/>
    </row>
    <row r="380" spans="1:12" hidden="1" outlineLevel="2" x14ac:dyDescent="0.35">
      <c r="A380" s="192"/>
      <c r="B380" s="193"/>
      <c r="C380" s="454"/>
      <c r="D380" s="490"/>
      <c r="E380" s="492" t="str">
        <f>IF(C380="","",VLOOKUP(C380,FACE!$B$47:$D$92,3,FALSE))</f>
        <v/>
      </c>
      <c r="F380" s="956" t="str">
        <f>IFERROR(VLOOKUP(C380,FACE!$B$47:$H$82,5,FALSE)+VLOOKUP(C380,FACE!$B$47:$H$82,6,FALSE)*'Fatores de Emissão'!E570+VLOOKUP(C380,FACE!$B$47:$H$82,7,FALSE)*'Fatores de Emissão'!E571,"")</f>
        <v/>
      </c>
      <c r="G380" s="493" t="str">
        <f>IFERROR(VLOOKUP(C380,FACE!$B$84:$H$92,5,FALSE)+VLOOKUP(C380,FACE!$B$84:$H$92,6,FALSE)*'Fatores de Emissão'!F570+VLOOKUP(C380,FACE!$B$84:$H$92,7,FALSE)*'Fatores de Emissão'!F571,"")</f>
        <v/>
      </c>
      <c r="H380" s="802" t="str">
        <f t="shared" si="12"/>
        <v/>
      </c>
      <c r="I380" s="802" t="str">
        <f t="shared" si="13"/>
        <v/>
      </c>
      <c r="J380" s="1022" t="str">
        <f>IF(D380="","",SUMIF('Fatores de Emissão'!$B$31:$B$75, $C380, 'Fatores de Emissão'!$R$31:$R$75)*D380)</f>
        <v/>
      </c>
      <c r="L380" s="175"/>
    </row>
    <row r="381" spans="1:12" hidden="1" outlineLevel="2" x14ac:dyDescent="0.35">
      <c r="A381" s="192"/>
      <c r="B381" s="193"/>
      <c r="C381" s="454"/>
      <c r="D381" s="490"/>
      <c r="E381" s="492" t="str">
        <f>IF(C381="","",VLOOKUP(C381,FACE!$B$47:$D$92,3,FALSE))</f>
        <v/>
      </c>
      <c r="F381" s="956" t="str">
        <f>IFERROR(VLOOKUP(C381,FACE!$B$47:$H$82,5,FALSE)+VLOOKUP(C381,FACE!$B$47:$H$82,6,FALSE)*'Fatores de Emissão'!E571+VLOOKUP(C381,FACE!$B$47:$H$82,7,FALSE)*'Fatores de Emissão'!E572,"")</f>
        <v/>
      </c>
      <c r="G381" s="493" t="str">
        <f>IFERROR(VLOOKUP(C381,FACE!$B$84:$H$92,5,FALSE)+VLOOKUP(C381,FACE!$B$84:$H$92,6,FALSE)*'Fatores de Emissão'!F571+VLOOKUP(C381,FACE!$B$84:$H$92,7,FALSE)*'Fatores de Emissão'!F572,"")</f>
        <v/>
      </c>
      <c r="H381" s="802" t="str">
        <f t="shared" si="12"/>
        <v/>
      </c>
      <c r="I381" s="802" t="str">
        <f t="shared" si="13"/>
        <v/>
      </c>
      <c r="J381" s="1022" t="str">
        <f>IF(D381="","",SUMIF('Fatores de Emissão'!$B$31:$B$75, $C381, 'Fatores de Emissão'!$R$31:$R$75)*D381)</f>
        <v/>
      </c>
      <c r="L381" s="175"/>
    </row>
    <row r="382" spans="1:12" hidden="1" outlineLevel="2" x14ac:dyDescent="0.35">
      <c r="A382" s="192"/>
      <c r="B382" s="193"/>
      <c r="C382" s="454"/>
      <c r="D382" s="490"/>
      <c r="E382" s="492" t="str">
        <f>IF(C382="","",VLOOKUP(C382,FACE!$B$47:$D$92,3,FALSE))</f>
        <v/>
      </c>
      <c r="F382" s="956" t="str">
        <f>IFERROR(VLOOKUP(C382,FACE!$B$47:$H$82,5,FALSE)+VLOOKUP(C382,FACE!$B$47:$H$82,6,FALSE)*'Fatores de Emissão'!E572+VLOOKUP(C382,FACE!$B$47:$H$82,7,FALSE)*'Fatores de Emissão'!E573,"")</f>
        <v/>
      </c>
      <c r="G382" s="493" t="str">
        <f>IFERROR(VLOOKUP(C382,FACE!$B$84:$H$92,5,FALSE)+VLOOKUP(C382,FACE!$B$84:$H$92,6,FALSE)*'Fatores de Emissão'!F572+VLOOKUP(C382,FACE!$B$84:$H$92,7,FALSE)*'Fatores de Emissão'!F573,"")</f>
        <v/>
      </c>
      <c r="H382" s="802" t="str">
        <f t="shared" si="12"/>
        <v/>
      </c>
      <c r="I382" s="802" t="str">
        <f t="shared" si="13"/>
        <v/>
      </c>
      <c r="J382" s="1022" t="str">
        <f>IF(D382="","",SUMIF('Fatores de Emissão'!$B$31:$B$75, $C382, 'Fatores de Emissão'!$R$31:$R$75)*D382)</f>
        <v/>
      </c>
      <c r="L382" s="175"/>
    </row>
    <row r="383" spans="1:12" hidden="1" outlineLevel="2" x14ac:dyDescent="0.35">
      <c r="A383" s="192"/>
      <c r="B383" s="193"/>
      <c r="C383" s="454"/>
      <c r="D383" s="490"/>
      <c r="E383" s="492" t="str">
        <f>IF(C383="","",VLOOKUP(C383,FACE!$B$47:$D$92,3,FALSE))</f>
        <v/>
      </c>
      <c r="F383" s="956" t="str">
        <f>IFERROR(VLOOKUP(C383,FACE!$B$47:$H$82,5,FALSE)+VLOOKUP(C383,FACE!$B$47:$H$82,6,FALSE)*'Fatores de Emissão'!E573+VLOOKUP(C383,FACE!$B$47:$H$82,7,FALSE)*'Fatores de Emissão'!E574,"")</f>
        <v/>
      </c>
      <c r="G383" s="493" t="str">
        <f>IFERROR(VLOOKUP(C383,FACE!$B$84:$H$92,5,FALSE)+VLOOKUP(C383,FACE!$B$84:$H$92,6,FALSE)*'Fatores de Emissão'!F573+VLOOKUP(C383,FACE!$B$84:$H$92,7,FALSE)*'Fatores de Emissão'!F574,"")</f>
        <v/>
      </c>
      <c r="H383" s="802" t="str">
        <f t="shared" si="12"/>
        <v/>
      </c>
      <c r="I383" s="802" t="str">
        <f t="shared" si="13"/>
        <v/>
      </c>
      <c r="J383" s="1022" t="str">
        <f>IF(D383="","",SUMIF('Fatores de Emissão'!$B$31:$B$75, $C383, 'Fatores de Emissão'!$R$31:$R$75)*D383)</f>
        <v/>
      </c>
      <c r="L383" s="175"/>
    </row>
    <row r="384" spans="1:12" hidden="1" outlineLevel="2" x14ac:dyDescent="0.35">
      <c r="A384" s="192"/>
      <c r="B384" s="193"/>
      <c r="C384" s="454"/>
      <c r="D384" s="490"/>
      <c r="E384" s="492" t="str">
        <f>IF(C384="","",VLOOKUP(C384,FACE!$B$47:$D$92,3,FALSE))</f>
        <v/>
      </c>
      <c r="F384" s="956" t="str">
        <f>IFERROR(VLOOKUP(C384,FACE!$B$47:$H$82,5,FALSE)+VLOOKUP(C384,FACE!$B$47:$H$82,6,FALSE)*'Fatores de Emissão'!E574+VLOOKUP(C384,FACE!$B$47:$H$82,7,FALSE)*'Fatores de Emissão'!E575,"")</f>
        <v/>
      </c>
      <c r="G384" s="493" t="str">
        <f>IFERROR(VLOOKUP(C384,FACE!$B$84:$H$92,5,FALSE)+VLOOKUP(C384,FACE!$B$84:$H$92,6,FALSE)*'Fatores de Emissão'!F574+VLOOKUP(C384,FACE!$B$84:$H$92,7,FALSE)*'Fatores de Emissão'!F575,"")</f>
        <v/>
      </c>
      <c r="H384" s="802" t="str">
        <f t="shared" si="12"/>
        <v/>
      </c>
      <c r="I384" s="802" t="str">
        <f t="shared" si="13"/>
        <v/>
      </c>
      <c r="J384" s="1022" t="str">
        <f>IF(D384="","",SUMIF('Fatores de Emissão'!$B$31:$B$75, $C384, 'Fatores de Emissão'!$R$31:$R$75)*D384)</f>
        <v/>
      </c>
      <c r="L384" s="175"/>
    </row>
    <row r="385" spans="1:12" hidden="1" outlineLevel="2" x14ac:dyDescent="0.35">
      <c r="A385" s="192"/>
      <c r="B385" s="193"/>
      <c r="C385" s="454"/>
      <c r="D385" s="490"/>
      <c r="E385" s="492" t="str">
        <f>IF(C385="","",VLOOKUP(C385,FACE!$B$47:$D$92,3,FALSE))</f>
        <v/>
      </c>
      <c r="F385" s="956" t="str">
        <f>IFERROR(VLOOKUP(C385,FACE!$B$47:$H$82,5,FALSE)+VLOOKUP(C385,FACE!$B$47:$H$82,6,FALSE)*'Fatores de Emissão'!E575+VLOOKUP(C385,FACE!$B$47:$H$82,7,FALSE)*'Fatores de Emissão'!E576,"")</f>
        <v/>
      </c>
      <c r="G385" s="493" t="str">
        <f>IFERROR(VLOOKUP(C385,FACE!$B$84:$H$92,5,FALSE)+VLOOKUP(C385,FACE!$B$84:$H$92,6,FALSE)*'Fatores de Emissão'!F575+VLOOKUP(C385,FACE!$B$84:$H$92,7,FALSE)*'Fatores de Emissão'!F576,"")</f>
        <v/>
      </c>
      <c r="H385" s="802" t="str">
        <f t="shared" si="12"/>
        <v/>
      </c>
      <c r="I385" s="802" t="str">
        <f t="shared" si="13"/>
        <v/>
      </c>
      <c r="J385" s="1022" t="str">
        <f>IF(D385="","",SUMIF('Fatores de Emissão'!$B$31:$B$75, $C385, 'Fatores de Emissão'!$R$31:$R$75)*D385)</f>
        <v/>
      </c>
      <c r="L385" s="175"/>
    </row>
    <row r="386" spans="1:12" hidden="1" outlineLevel="2" x14ac:dyDescent="0.35">
      <c r="A386" s="192"/>
      <c r="B386" s="193"/>
      <c r="C386" s="454"/>
      <c r="D386" s="490"/>
      <c r="E386" s="492" t="str">
        <f>IF(C386="","",VLOOKUP(C386,FACE!$B$47:$D$92,3,FALSE))</f>
        <v/>
      </c>
      <c r="F386" s="956" t="str">
        <f>IFERROR(VLOOKUP(C386,FACE!$B$47:$H$82,5,FALSE)+VLOOKUP(C386,FACE!$B$47:$H$82,6,FALSE)*'Fatores de Emissão'!E576+VLOOKUP(C386,FACE!$B$47:$H$82,7,FALSE)*'Fatores de Emissão'!E577,"")</f>
        <v/>
      </c>
      <c r="G386" s="493" t="str">
        <f>IFERROR(VLOOKUP(C386,FACE!$B$84:$H$92,5,FALSE)+VLOOKUP(C386,FACE!$B$84:$H$92,6,FALSE)*'Fatores de Emissão'!F576+VLOOKUP(C386,FACE!$B$84:$H$92,7,FALSE)*'Fatores de Emissão'!F577,"")</f>
        <v/>
      </c>
      <c r="H386" s="802" t="str">
        <f t="shared" si="12"/>
        <v/>
      </c>
      <c r="I386" s="802" t="str">
        <f t="shared" si="13"/>
        <v/>
      </c>
      <c r="J386" s="1022" t="str">
        <f>IF(D386="","",SUMIF('Fatores de Emissão'!$B$31:$B$75, $C386, 'Fatores de Emissão'!$R$31:$R$75)*D386)</f>
        <v/>
      </c>
      <c r="L386" s="175"/>
    </row>
    <row r="387" spans="1:12" outlineLevel="1" collapsed="1" x14ac:dyDescent="0.35">
      <c r="A387" s="189"/>
      <c r="B387" s="189"/>
      <c r="C387" s="189"/>
      <c r="D387" s="189"/>
      <c r="E387" s="189"/>
      <c r="G387" s="196"/>
      <c r="H387" s="196"/>
      <c r="I387" s="196"/>
      <c r="J387" s="196"/>
      <c r="K387" s="196"/>
      <c r="L387" s="175"/>
    </row>
    <row r="388" spans="1:12" outlineLevel="1" x14ac:dyDescent="0.35">
      <c r="B388" s="174"/>
      <c r="K388" s="175"/>
    </row>
    <row r="389" spans="1:12" outlineLevel="1" x14ac:dyDescent="0.35"/>
    <row r="390" spans="1:12" ht="19.899999999999999" customHeight="1" outlineLevel="1" x14ac:dyDescent="0.35">
      <c r="B390" s="1086" t="s">
        <v>1081</v>
      </c>
      <c r="C390" s="1087"/>
      <c r="D390" s="1088"/>
      <c r="E390" s="959">
        <f>SUM(H287:H386)/1000</f>
        <v>0</v>
      </c>
      <c r="K390" s="197"/>
    </row>
    <row r="391" spans="1:12" ht="19.899999999999999" customHeight="1" outlineLevel="1" x14ac:dyDescent="0.35">
      <c r="B391" s="1086" t="s">
        <v>1082</v>
      </c>
      <c r="C391" s="1087"/>
      <c r="D391" s="1088"/>
      <c r="E391" s="959">
        <f>SUM(I287:I386)/1000</f>
        <v>0</v>
      </c>
      <c r="K391" s="197"/>
    </row>
    <row r="392" spans="1:12" ht="19.899999999999999" customHeight="1" outlineLevel="1" x14ac:dyDescent="0.35">
      <c r="B392" s="1086" t="s">
        <v>1083</v>
      </c>
      <c r="C392" s="1087"/>
      <c r="D392" s="1088"/>
      <c r="E392" s="959">
        <f>SUM(J287:J386)/1000</f>
        <v>0</v>
      </c>
      <c r="K392" s="197"/>
    </row>
    <row r="393" spans="1:12" outlineLevel="1" x14ac:dyDescent="0.35"/>
    <row r="394" spans="1:12" x14ac:dyDescent="0.35"/>
    <row r="395" spans="1:12" s="487" customFormat="1" ht="30" customHeight="1" x14ac:dyDescent="0.35">
      <c r="B395" s="486" t="s">
        <v>671</v>
      </c>
    </row>
    <row r="396" spans="1:12" x14ac:dyDescent="0.35"/>
    <row r="397" spans="1:12" x14ac:dyDescent="0.35"/>
    <row r="398" spans="1:12" ht="19.899999999999999" customHeight="1" x14ac:dyDescent="0.35">
      <c r="D398" s="1099" t="s">
        <v>1086</v>
      </c>
      <c r="E398" s="1099"/>
      <c r="F398" s="1099"/>
      <c r="G398" s="205"/>
      <c r="H398" s="205"/>
      <c r="I398" s="205"/>
      <c r="J398" s="205"/>
    </row>
    <row r="399" spans="1:12" ht="19.899999999999999" customHeight="1" x14ac:dyDescent="0.35">
      <c r="D399" s="206" t="str">
        <f>'Dados gerais'!D33</f>
        <v>Construção ou fase preparatória</v>
      </c>
      <c r="E399" s="207" t="s">
        <v>36</v>
      </c>
      <c r="F399" s="208" t="s">
        <v>255</v>
      </c>
    </row>
    <row r="400" spans="1:12" ht="19.899999999999999" customHeight="1" x14ac:dyDescent="0.35">
      <c r="B400" s="360" t="s">
        <v>1451</v>
      </c>
      <c r="C400" s="494"/>
      <c r="D400" s="802">
        <f>E158</f>
        <v>0</v>
      </c>
      <c r="E400" s="802">
        <f>E275</f>
        <v>0</v>
      </c>
      <c r="F400" s="802">
        <f>E390</f>
        <v>0</v>
      </c>
    </row>
    <row r="401" spans="2:10" ht="19.899999999999999" customHeight="1" x14ac:dyDescent="0.35">
      <c r="B401" s="360" t="s">
        <v>1452</v>
      </c>
      <c r="C401" s="494"/>
      <c r="D401" s="802">
        <f>E159</f>
        <v>0</v>
      </c>
      <c r="E401" s="802">
        <f>E276</f>
        <v>0</v>
      </c>
      <c r="F401" s="802">
        <f>E391</f>
        <v>0</v>
      </c>
    </row>
    <row r="402" spans="2:10" ht="19.899999999999999" customHeight="1" x14ac:dyDescent="0.35">
      <c r="B402" s="360" t="s">
        <v>1453</v>
      </c>
      <c r="C402" s="209"/>
      <c r="D402" s="802">
        <f>E160</f>
        <v>0</v>
      </c>
      <c r="E402" s="802">
        <f>E277</f>
        <v>0</v>
      </c>
      <c r="F402" s="802">
        <f>E392</f>
        <v>0</v>
      </c>
    </row>
    <row r="403" spans="2:10" ht="19.899999999999999" customHeight="1" x14ac:dyDescent="0.35">
      <c r="B403" s="210"/>
      <c r="C403" s="210"/>
      <c r="D403" s="211"/>
      <c r="E403" s="211"/>
      <c r="F403" s="211"/>
    </row>
    <row r="404" spans="2:10" ht="19.899999999999999" customHeight="1" x14ac:dyDescent="0.35">
      <c r="D404" s="1051" t="s">
        <v>1531</v>
      </c>
      <c r="E404" s="1051"/>
      <c r="F404" s="1052"/>
      <c r="G404" s="495" t="s">
        <v>40</v>
      </c>
      <c r="H404" s="606"/>
      <c r="I404" s="606"/>
      <c r="J404" s="606"/>
    </row>
    <row r="405" spans="2:10" ht="19.899999999999999" customHeight="1" x14ac:dyDescent="0.35">
      <c r="B405" s="198" t="str">
        <f>B400</f>
        <v>Emissões de GEE da combustão estacionária (diretas)</v>
      </c>
      <c r="C405" s="200"/>
      <c r="D405" s="802">
        <f>IF('Dados gerais'!$F$33="", 'Fatores de Emissão'!$E$12*D400, 'Dados gerais'!$F$33*D400)</f>
        <v>0</v>
      </c>
      <c r="E405" s="802">
        <f>IF('Dados gerais'!$F$34="", 'Fatores de Emissão'!$E$13*E400, 'Dados gerais'!$F$34*E400)</f>
        <v>0</v>
      </c>
      <c r="F405" s="802">
        <f>IF('Dados gerais'!$F$35="", 'Fatores de Emissão'!$E$14*F400, 'Dados gerais'!$F$35*F400)</f>
        <v>0</v>
      </c>
      <c r="G405" s="803">
        <f>SUM(D405:F405)</f>
        <v>0</v>
      </c>
      <c r="H405" s="607"/>
      <c r="I405" s="607"/>
      <c r="J405" s="607"/>
    </row>
    <row r="406" spans="2:10" ht="19.899999999999999" customHeight="1" x14ac:dyDescent="0.35">
      <c r="B406" s="198" t="str">
        <f>B401</f>
        <v>Emissões de CO2 biogénicas da combustão estacionária (diretas)</v>
      </c>
      <c r="C406" s="494"/>
      <c r="D406" s="802">
        <f>IF('Dados gerais'!$F$33="", 'Fatores de Emissão'!$E$12*D401, 'Dados gerais'!$F$33*D401)</f>
        <v>0</v>
      </c>
      <c r="E406" s="802">
        <f>IF('Dados gerais'!$F$34="", 'Fatores de Emissão'!$E$13*E401, 'Dados gerais'!$F$34*E401)</f>
        <v>0</v>
      </c>
      <c r="F406" s="802">
        <f>IF('Dados gerais'!$F$35="", 'Fatores de Emissão'!$E$14*F401, 'Dados gerais'!$F$35*F401)</f>
        <v>0</v>
      </c>
      <c r="G406" s="803">
        <f>SUM(D406:F406)</f>
        <v>0</v>
      </c>
      <c r="H406" s="607"/>
      <c r="I406" s="607"/>
      <c r="J406" s="607"/>
    </row>
    <row r="407" spans="2:10" ht="19.899999999999999" customHeight="1" x14ac:dyDescent="0.35">
      <c r="B407" s="198" t="str">
        <f>B402</f>
        <v>Emissões de GEE da produção dos combustíveis (indiretas) (a)</v>
      </c>
      <c r="C407" s="200"/>
      <c r="D407" s="802">
        <f>IF('Dados gerais'!$F$33="", 'Fatores de Emissão'!$E$12*D402, 'Dados gerais'!$F$33*D402)</f>
        <v>0</v>
      </c>
      <c r="E407" s="802">
        <f>IF('Dados gerais'!$F$34="", 'Fatores de Emissão'!$E$13*E402, 'Dados gerais'!$F$34*E402)</f>
        <v>0</v>
      </c>
      <c r="F407" s="802">
        <f>IF('Dados gerais'!$F$35="", 'Fatores de Emissão'!$E$14*F402, 'Dados gerais'!$F$35*F402)</f>
        <v>0</v>
      </c>
      <c r="G407" s="803">
        <f t="shared" ref="G407" si="14">SUM(D407:F407)</f>
        <v>0</v>
      </c>
      <c r="H407" s="607"/>
      <c r="I407" s="607"/>
      <c r="J407" s="607"/>
    </row>
    <row r="408" spans="2:10" x14ac:dyDescent="0.35"/>
    <row r="409" spans="2:10" x14ac:dyDescent="0.35">
      <c r="B409" s="169" t="s">
        <v>1530</v>
      </c>
    </row>
    <row r="410" spans="2:10" x14ac:dyDescent="0.35"/>
    <row r="411" spans="2:10" x14ac:dyDescent="0.35"/>
    <row r="412" spans="2:10" x14ac:dyDescent="0.35"/>
    <row r="413" spans="2:10" x14ac:dyDescent="0.35"/>
    <row r="414" spans="2:10" x14ac:dyDescent="0.35"/>
    <row r="415" spans="2:10" x14ac:dyDescent="0.35"/>
    <row r="416" spans="2:10" x14ac:dyDescent="0.35"/>
    <row r="417" x14ac:dyDescent="0.35"/>
    <row r="418" x14ac:dyDescent="0.35"/>
    <row r="419" x14ac:dyDescent="0.35"/>
    <row r="420" x14ac:dyDescent="0.35"/>
    <row r="421" x14ac:dyDescent="0.35"/>
    <row r="422" x14ac:dyDescent="0.35"/>
    <row r="423" x14ac:dyDescent="0.35"/>
    <row r="424" x14ac:dyDescent="0.35"/>
    <row r="425" x14ac:dyDescent="0.35"/>
    <row r="426" x14ac:dyDescent="0.35"/>
    <row r="427" x14ac:dyDescent="0.35"/>
    <row r="428" x14ac:dyDescent="0.35"/>
    <row r="429" x14ac:dyDescent="0.35"/>
    <row r="430" x14ac:dyDescent="0.35"/>
    <row r="431" x14ac:dyDescent="0.35"/>
    <row r="432" x14ac:dyDescent="0.35"/>
    <row r="433" x14ac:dyDescent="0.35"/>
    <row r="434" x14ac:dyDescent="0.35"/>
    <row r="435" x14ac:dyDescent="0.35"/>
    <row r="436" x14ac:dyDescent="0.35"/>
    <row r="437" x14ac:dyDescent="0.35"/>
    <row r="438" x14ac:dyDescent="0.35"/>
    <row r="439" x14ac:dyDescent="0.35"/>
    <row r="440" x14ac:dyDescent="0.35"/>
    <row r="441" x14ac:dyDescent="0.35"/>
    <row r="442" x14ac:dyDescent="0.35"/>
    <row r="443" x14ac:dyDescent="0.35"/>
    <row r="444" x14ac:dyDescent="0.35"/>
    <row r="445" x14ac:dyDescent="0.35"/>
    <row r="446" x14ac:dyDescent="0.35"/>
    <row r="447" x14ac:dyDescent="0.35"/>
    <row r="448"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sheetData>
  <sheetProtection algorithmName="SHA-512" hashValue="3gDmJYCHCF8oIuwnGl3M0QLyEaqqhZ0cFCutNOIRYxbBp2gCiOx6XIS69BjOsjuGTnK9RApmjkxCDci1jwpBew==" saltValue="sjhDwfyp9WYINf87X6QKzA==" spinCount="100000" sheet="1" formatRows="0" selectLockedCells="1"/>
  <protectedRanges>
    <protectedRange sqref="B287:D386" name="CE7"/>
    <protectedRange sqref="B170:D269" name="CE6"/>
    <protectedRange sqref="B58:D155" name="CE5"/>
    <protectedRange sqref="O284" name="CE4"/>
    <protectedRange sqref="O167" name="C3"/>
    <protectedRange sqref="O55:Q55" name="CE2"/>
    <protectedRange sqref="D37:K37" name="CE1"/>
  </protectedRanges>
  <dataConsolidate/>
  <mergeCells count="50">
    <mergeCell ref="O55:Q55"/>
    <mergeCell ref="B54:B56"/>
    <mergeCell ref="C54:C56"/>
    <mergeCell ref="B37:C37"/>
    <mergeCell ref="B158:D158"/>
    <mergeCell ref="I166:I167"/>
    <mergeCell ref="M169:T175"/>
    <mergeCell ref="M57:T63"/>
    <mergeCell ref="B166:B168"/>
    <mergeCell ref="B159:D159"/>
    <mergeCell ref="O167:Q167"/>
    <mergeCell ref="B160:D160"/>
    <mergeCell ref="C8:G8"/>
    <mergeCell ref="C166:C168"/>
    <mergeCell ref="D166:D168"/>
    <mergeCell ref="E166:E168"/>
    <mergeCell ref="D54:D55"/>
    <mergeCell ref="E54:E55"/>
    <mergeCell ref="G166:G167"/>
    <mergeCell ref="C29:D29"/>
    <mergeCell ref="D398:F398"/>
    <mergeCell ref="D404:F404"/>
    <mergeCell ref="F283:F284"/>
    <mergeCell ref="J283:J284"/>
    <mergeCell ref="B391:D391"/>
    <mergeCell ref="B392:D392"/>
    <mergeCell ref="B390:D390"/>
    <mergeCell ref="E283:E285"/>
    <mergeCell ref="B283:B285"/>
    <mergeCell ref="I283:I284"/>
    <mergeCell ref="G283:G284"/>
    <mergeCell ref="C283:C285"/>
    <mergeCell ref="D283:D285"/>
    <mergeCell ref="H283:H284"/>
    <mergeCell ref="M286:T292"/>
    <mergeCell ref="B26:G26"/>
    <mergeCell ref="E31:G31"/>
    <mergeCell ref="B275:D275"/>
    <mergeCell ref="B276:D276"/>
    <mergeCell ref="B277:D277"/>
    <mergeCell ref="J166:J167"/>
    <mergeCell ref="C30:D30"/>
    <mergeCell ref="C31:D31"/>
    <mergeCell ref="C32:D32"/>
    <mergeCell ref="F166:F167"/>
    <mergeCell ref="D37:G37"/>
    <mergeCell ref="E30:G30"/>
    <mergeCell ref="E32:G32"/>
    <mergeCell ref="O284:Q284"/>
    <mergeCell ref="H166:H167"/>
  </mergeCells>
  <phoneticPr fontId="28" type="noConversion"/>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E1351057-0658-43CF-AFF7-0A0F08A1A4E9}">
            <xm:f>Triagem!$C$29=""</xm:f>
            <x14:dxf>
              <font>
                <b/>
                <i val="0"/>
                <u val="double"/>
                <color rgb="FFFF0000"/>
              </font>
              <fill>
                <patternFill>
                  <bgColor theme="7" tint="0.59996337778862885"/>
                </patternFill>
              </fill>
            </x14:dxf>
          </x14:cfRule>
          <xm:sqref>C8:G8</xm:sqref>
        </x14:conditionalFormatting>
        <x14:conditionalFormatting xmlns:xm="http://schemas.microsoft.com/office/excel/2006/main">
          <x14:cfRule type="expression" priority="2" id="{2452D59C-0D79-4653-99A2-F37947E08762}">
            <xm:f>Triagem!$C$29="Sim"</xm:f>
            <x14:dxf/>
          </x14:cfRule>
          <x14:cfRule type="expression" priority="3" id="{EF8CA9F4-2542-4483-AD84-51E76F344040}">
            <xm:f>Triagem!$C$29="Não"</xm:f>
            <x14:dxf>
              <font>
                <color theme="2" tint="-0.24994659260841701"/>
              </font>
            </x14:dxf>
          </x14:cfRule>
          <xm:sqref>C8:J8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33510EF7-C8B9-4FCB-BD2E-91F71C44533B}">
          <x14:formula1>
            <xm:f>'Fatores de Emissão'!$J$30:$M$30</xm:f>
          </x14:formula1>
          <xm:sqref>D165 D282 D37 E52:E53</xm:sqref>
        </x14:dataValidation>
        <x14:dataValidation type="list" allowBlank="1" showInputMessage="1" showErrorMessage="1" xr:uid="{E98C187B-6722-467D-A575-48E774946B68}">
          <x14:formula1>
            <xm:f>FACE!$B$47:$B$92</xm:f>
          </x14:formula1>
          <xm:sqref>C286 C169</xm:sqref>
        </x14:dataValidation>
        <x14:dataValidation type="list" allowBlank="1" showInputMessage="1" showErrorMessage="1" xr:uid="{37C51FE5-7D82-4C5B-8175-A6767BC66E5D}">
          <x14:formula1>
            <xm:f>FACE!$C$10:$C$40</xm:f>
          </x14:formula1>
          <xm:sqref>O55 O167 O284</xm:sqref>
        </x14:dataValidation>
        <x14:dataValidation type="list" allowBlank="1" showInputMessage="1" showErrorMessage="1" xr:uid="{8BDCF9C5-3660-49E0-AEF2-0DEC8703A109}">
          <x14:formula1>
            <xm:f>'Fatores de Emissão'!$B$31:$B$75</xm:f>
          </x14:formula1>
          <xm:sqref>C57:C155 C287:C386 C170:C269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CBB2-FDF2-4F24-A628-010B9E460922}">
  <sheetPr codeName="Folha7"/>
  <dimension ref="A3:XFD204"/>
  <sheetViews>
    <sheetView showGridLines="0" zoomScale="70" zoomScaleNormal="70" workbookViewId="0">
      <selection activeCell="G13" sqref="G13"/>
    </sheetView>
  </sheetViews>
  <sheetFormatPr defaultColWidth="8.81640625" defaultRowHeight="15.5" outlineLevelRow="1" x14ac:dyDescent="0.35"/>
  <cols>
    <col min="1" max="1" width="9" style="169" bestFit="1" customWidth="1"/>
    <col min="2" max="2" width="21.54296875" style="314" customWidth="1"/>
    <col min="3" max="3" width="55.7265625" style="169" customWidth="1"/>
    <col min="4" max="4" width="72.7265625" style="314" customWidth="1"/>
    <col min="5" max="5" width="37.453125" style="316" bestFit="1" customWidth="1"/>
    <col min="6" max="6" width="28.7265625" style="169" customWidth="1"/>
    <col min="7" max="7" width="57.7265625" style="169" customWidth="1"/>
    <col min="8" max="9" width="26.26953125" style="169" customWidth="1"/>
    <col min="10" max="10" width="23.54296875" style="314" customWidth="1"/>
    <col min="11" max="11" width="18.81640625" style="169" bestFit="1" customWidth="1"/>
    <col min="12" max="12" width="26.7265625" style="169" customWidth="1"/>
    <col min="13" max="13" width="16.7265625" style="428" customWidth="1"/>
    <col min="14" max="14" width="10" style="169" bestFit="1" customWidth="1"/>
    <col min="15" max="20" width="8.81640625" style="169"/>
    <col min="21" max="21" width="22.1796875" style="169" bestFit="1" customWidth="1"/>
    <col min="22" max="22" width="17.54296875" style="169" bestFit="1" customWidth="1"/>
    <col min="23" max="16384" width="8.81640625" style="169"/>
  </cols>
  <sheetData>
    <row r="3" spans="1:27" x14ac:dyDescent="0.35">
      <c r="B3" s="496"/>
    </row>
    <row r="8" spans="1:27" x14ac:dyDescent="0.35">
      <c r="D8" s="496"/>
      <c r="L8" s="168"/>
      <c r="M8" s="346"/>
      <c r="N8" s="176"/>
      <c r="O8" s="176"/>
      <c r="P8" s="176"/>
      <c r="Q8" s="505"/>
      <c r="R8" s="505"/>
      <c r="S8" s="176"/>
      <c r="T8" s="176"/>
    </row>
    <row r="9" spans="1:27" x14ac:dyDescent="0.35">
      <c r="B9" s="283" t="s">
        <v>32</v>
      </c>
      <c r="C9" s="283" t="s">
        <v>3</v>
      </c>
      <c r="D9" s="283" t="s">
        <v>4</v>
      </c>
      <c r="E9" s="262"/>
      <c r="F9" s="262"/>
      <c r="G9" s="262"/>
      <c r="H9" s="314"/>
      <c r="I9" s="314"/>
      <c r="Q9" s="505"/>
      <c r="R9" s="505"/>
    </row>
    <row r="10" spans="1:27" ht="77.5" x14ac:dyDescent="0.35">
      <c r="A10" s="498"/>
      <c r="B10" s="497" t="str">
        <f>'Fatores de Emissão'!D31</f>
        <v>Toneladas</v>
      </c>
      <c r="C10" s="537" t="str">
        <f>'Fatores de Emissão'!B31</f>
        <v>Antracite</v>
      </c>
      <c r="D10" s="392" t="str">
        <f>VLOOKUP(C10,'Fatores de Emissão'!$B$31:$S$75,18,FALSE)</f>
        <v>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v>
      </c>
      <c r="E10" s="314"/>
      <c r="F10" s="314"/>
      <c r="G10" s="428"/>
      <c r="L10" s="1107"/>
      <c r="M10" s="1107"/>
      <c r="N10" s="506"/>
      <c r="O10" s="506"/>
      <c r="P10" s="506"/>
      <c r="Q10" s="1108"/>
      <c r="R10" s="1108"/>
      <c r="S10" s="506"/>
      <c r="T10" s="506"/>
    </row>
    <row r="11" spans="1:27" ht="31" x14ac:dyDescent="0.35">
      <c r="A11" s="498"/>
      <c r="B11" s="497" t="str">
        <f>'Fatores de Emissão'!D67</f>
        <v>kg</v>
      </c>
      <c r="C11" s="366" t="str">
        <f>'Fatores de Emissão'!B67</f>
        <v>Biodiesel</v>
      </c>
      <c r="D11" s="392" t="str">
        <f>VLOOKUP(C11,'Fatores de Emissão'!$B$31:$S$75,18,FALSE)</f>
        <v>Biodiesel é um éster metílico produzido a partir de óleo vegetal ou animal, com qualidade de gasóleo.</v>
      </c>
      <c r="E11" s="314"/>
      <c r="F11" s="314"/>
      <c r="G11" s="428"/>
      <c r="L11" s="1107"/>
      <c r="M11" s="1107"/>
      <c r="N11" s="168"/>
      <c r="O11" s="168"/>
      <c r="P11" s="168"/>
      <c r="Q11" s="507"/>
      <c r="R11" s="507"/>
      <c r="S11" s="168"/>
      <c r="T11" s="168"/>
      <c r="U11" s="179"/>
      <c r="V11" s="179"/>
    </row>
    <row r="12" spans="1:27" ht="124" x14ac:dyDescent="0.35">
      <c r="A12" s="498"/>
      <c r="B12" s="497" t="str">
        <f>'Fatores de Emissão'!D68</f>
        <v>kg</v>
      </c>
      <c r="C12" s="366" t="str">
        <f>'Fatores de Emissão'!B68</f>
        <v>Biogasolina</v>
      </c>
      <c r="D12" s="392" t="str">
        <f>VLOOKUP(C12,'Fatores de Emissão'!$B$31:$S$75,18,FALSE)</f>
        <v>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v>
      </c>
      <c r="E12" s="314"/>
      <c r="F12" s="314"/>
      <c r="G12" s="428"/>
      <c r="L12" s="357"/>
      <c r="Q12" s="505"/>
      <c r="R12" s="505"/>
      <c r="U12" s="499"/>
      <c r="V12" s="499"/>
    </row>
    <row r="13" spans="1:27" ht="62" x14ac:dyDescent="0.35">
      <c r="A13" s="498"/>
      <c r="B13" s="497" t="str">
        <f>'Fatores de Emissão'!D34</f>
        <v>Toneladas</v>
      </c>
      <c r="C13" s="366" t="str">
        <f>'Fatores de Emissão'!B34</f>
        <v>Briquetes de linhite</v>
      </c>
      <c r="D13" s="392" t="str">
        <f>VLOOKUP(C13,'Fatores de Emissão'!$B$31:$S$75,18,FALSE)</f>
        <v>Combustível composto manufacturado a partir de finos de hulha com adição de um aglomerante. A quantidade de briquetes produzida pode, assim, ser ligeiramente mais elevada que a quantidade efectiva de hulha consumida no processo de transformação.</v>
      </c>
      <c r="E13" s="314"/>
      <c r="F13" s="314"/>
      <c r="G13" s="428"/>
      <c r="Q13" s="505"/>
      <c r="R13" s="505"/>
      <c r="U13" s="499"/>
      <c r="V13" s="499"/>
    </row>
    <row r="14" spans="1:27" ht="61.9" customHeight="1" x14ac:dyDescent="0.35">
      <c r="A14" s="498"/>
      <c r="B14" s="497" t="str">
        <f>'Fatores de Emissão'!D36</f>
        <v>kg</v>
      </c>
      <c r="C14" s="366" t="str">
        <f>'Fatores de Emissão'!B36</f>
        <v>Carvão de coque</v>
      </c>
      <c r="D14" s="392" t="str">
        <f>VLOOKUP(C14,'Fatores de Emissão'!$B$31:$S$75,18,FALSE)</f>
        <v>Hulha betuminosa com uma qualidade que permite a produção de um coque susceptível de utilização em altos-fornos. O seu poder calorífico superior ultrapassa 23 865 kJ/kg (5700 kcal/kg), medido sem cinzas, mas com humidade.</v>
      </c>
      <c r="E14" s="314"/>
      <c r="F14" s="314"/>
      <c r="G14" s="314"/>
      <c r="Q14" s="505"/>
      <c r="R14" s="505"/>
      <c r="U14" s="500"/>
      <c r="V14" s="499"/>
      <c r="AA14" s="428"/>
    </row>
    <row r="15" spans="1:27" ht="31" x14ac:dyDescent="0.35">
      <c r="A15" s="498"/>
      <c r="B15" s="497" t="str">
        <f>'Fatores de Emissão'!D69</f>
        <v>kg</v>
      </c>
      <c r="C15" s="366" t="str">
        <f>'Fatores de Emissão'!B69</f>
        <v>Carvão Vegetal</v>
      </c>
      <c r="D15" s="392" t="str">
        <f>VLOOKUP(C15,'Fatores de Emissão'!$B$31:$S$75,18,FALSE)</f>
        <v xml:space="preserve">O carvão vegetal utilizado como energia abrange o resíduo sólido da destilação destrutiva e da pirólise da madeira e de outras matérias vegetais. </v>
      </c>
      <c r="E15" s="314"/>
      <c r="F15" s="314"/>
      <c r="G15" s="428"/>
      <c r="Q15" s="505"/>
      <c r="R15" s="505"/>
      <c r="U15" s="499"/>
      <c r="V15" s="499"/>
    </row>
    <row r="16" spans="1:27" ht="139.5" x14ac:dyDescent="0.35">
      <c r="A16" s="498"/>
      <c r="B16" s="497" t="str">
        <f>'Fatores de Emissão'!D37</f>
        <v>kg</v>
      </c>
      <c r="C16" s="366" t="str">
        <f>'Fatores de Emissão'!B37</f>
        <v>Coque de forno de coque e coque de linhite</v>
      </c>
      <c r="D16" s="392" t="str">
        <f>VLOOKUP(C16,'Fatores de Emissão'!$B$31:$S$75,18,FALSE)</f>
        <v>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v>
      </c>
      <c r="E16" s="314"/>
      <c r="F16" s="314"/>
      <c r="G16" s="428"/>
      <c r="Q16" s="505"/>
      <c r="R16" s="505"/>
      <c r="U16" s="499"/>
      <c r="V16" s="499"/>
    </row>
    <row r="17" spans="1:22" ht="36.65" customHeight="1" x14ac:dyDescent="0.35">
      <c r="A17" s="508"/>
      <c r="B17" s="472" t="str">
        <f>'Fatores de Emissão'!D39</f>
        <v>kg</v>
      </c>
      <c r="C17" s="366" t="str">
        <f>'Fatores de Emissão'!B39</f>
        <v>Etano</v>
      </c>
      <c r="D17" s="392" t="str">
        <f>VLOOKUP(C17,'Fatores de Emissão'!$B$31:$S$75,18,FALSE)</f>
        <v>Hidrocarboneto (C2H6) de cadeia linear, gasosos no estado natural, extraído do gás natural e dos gases de refinaria.</v>
      </c>
      <c r="E17" s="509"/>
      <c r="F17" s="314"/>
      <c r="G17" s="343"/>
      <c r="H17" s="428"/>
      <c r="I17" s="428"/>
      <c r="J17" s="343"/>
      <c r="Q17" s="505"/>
      <c r="R17" s="505"/>
      <c r="U17" s="499"/>
      <c r="V17" s="499"/>
    </row>
    <row r="18" spans="1:22" ht="286.14999999999998" customHeight="1" x14ac:dyDescent="0.35">
      <c r="A18" s="498"/>
      <c r="B18" s="497" t="str">
        <f>'Fatores de Emissão'!D43</f>
        <v>kg</v>
      </c>
      <c r="C18" s="366" t="str">
        <f>'Fatores de Emissão'!B43</f>
        <v>Gás produzido em fábricas</v>
      </c>
      <c r="D18" s="392" t="str">
        <f>VLOOKUP(C18,'Fatores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18" s="509"/>
      <c r="F18" s="314"/>
      <c r="G18" s="428"/>
      <c r="H18" s="343"/>
      <c r="I18" s="343"/>
      <c r="J18" s="343"/>
      <c r="Q18" s="505"/>
      <c r="R18" s="505"/>
      <c r="U18" s="499"/>
      <c r="V18" s="499"/>
    </row>
    <row r="19" spans="1:22" ht="46.5" x14ac:dyDescent="0.35">
      <c r="A19" s="508"/>
      <c r="B19" s="497" t="str">
        <f>'Fatores de Emissão'!D41</f>
        <v>kg</v>
      </c>
      <c r="C19" s="366" t="str">
        <f>'Fatores de Emissão'!B41</f>
        <v>Gás de Alto Forno</v>
      </c>
      <c r="D19" s="392" t="str">
        <f>VLOOKUP(C19,'Fatores de Emissão'!$B$31:$S$75,18,FALSE)</f>
        <v>Subproduto da produção de aço numa fornalha de oxigénio, recuperado à saída da fornalha. O gás é igualmente conhecido como gás de conversor, gás LD ou gás BOS</v>
      </c>
      <c r="E19" s="509"/>
      <c r="H19" s="343"/>
      <c r="I19" s="343"/>
      <c r="J19" s="343"/>
      <c r="Q19" s="505"/>
      <c r="R19" s="505"/>
      <c r="U19" s="499"/>
      <c r="V19" s="499"/>
    </row>
    <row r="20" spans="1:22" ht="31" x14ac:dyDescent="0.35">
      <c r="A20" s="498"/>
      <c r="B20" s="497" t="str">
        <f>'Fatores de Emissão'!D42</f>
        <v>kg</v>
      </c>
      <c r="C20" s="366" t="str">
        <f>'Fatores de Emissão'!B42</f>
        <v xml:space="preserve">Gás de Coqueria </v>
      </c>
      <c r="D20" s="392" t="str">
        <f>VLOOKUP(C20,'Fatores de Emissão'!$B$31:$S$75,18,FALSE)</f>
        <v>Subproduto da fabricação de coque de forno de coque para a produção de ferro e aço.</v>
      </c>
      <c r="E20" s="509"/>
      <c r="F20" s="314"/>
      <c r="G20" s="428"/>
      <c r="Q20" s="505"/>
      <c r="R20" s="505"/>
      <c r="U20" s="499"/>
      <c r="V20" s="499"/>
    </row>
    <row r="21" spans="1:22" ht="46.5" x14ac:dyDescent="0.35">
      <c r="A21" s="498"/>
      <c r="B21" s="497" t="str">
        <f>'Fatores de Emissão'!D70</f>
        <v>kg</v>
      </c>
      <c r="C21" s="366" t="str">
        <f>'Fatores de Emissão'!B70</f>
        <v>Gases de Lamas de Depuração</v>
      </c>
      <c r="D21" s="392" t="str">
        <f>VLOOKUP(C21,'Fatores de Emissão'!$B$31:$S$75,18,FALSE)</f>
        <v>O gás de lamas é derivado da fermentação anaeróbica de biomassa e resíduos sólidos de esgotos e lamas animais e é queimado para produzir calor e/ou eletricidade.</v>
      </c>
      <c r="E21" s="509"/>
      <c r="Q21" s="505"/>
      <c r="R21" s="505"/>
      <c r="U21" s="499"/>
      <c r="V21" s="499"/>
    </row>
    <row r="22" spans="1:22" ht="155" x14ac:dyDescent="0.35">
      <c r="A22" s="498"/>
      <c r="B22" s="472" t="str">
        <f>'Fatores de Emissão'!D47</f>
        <v>m3</v>
      </c>
      <c r="C22" s="366" t="str">
        <f>'Fatores de Emissão'!B47</f>
        <v>Gás Natural</v>
      </c>
      <c r="D22" s="392" t="str">
        <f>VLOOKUP(C22,'Fatores de Emissão'!$B$31:$S$75,18,FALSE)</f>
        <v>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v>
      </c>
      <c r="E22" s="509"/>
      <c r="F22" s="314"/>
      <c r="Q22" s="505"/>
      <c r="R22" s="505"/>
      <c r="U22" s="499"/>
      <c r="V22" s="499"/>
    </row>
    <row r="23" spans="1:22" ht="31" x14ac:dyDescent="0.35">
      <c r="A23" s="498"/>
      <c r="B23" s="497" t="str">
        <f>'Fatores de Emissão'!D50</f>
        <v>Litros</v>
      </c>
      <c r="C23" s="392" t="str">
        <f>'Fatores de Emissão'!B50</f>
        <v>Gasóleo / óleo diesel (fuelóleo destilado)</v>
      </c>
      <c r="D23" s="392" t="str">
        <f>VLOOKUP(C23,'Fatores de Emissão'!$B$31:$S$75,18,FALSE)</f>
        <v>O gasóleo/óleo diesel é, antes de mais, um destilado médio que destila entre 180 oC e 380 oC. Inclui os componentes para mistura.</v>
      </c>
      <c r="E23" s="509"/>
      <c r="F23" s="314"/>
      <c r="Q23" s="505"/>
      <c r="R23" s="505"/>
      <c r="U23" s="499"/>
      <c r="V23" s="499"/>
    </row>
    <row r="24" spans="1:22" ht="93" x14ac:dyDescent="0.35">
      <c r="A24" s="508"/>
      <c r="B24" s="497" t="str">
        <f>'Fatores de Emissão'!D45</f>
        <v>Litros</v>
      </c>
      <c r="C24" s="366" t="str">
        <f>'Fatores de Emissão'!B45</f>
        <v>GPL - Gás de Petróleo Liquefeito</v>
      </c>
      <c r="D24" s="392" t="str">
        <f>VLOOKUP(C24,'Fatores de Emissão'!$B$31:$S$75,18,FALSE)</f>
        <v>Hidrocarbonetos parafínicos claros obtidos dos processos de refinação e nas instalações de estabilização do petróleo bruto e de transformação de gás natural. São constituídos principalmente por propano (C3H8) e butano (C4H10) ou por uma combinação dos dois. Podem igualmente incluir propileno, butileno, isopropileno e isobutileno. Os GPL são normalmente liquefeitos sob pressão para o transporte e a armazenagem.</v>
      </c>
      <c r="E24" s="509"/>
      <c r="F24" s="314"/>
      <c r="Q24" s="505"/>
      <c r="R24" s="505"/>
      <c r="U24" s="499"/>
      <c r="V24" s="499"/>
    </row>
    <row r="25" spans="1:22" ht="279" x14ac:dyDescent="0.35">
      <c r="A25" s="498"/>
      <c r="B25" s="497" t="str">
        <f>'Fatores de Emissão'!D52</f>
        <v>Litros</v>
      </c>
      <c r="C25" s="366" t="str">
        <f>'Fatores de Emissão'!B43</f>
        <v>Gás produzido em fábricas</v>
      </c>
      <c r="D25" s="392" t="str">
        <f>VLOOKUP(C25,'Fatores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25" s="509"/>
      <c r="Q25" s="505"/>
      <c r="R25" s="505"/>
      <c r="U25" s="499"/>
      <c r="V25" s="499"/>
    </row>
    <row r="26" spans="1:22" ht="124" x14ac:dyDescent="0.35">
      <c r="A26" s="498"/>
      <c r="B26" s="497" t="str">
        <f>'Fatores de Emissão'!D51</f>
        <v>Litros</v>
      </c>
      <c r="C26" s="366" t="str">
        <f>'Fatores de Emissão'!B51</f>
        <v>Gasolina para motores</v>
      </c>
      <c r="D26" s="392" t="str">
        <f>VLOOKUP(C26,'Fatores de Emissão'!$B$31:$S$75,18,FALSE)</f>
        <v>A gasolina para motores é constituída por uma mistura de hidrocarbonetos leves que destilam entre 35oC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v>
      </c>
      <c r="E26" s="509"/>
      <c r="G26" s="262"/>
      <c r="Q26" s="505"/>
      <c r="R26" s="505"/>
      <c r="U26" s="499"/>
      <c r="V26" s="499"/>
    </row>
    <row r="27" spans="1:22" ht="155" x14ac:dyDescent="0.35">
      <c r="A27" s="498"/>
      <c r="B27" s="497" t="str">
        <f>'Fatores de Emissão'!D54</f>
        <v>kg</v>
      </c>
      <c r="C27" s="366" t="str">
        <f>'Fatores de Emissão'!B54</f>
        <v>Linhite castanha</v>
      </c>
      <c r="D27" s="392" t="str">
        <f>VLOOKUP(C27,'Fatores de Emissão'!$B$31:$S$75,18,FALSE)</f>
        <v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v>
      </c>
      <c r="E27" s="509"/>
      <c r="F27" s="314"/>
      <c r="G27" s="428"/>
      <c r="H27" s="262"/>
      <c r="I27" s="262"/>
      <c r="Q27" s="505"/>
      <c r="R27" s="505"/>
      <c r="U27" s="499"/>
      <c r="V27" s="499"/>
    </row>
    <row r="28" spans="1:22" ht="77.5" x14ac:dyDescent="0.35">
      <c r="A28" s="498"/>
      <c r="B28" s="497" t="str">
        <f>'Fatores de Emissão'!D49</f>
        <v>kg</v>
      </c>
      <c r="C28" s="366" t="str">
        <f>'Fatores de Emissão'!B49</f>
        <v>LGN - Gás Natural Liquefeito</v>
      </c>
      <c r="D28" s="392" t="str">
        <f>VLOOKUP(C28,'Fatores de Emissão'!$B$31:$S$75,18,FALSE)</f>
        <v>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v>
      </c>
      <c r="E28" s="509"/>
      <c r="G28" s="428"/>
      <c r="Q28" s="505"/>
      <c r="R28" s="505"/>
      <c r="U28" s="499"/>
      <c r="V28" s="499"/>
    </row>
    <row r="29" spans="1:22" ht="93" x14ac:dyDescent="0.35">
      <c r="A29" s="498"/>
      <c r="B29" s="497" t="str">
        <f>'Fatores de Emissão'!D56</f>
        <v>kg</v>
      </c>
      <c r="C29" s="366" t="str">
        <f>'Fatores de Emissão'!B56</f>
        <v>Lubrificantes</v>
      </c>
      <c r="D29" s="392" t="str">
        <f>VLOOKUP(C29,'Fatores de Emissão'!$B$31:$S$75,18,FALSE)</f>
        <v>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v>
      </c>
      <c r="E29" s="509"/>
      <c r="F29" s="314"/>
      <c r="G29" s="509"/>
      <c r="Q29" s="505"/>
      <c r="R29" s="505"/>
      <c r="U29" s="499"/>
      <c r="V29" s="499"/>
    </row>
    <row r="30" spans="1:22" ht="77.5" x14ac:dyDescent="0.35">
      <c r="A30" s="498"/>
      <c r="B30" s="497" t="str">
        <f>'Fatores de Emissão'!D71</f>
        <v>kg</v>
      </c>
      <c r="C30" s="366" t="str">
        <f>'Fatores de Emissão'!B71</f>
        <v>Madeira, resíduos de madeira e outros resíduos sólidos</v>
      </c>
      <c r="D30" s="392" t="str">
        <f>VLOOKUP(C30,'Fatores de Emissão'!$B$31:$S$75,18,FALSE)</f>
        <v>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v>
      </c>
      <c r="E30" s="509"/>
      <c r="Q30" s="505"/>
      <c r="R30" s="505"/>
      <c r="U30" s="499"/>
      <c r="V30" s="499"/>
    </row>
    <row r="31" spans="1:22" ht="115.9" customHeight="1" x14ac:dyDescent="0.35">
      <c r="A31" s="498"/>
      <c r="B31" s="497" t="str">
        <f>'Fatores de Emissão'!D57</f>
        <v>kg</v>
      </c>
      <c r="C31" s="366" t="str">
        <f>'Fatores de Emissão'!B57</f>
        <v>Matérias-primas para refinarias</v>
      </c>
      <c r="D31" s="392" t="str">
        <f>VLOOKUP(C31,'Fatores de Emissão'!$B$31:$S$75,18,FALSE)</f>
        <v>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v>
      </c>
      <c r="E31" s="509"/>
      <c r="Q31" s="505"/>
      <c r="R31" s="505"/>
      <c r="U31" s="499"/>
      <c r="V31" s="499"/>
    </row>
    <row r="32" spans="1:22" ht="81.400000000000006" customHeight="1" x14ac:dyDescent="0.35">
      <c r="A32" s="498"/>
      <c r="B32" s="497" t="str">
        <f>'Fatores de Emissão'!D58</f>
        <v>Litros</v>
      </c>
      <c r="C32" s="366" t="str">
        <f>'Fatores de Emissão'!B58</f>
        <v xml:space="preserve">Nafta </v>
      </c>
      <c r="D32" s="392" t="str">
        <f>VLOOKUP(C32,'Fatores de Emissão'!$B$31:$S$75,18,FALSE)</f>
        <v>A nafta é uma matéria-prima destinada à indústria petroquímica (por exemplo, fabricação de etileno ou produção de compostos aromáticos) ou à produção de gasolina por reforma ou isomerização na refinaria. A nafta inclui o material que destila entre 30oC e 210oC ou parte desta faixa.</v>
      </c>
      <c r="E32" s="509"/>
      <c r="Q32" s="505"/>
      <c r="R32" s="505"/>
      <c r="U32" s="499"/>
      <c r="V32" s="499"/>
    </row>
    <row r="33" spans="1:22 16384:16384" x14ac:dyDescent="0.35">
      <c r="A33" s="498"/>
      <c r="B33" s="497" t="str">
        <f>'Fatores de Emissão'!D59</f>
        <v>kg</v>
      </c>
      <c r="C33" s="366" t="str">
        <f>'Fatores de Emissão'!B59</f>
        <v>Óleo de Xisto</v>
      </c>
      <c r="D33" s="392" t="str">
        <f>VLOOKUP(C33,'Fatores de Emissão'!$B$31:$S$75,18,FALSE)</f>
        <v>Um óleo mineral extraído do xisto betuminoso.</v>
      </c>
      <c r="E33" s="509"/>
      <c r="Q33" s="505"/>
      <c r="R33" s="505"/>
      <c r="U33" s="499"/>
      <c r="V33" s="499"/>
    </row>
    <row r="34" spans="1:22 16384:16384" ht="48" customHeight="1" x14ac:dyDescent="0.35">
      <c r="A34" s="498"/>
      <c r="B34" s="497" t="str">
        <f>'Fatores de Emissão'!D73</f>
        <v>kg</v>
      </c>
      <c r="C34" s="366" t="str">
        <f>'Fatores de Emissão'!B73</f>
        <v>Outros Biocombustíveis Líquidos</v>
      </c>
      <c r="D34" s="392" t="str">
        <f>VLOOKUP(C34,'Fatores de Emissão'!$B$31:$S$75,18,FALSE)</f>
        <v>Outros biocombustíveis líquidos não incluídos na biogasolina ou nos biodieseis.</v>
      </c>
      <c r="E34" s="509"/>
      <c r="Q34" s="505"/>
      <c r="R34" s="505"/>
      <c r="U34" s="499"/>
      <c r="V34" s="499"/>
    </row>
    <row r="35" spans="1:22 16384:16384" ht="109.9" customHeight="1" x14ac:dyDescent="0.35">
      <c r="A35" s="498"/>
      <c r="B35" s="497" t="str">
        <f>'Fatores de Emissão'!D63</f>
        <v>Litros</v>
      </c>
      <c r="C35" s="366" t="str">
        <f>'Fatores de Emissão'!B63</f>
        <v>Petróleo Bruto</v>
      </c>
      <c r="D35" s="392" t="str">
        <f>VLOOKUP(C35,'Fatores de Emissão'!$B$31:$S$75,18,FALSE)</f>
        <v>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v>
      </c>
      <c r="E35" s="509"/>
      <c r="Q35" s="505"/>
      <c r="R35" s="505"/>
      <c r="U35" s="499"/>
      <c r="V35" s="499"/>
    </row>
    <row r="36" spans="1:22 16384:16384" ht="93" x14ac:dyDescent="0.35">
      <c r="A36" s="498"/>
      <c r="B36" s="497" t="str">
        <f>'Fatores de Emissão'!D64</f>
        <v>Litros</v>
      </c>
      <c r="C36" s="366" t="str">
        <f>'Fatores de Emissão'!B64</f>
        <v>Querosene tipo Jet Fuel</v>
      </c>
      <c r="D36" s="392" t="str">
        <f>VLOOKUP(C36,'Fatores de Emissão'!$B$31:$S$75,18,FALSE)</f>
        <v>Destilado utilizado para unidades de turbinas de aviação. Tem as mesmas características de destilação, entre 150oC e 300oC (em geral, não acima de 250oC), e o mesmo ponto de inflamação que o querosene. Além disso, tem especificações particulares (como o ponto de congelação) que são estabelecidas pela Associação Internacional do Transporte Aéreo (IATA). Inclui os compostos para mistura com o querosene.</v>
      </c>
      <c r="E36" s="509"/>
      <c r="Q36" s="505"/>
      <c r="R36" s="505"/>
      <c r="U36" s="499"/>
      <c r="V36" s="499"/>
    </row>
    <row r="37" spans="1:22 16384:16384" ht="62" x14ac:dyDescent="0.35">
      <c r="A37" s="498"/>
      <c r="B37" s="497" t="str">
        <f>'Fatores de Emissão'!D74</f>
        <v>kg</v>
      </c>
      <c r="C37" s="366" t="str">
        <f>'Fatores de Emissão'!B74</f>
        <v>Resíduos Municipais (fração biodegradável)</v>
      </c>
      <c r="D37" s="392" t="str">
        <f>VLOOKUP(C37,'Fatores de Emissão'!$B$31:$S$75,18,FALSE)</f>
        <v>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v>
      </c>
      <c r="E37" s="509"/>
      <c r="Q37" s="505"/>
      <c r="R37" s="505"/>
      <c r="U37" s="499"/>
      <c r="V37" s="499"/>
    </row>
    <row r="38" spans="1:22 16384:16384" ht="77.5" x14ac:dyDescent="0.35">
      <c r="A38" s="498"/>
      <c r="B38" s="497" t="str">
        <f>'Fatores de Emissão'!D65</f>
        <v>kg</v>
      </c>
      <c r="C38" s="392" t="str">
        <f>'Fatores de Emissão'!B65</f>
        <v>Resíduos municipais (fração não biodegradável)</v>
      </c>
      <c r="D38" s="392" t="str">
        <f>VLOOKUP(C38,'Fatores de Emissão'!$B$31:$S$75,18,FALSE)</f>
        <v>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v>
      </c>
      <c r="E38" s="509"/>
      <c r="Q38" s="505"/>
      <c r="R38" s="505"/>
      <c r="U38" s="499"/>
      <c r="V38" s="499"/>
    </row>
    <row r="39" spans="1:22 16384:16384" ht="139.5" x14ac:dyDescent="0.35">
      <c r="A39" s="501"/>
      <c r="B39" s="497" t="str">
        <f>'Fatores de Emissão'!D66</f>
        <v>kg</v>
      </c>
      <c r="C39" s="366" t="str">
        <f>'Fatores de Emissão'!B66</f>
        <v>Xisto Betuminoso e Areias Betuminosas</v>
      </c>
      <c r="D39" s="392" t="str">
        <f>VLOOKUP(C39,'Fatores de Emissão'!$B$31:$S$75,18,FALSE)</f>
        <v>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v>
      </c>
      <c r="E39" s="509"/>
      <c r="Q39" s="505"/>
      <c r="R39" s="505"/>
      <c r="U39" s="499"/>
      <c r="V39" s="499"/>
    </row>
    <row r="40" spans="1:22 16384:16384" ht="93" x14ac:dyDescent="0.35">
      <c r="A40" s="501"/>
      <c r="B40" s="366" t="str">
        <f>'Fatores de Emissão'!D75</f>
        <v>kg</v>
      </c>
      <c r="C40" s="366" t="str">
        <f>'Fatores de Emissão'!B75</f>
        <v>Turfa</v>
      </c>
      <c r="D40" s="392" t="str">
        <f>VLOOKUP(C40,'Fatores de Emissão'!$B$31:$S$75,18,FALSE)</f>
        <v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v>
      </c>
      <c r="E40" s="509"/>
      <c r="Q40" s="505"/>
      <c r="R40" s="505"/>
      <c r="U40" s="499"/>
      <c r="V40" s="499"/>
    </row>
    <row r="41" spans="1:22 16384:16384" x14ac:dyDescent="0.35">
      <c r="A41" s="314"/>
      <c r="Q41" s="505"/>
      <c r="R41" s="505"/>
      <c r="U41" s="499"/>
      <c r="V41" s="499"/>
    </row>
    <row r="42" spans="1:22 16384:16384" x14ac:dyDescent="0.35">
      <c r="A42" s="314"/>
      <c r="Q42" s="505"/>
      <c r="R42" s="505"/>
      <c r="U42" s="499"/>
      <c r="V42" s="499"/>
    </row>
    <row r="43" spans="1:22 16384:16384" outlineLevel="1" x14ac:dyDescent="0.35">
      <c r="B43" s="169" t="s">
        <v>666</v>
      </c>
      <c r="D43" s="169"/>
      <c r="E43" s="169"/>
      <c r="F43" s="171"/>
      <c r="J43" s="175"/>
      <c r="M43" s="169"/>
    </row>
    <row r="44" spans="1:22 16384:16384" s="314" customFormat="1" ht="16.899999999999999" customHeight="1" outlineLevel="1" x14ac:dyDescent="0.35">
      <c r="B44" s="510" t="s">
        <v>41</v>
      </c>
      <c r="C44" s="510" t="s">
        <v>470</v>
      </c>
      <c r="D44" s="511" t="s">
        <v>32</v>
      </c>
      <c r="E44" s="511" t="s">
        <v>713</v>
      </c>
      <c r="F44" s="512" t="s">
        <v>469</v>
      </c>
      <c r="G44" s="513"/>
      <c r="H44" s="514"/>
      <c r="I44" s="511" t="s">
        <v>1434</v>
      </c>
      <c r="J44" s="511" t="s">
        <v>1435</v>
      </c>
      <c r="K44" s="511" t="s">
        <v>1436</v>
      </c>
      <c r="L44" s="511" t="s">
        <v>1437</v>
      </c>
      <c r="M44" s="511" t="s">
        <v>612</v>
      </c>
      <c r="N44" s="511" t="s">
        <v>613</v>
      </c>
      <c r="XFD44" s="314" t="s">
        <v>611</v>
      </c>
    </row>
    <row r="45" spans="1:22 16384:16384" s="314" customFormat="1" ht="16.899999999999999" customHeight="1" outlineLevel="1" x14ac:dyDescent="0.35">
      <c r="B45" s="515"/>
      <c r="C45" s="515"/>
      <c r="D45" s="516"/>
      <c r="E45" s="516" t="str">
        <f>'Fatores de Emissão'!E30</f>
        <v>(MJ/unid)</v>
      </c>
      <c r="F45" s="517">
        <f>'Combustão Estacionária'!D37</f>
        <v>0</v>
      </c>
      <c r="G45" s="518"/>
      <c r="H45" s="519"/>
      <c r="I45" s="520"/>
      <c r="J45" s="520"/>
      <c r="K45" s="520"/>
      <c r="L45" s="520"/>
      <c r="M45" s="520"/>
      <c r="N45" s="520"/>
    </row>
    <row r="46" spans="1:22 16384:16384" s="314" customFormat="1" ht="16.899999999999999" customHeight="1" outlineLevel="1" x14ac:dyDescent="0.35">
      <c r="B46" s="521"/>
      <c r="C46" s="521"/>
      <c r="D46" s="520"/>
      <c r="E46" s="520"/>
      <c r="F46" s="207" t="s">
        <v>1438</v>
      </c>
      <c r="G46" s="207" t="s">
        <v>1439</v>
      </c>
      <c r="H46" s="283" t="s">
        <v>1440</v>
      </c>
      <c r="I46" s="283" t="s">
        <v>180</v>
      </c>
      <c r="J46" s="283" t="s">
        <v>180</v>
      </c>
      <c r="K46" s="283" t="s">
        <v>180</v>
      </c>
      <c r="L46" s="283" t="s">
        <v>180</v>
      </c>
      <c r="M46" s="283" t="s">
        <v>648</v>
      </c>
      <c r="N46" s="283" t="s">
        <v>649</v>
      </c>
    </row>
    <row r="47" spans="1:22 16384:16384" s="314" customFormat="1" outlineLevel="1" x14ac:dyDescent="0.35">
      <c r="A47" s="471">
        <v>1</v>
      </c>
      <c r="B47" s="470" t="str">
        <f>'Fatores de Emissão'!$B$31</f>
        <v>Antracite</v>
      </c>
      <c r="C47" s="366">
        <f>SUMIF('Combustão Estacionária'!$C$58:$C$155,B47,'Combustão Estacionária'!$D$58:$D$155)</f>
        <v>0</v>
      </c>
      <c r="D47" s="522" t="str">
        <f>'Fatores de Emissão'!D31</f>
        <v>Toneladas</v>
      </c>
      <c r="E47" s="459">
        <f>VLOOKUP($B47,'Fatores de Emissão'!$B$31:$Q$75,4,FALSE)</f>
        <v>26700</v>
      </c>
      <c r="F47" s="459">
        <f>VLOOKUP($B47,'Fatores de Emissão'!$B$31:$Q$75,6,FALSE)*E47/1000000</f>
        <v>2621.94</v>
      </c>
      <c r="G47" s="523" t="str">
        <f>IF($F$45='Fatores de Emissão'!$J$30,'Fatores de Emissão'!J31*E47/1000000,IF($F$45='Fatores de Emissão'!$K$30,'Fatores de Emissão'!K31*E47/1000000,IF($F$45='Fatores de Emissão'!$L$30,'Fatores de Emissão'!L31*E47/1000000,IF($F$45='Fatores de Emissão'!$M$30,'Fatores de Emissão'!M31*E47/1000000,""))))</f>
        <v/>
      </c>
      <c r="H47" s="523" t="str">
        <f>IF($F$45='Fatores de Emissão'!$N$30,'Fatores de Emissão'!N31*E47/1000000,IF($F$45='Fatores de Emissão'!$O$30,'Fatores de Emissão'!O31*E47/1000000,IF($F$45='Fatores de Emissão'!$P$30,'Fatores de Emissão'!P31*E47/1000000,IF($F$45='Fatores de Emissão'!$Q$30,'Fatores de Emissão'!Q31*E47/1000000,""))))</f>
        <v/>
      </c>
      <c r="I47" s="457" t="str">
        <f>IF($C47=0,"-",F47*$C47)</f>
        <v>-</v>
      </c>
      <c r="J47" s="457" t="str">
        <f t="shared" ref="J47:J82" si="0">IF($C47=0,"-",G47*$C47)</f>
        <v>-</v>
      </c>
      <c r="K47" s="457" t="str">
        <f t="shared" ref="K47:K82" si="1">IF($C47=0,"-",H47*$C47)</f>
        <v>-</v>
      </c>
      <c r="L47" s="524" t="str">
        <f>IF(C47=0,"-",I47*'Fatores de Emissão'!$E$252+FACE!J47*'Fatores de Emissão'!$E$248+FACE!K47*'Fatores de Emissão'!$E$249)</f>
        <v>-</v>
      </c>
      <c r="M47" s="366">
        <f>'Fatores de Emissão'!R31</f>
        <v>0</v>
      </c>
      <c r="N47" s="459">
        <f>IF(M47="",0,M47*C47)</f>
        <v>0</v>
      </c>
    </row>
    <row r="48" spans="1:22 16384:16384" s="314" customFormat="1" outlineLevel="1" x14ac:dyDescent="0.35">
      <c r="A48" s="471">
        <v>2</v>
      </c>
      <c r="B48" s="470" t="str">
        <f>'Fatores de Emissão'!$B$32</f>
        <v>Alcatrão de hulha</v>
      </c>
      <c r="C48" s="366">
        <f>SUMIF('Combustão Estacionária'!$C$58:$C$155,B48,'Combustão Estacionária'!$D$58:$D$155)</f>
        <v>0</v>
      </c>
      <c r="D48" s="522" t="str">
        <f>'Fatores de Emissão'!D32</f>
        <v>Toneladas</v>
      </c>
      <c r="E48" s="459">
        <f>VLOOKUP($B48,'Fatores de Emissão'!$B$31:$Q$75,4,FALSE)</f>
        <v>40200</v>
      </c>
      <c r="F48" s="459">
        <f>VLOOKUP($B48,'Fatores de Emissão'!$B$31:$Q$75,6,FALSE)*E48/1000000</f>
        <v>32401.200000000001</v>
      </c>
      <c r="G48" s="523" t="str">
        <f>IF($F$45='Fatores de Emissão'!$J$30,'Fatores de Emissão'!J32*E48/1000000,IF($F$45='Fatores de Emissão'!$K$30,'Fatores de Emissão'!K32*E48/1000000,IF($F$45='Fatores de Emissão'!$L$30,'Fatores de Emissão'!L32*E48/1000000,IF($F$45='Fatores de Emissão'!$M$30,'Fatores de Emissão'!M32*E48/1000000,""))))</f>
        <v/>
      </c>
      <c r="H48" s="523" t="str">
        <f>IF($F$45='Fatores de Emissão'!$N$30,'Fatores de Emissão'!N32*E48/1000000,IF($F$45='Fatores de Emissão'!$O$30,'Fatores de Emissão'!O32*E48/1000000,IF($F$45='Fatores de Emissão'!$P$30,'Fatores de Emissão'!P32*E48/1000000,IF($F$45='Fatores de Emissão'!$Q$30,'Fatores de Emissão'!Q32*E48/1000000,""))))</f>
        <v/>
      </c>
      <c r="I48" s="457" t="str">
        <f t="shared" ref="I48:I82" si="2">IF($C48=0,"-",F48*$C48)</f>
        <v>-</v>
      </c>
      <c r="J48" s="457" t="str">
        <f t="shared" si="0"/>
        <v>-</v>
      </c>
      <c r="K48" s="457" t="str">
        <f t="shared" si="1"/>
        <v>-</v>
      </c>
      <c r="L48" s="524" t="str">
        <f>IF(C48=0,"-",I48*'Fatores de Emissão'!$E$252+FACE!J48*'Fatores de Emissão'!$E$248+FACE!K48*'Fatores de Emissão'!$E$249)</f>
        <v>-</v>
      </c>
      <c r="M48" s="366">
        <f>'Fatores de Emissão'!R32</f>
        <v>0</v>
      </c>
      <c r="N48" s="366">
        <f t="shared" ref="N48:N82" si="3">IF(M48="",0,M48*C48)</f>
        <v>0</v>
      </c>
    </row>
    <row r="49" spans="1:14" s="314" customFormat="1" outlineLevel="1" x14ac:dyDescent="0.35">
      <c r="A49" s="471">
        <v>3</v>
      </c>
      <c r="B49" s="470" t="str">
        <f>'Fatores de Emissão'!$B$33</f>
        <v>Betume</v>
      </c>
      <c r="C49" s="366">
        <f>SUMIF('Combustão Estacionária'!$C$58:$C$155,B49,'Combustão Estacionária'!$D$58:$D$155)</f>
        <v>0</v>
      </c>
      <c r="D49" s="522" t="str">
        <f>'Fatores de Emissão'!D33</f>
        <v>Toneladas</v>
      </c>
      <c r="E49" s="459">
        <f>VLOOKUP($B49,'Fatores de Emissão'!$B$31:$Q$75,4,FALSE)</f>
        <v>40200</v>
      </c>
      <c r="F49" s="459">
        <f>VLOOKUP($B49,'Fatores de Emissão'!$B$31:$Q$75,6,FALSE)*E49/1000000</f>
        <v>32401.200000000001</v>
      </c>
      <c r="G49" s="523" t="str">
        <f>IF($F$45='Fatores de Emissão'!$J$30,'Fatores de Emissão'!J33*E49/1000000,IF($F$45='Fatores de Emissão'!$K$30,'Fatores de Emissão'!K33*E49/1000000,IF($F$45='Fatores de Emissão'!$L$30,'Fatores de Emissão'!L33*E49/1000000,IF($F$45='Fatores de Emissão'!$M$30,'Fatores de Emissão'!M33*E49/1000000,""))))</f>
        <v/>
      </c>
      <c r="H49" s="523" t="str">
        <f>IF($F$45='Fatores de Emissão'!$N$30,'Fatores de Emissão'!N33*E49/1000000,IF($F$45='Fatores de Emissão'!$O$30,'Fatores de Emissão'!O33*E49/1000000,IF($F$45='Fatores de Emissão'!$P$30,'Fatores de Emissão'!P33*E49/1000000,IF($F$45='Fatores de Emissão'!$Q$30,'Fatores de Emissão'!Q33*E49/1000000,""))))</f>
        <v/>
      </c>
      <c r="I49" s="457" t="str">
        <f t="shared" si="2"/>
        <v>-</v>
      </c>
      <c r="J49" s="457" t="str">
        <f t="shared" si="0"/>
        <v>-</v>
      </c>
      <c r="K49" s="457" t="str">
        <f t="shared" si="1"/>
        <v>-</v>
      </c>
      <c r="L49" s="524" t="str">
        <f>IF(C49=0,"-",I49*'Fatores de Emissão'!$E$252+FACE!J49*'Fatores de Emissão'!$E$248+FACE!K49*'Fatores de Emissão'!$E$249)</f>
        <v>-</v>
      </c>
      <c r="M49" s="366">
        <f>'Fatores de Emissão'!R33</f>
        <v>0</v>
      </c>
      <c r="N49" s="366">
        <f t="shared" si="3"/>
        <v>0</v>
      </c>
    </row>
    <row r="50" spans="1:14" s="314" customFormat="1" outlineLevel="1" x14ac:dyDescent="0.35">
      <c r="A50" s="471">
        <v>4</v>
      </c>
      <c r="B50" s="470" t="str">
        <f>'Fatores de Emissão'!$B$34</f>
        <v>Briquetes de linhite</v>
      </c>
      <c r="C50" s="366">
        <f>SUMIF('Combustão Estacionária'!$C$58:$C$155,B50,'Combustão Estacionária'!$D$58:$D$155)</f>
        <v>0</v>
      </c>
      <c r="D50" s="522" t="str">
        <f>'Fatores de Emissão'!D34</f>
        <v>Toneladas</v>
      </c>
      <c r="E50" s="459">
        <f>VLOOKUP($B50,'Fatores de Emissão'!$B$31:$Q$75,4,FALSE)</f>
        <v>20000</v>
      </c>
      <c r="F50" s="459">
        <f>VLOOKUP($B50,'Fatores de Emissão'!$B$31:$Q$75,6,FALSE)*E50/1000000</f>
        <v>2022</v>
      </c>
      <c r="G50" s="523" t="str">
        <f>IF($F$45='Fatores de Emissão'!$J$30,'Fatores de Emissão'!J34*E50/1000000,IF($F$45='Fatores de Emissão'!$K$30,'Fatores de Emissão'!K34*E50/1000000,IF($F$45='Fatores de Emissão'!$L$30,'Fatores de Emissão'!L34*E50/1000000,IF($F$45='Fatores de Emissão'!$M$30,'Fatores de Emissão'!M34*E50/1000000,""))))</f>
        <v/>
      </c>
      <c r="H50" s="523" t="str">
        <f>IF($F$45='Fatores de Emissão'!$N$30,'Fatores de Emissão'!N34*E50/1000000,IF($F$45='Fatores de Emissão'!$O$30,'Fatores de Emissão'!O34*E50/1000000,IF($F$45='Fatores de Emissão'!$P$30,'Fatores de Emissão'!P34*E50/1000000,IF($F$45='Fatores de Emissão'!$Q$30,'Fatores de Emissão'!Q34*E50/1000000,""))))</f>
        <v/>
      </c>
      <c r="I50" s="457" t="str">
        <f t="shared" si="2"/>
        <v>-</v>
      </c>
      <c r="J50" s="457" t="str">
        <f t="shared" si="0"/>
        <v>-</v>
      </c>
      <c r="K50" s="457" t="str">
        <f t="shared" si="1"/>
        <v>-</v>
      </c>
      <c r="L50" s="524" t="str">
        <f>IF(C50=0,"-",I50*'Fatores de Emissão'!$E$252+FACE!J50*'Fatores de Emissão'!$E$248+FACE!K50*'Fatores de Emissão'!$E$249)</f>
        <v>-</v>
      </c>
      <c r="M50" s="366">
        <f>'Fatores de Emissão'!R34</f>
        <v>0</v>
      </c>
      <c r="N50" s="366">
        <f t="shared" si="3"/>
        <v>0</v>
      </c>
    </row>
    <row r="51" spans="1:14" s="314" customFormat="1" outlineLevel="1" x14ac:dyDescent="0.35">
      <c r="A51" s="471">
        <v>6</v>
      </c>
      <c r="B51" s="470" t="str">
        <f>'Fatores de Emissão'!$B$35</f>
        <v>Ceras Parafínicas</v>
      </c>
      <c r="C51" s="366">
        <f>SUMIF('Combustão Estacionária'!$C$58:$C$155,B51,'Combustão Estacionária'!$D$58:$D$155)</f>
        <v>0</v>
      </c>
      <c r="D51" s="522" t="str">
        <f>'Fatores de Emissão'!D35</f>
        <v>Toneladas</v>
      </c>
      <c r="E51" s="459">
        <f>VLOOKUP($B51,'Fatores de Emissão'!$B$31:$Q$75,4,FALSE)</f>
        <v>40200</v>
      </c>
      <c r="F51" s="459">
        <f>VLOOKUP($B51,'Fatores de Emissão'!$B$31:$Q$75,6,FALSE)*E51/1000000</f>
        <v>2946.66</v>
      </c>
      <c r="G51" s="523" t="str">
        <f>IF($F$45='Fatores de Emissão'!$J$30,'Fatores de Emissão'!J35*E51/1000000,IF($F$45='Fatores de Emissão'!$K$30,'Fatores de Emissão'!K35*E51/1000000,IF($F$45='Fatores de Emissão'!$L$30,'Fatores de Emissão'!L35*E51/1000000,IF($F$45='Fatores de Emissão'!$M$30,'Fatores de Emissão'!M35*E51/1000000,""))))</f>
        <v/>
      </c>
      <c r="H51" s="523" t="str">
        <f>IF($F$45='Fatores de Emissão'!$N$30,'Fatores de Emissão'!N35*E51/1000000,IF($F$45='Fatores de Emissão'!$O$30,'Fatores de Emissão'!O35*E51/1000000,IF($F$45='Fatores de Emissão'!$P$30,'Fatores de Emissão'!P35*E51/1000000,IF($F$45='Fatores de Emissão'!$Q$30,'Fatores de Emissão'!Q35*E51/1000000,""))))</f>
        <v/>
      </c>
      <c r="I51" s="457" t="str">
        <f t="shared" si="2"/>
        <v>-</v>
      </c>
      <c r="J51" s="457" t="str">
        <f t="shared" si="0"/>
        <v>-</v>
      </c>
      <c r="K51" s="457" t="str">
        <f t="shared" si="1"/>
        <v>-</v>
      </c>
      <c r="L51" s="524" t="str">
        <f>IF(C51=0,"-",I51*'Fatores de Emissão'!$E$252+FACE!J51*'Fatores de Emissão'!$E$248+FACE!K51*'Fatores de Emissão'!$E$249)</f>
        <v>-</v>
      </c>
      <c r="M51" s="366">
        <f>'Fatores de Emissão'!R35</f>
        <v>0</v>
      </c>
      <c r="N51" s="366">
        <f t="shared" si="3"/>
        <v>0</v>
      </c>
    </row>
    <row r="52" spans="1:14" s="314" customFormat="1" outlineLevel="1" x14ac:dyDescent="0.35">
      <c r="A52" s="471">
        <v>7</v>
      </c>
      <c r="B52" s="470" t="str">
        <f>'Fatores de Emissão'!$B$51</f>
        <v>Gasolina para motores</v>
      </c>
      <c r="C52" s="366">
        <f>SUMIF('Combustão Estacionária'!$C$58:$C$155,B52,'Combustão Estacionária'!$D$58:$D$155)</f>
        <v>0</v>
      </c>
      <c r="D52" s="522" t="str">
        <f>'Fatores de Emissão'!D51</f>
        <v>Litros</v>
      </c>
      <c r="E52" s="459">
        <f>VLOOKUP($B52,'Fatores de Emissão'!$B$31:$Q$75,4,FALSE)</f>
        <v>33.263750000000002</v>
      </c>
      <c r="F52" s="459">
        <f>VLOOKUP($B52,'Fatores de Emissão'!$B$31:$Q$75,6,FALSE)*E52/1000000</f>
        <v>2.3018515000000002</v>
      </c>
      <c r="G52" s="523" t="str">
        <f>IF($F$45='Fatores de Emissão'!$J$30,'Fatores de Emissão'!J51*E52/1000000,IF($F$45='Fatores de Emissão'!$K$30,'Fatores de Emissão'!K51*E52/1000000,IF($F$45='Fatores de Emissão'!$L$30,'Fatores de Emissão'!L51*E52/1000000,IF($F$45='Fatores de Emissão'!$M$30,'Fatores de Emissão'!M51*E52/1000000,""))))</f>
        <v/>
      </c>
      <c r="H52" s="523" t="str">
        <f>IF($F$45='Fatores de Emissão'!$N$30,'Fatores de Emissão'!N51*E52/1000000,IF($F$45='Fatores de Emissão'!$O$30,'Fatores de Emissão'!O51*E52/1000000,IF($F$45='Fatores de Emissão'!$P$30,'Fatores de Emissão'!P51*E52/1000000,IF($F$45='Fatores de Emissão'!$Q$30,'Fatores de Emissão'!Q51*E52/1000000,""))))</f>
        <v/>
      </c>
      <c r="I52" s="457" t="str">
        <f t="shared" si="2"/>
        <v>-</v>
      </c>
      <c r="J52" s="457" t="str">
        <f t="shared" si="0"/>
        <v>-</v>
      </c>
      <c r="K52" s="457" t="str">
        <f t="shared" si="1"/>
        <v>-</v>
      </c>
      <c r="L52" s="524" t="str">
        <f>IF(C52=0,"-",I52*'Fatores de Emissão'!$E$252+FACE!J52*'Fatores de Emissão'!$E$248+FACE!K52*'Fatores de Emissão'!$E$249)</f>
        <v>-</v>
      </c>
      <c r="M52" s="366">
        <f>'Fatores de Emissão'!R51</f>
        <v>2.2411459459459466E-6</v>
      </c>
      <c r="N52" s="366">
        <f t="shared" si="3"/>
        <v>0</v>
      </c>
    </row>
    <row r="53" spans="1:14" s="314" customFormat="1" outlineLevel="1" x14ac:dyDescent="0.35">
      <c r="A53" s="471">
        <v>8</v>
      </c>
      <c r="B53" s="470" t="str">
        <f>'Fatores de Emissão'!$B$36</f>
        <v>Carvão de coque</v>
      </c>
      <c r="C53" s="366">
        <f>SUMIF('Combustão Estacionária'!$C$58:$C$155,B53,'Combustão Estacionária'!$D$58:$D$155)</f>
        <v>0</v>
      </c>
      <c r="D53" s="522" t="str">
        <f>'Fatores de Emissão'!D36</f>
        <v>kg</v>
      </c>
      <c r="E53" s="459">
        <f>VLOOKUP($B53,'Fatores de Emissão'!$B$31:$Q$75,4,FALSE)</f>
        <v>28.2</v>
      </c>
      <c r="F53" s="459">
        <f>VLOOKUP($B53,'Fatores de Emissão'!$B$31:$Q$75,6,FALSE)*E53/1000000</f>
        <v>0.26649</v>
      </c>
      <c r="G53" s="523" t="str">
        <f>IF($F$45='Fatores de Emissão'!$J$30,'Fatores de Emissão'!J36*E53/1000000,IF($F$45='Fatores de Emissão'!$K$30,'Fatores de Emissão'!K36*E53/1000000,IF($F$45='Fatores de Emissão'!$L$30,'Fatores de Emissão'!L36*E53/1000000,IF($F$45='Fatores de Emissão'!$M$30,'Fatores de Emissão'!M36*E53/1000000,""))))</f>
        <v/>
      </c>
      <c r="H53" s="523" t="str">
        <f>IF($F$45='Fatores de Emissão'!$N$30,'Fatores de Emissão'!N36*E53/1000000,IF($F$45='Fatores de Emissão'!$O$30,'Fatores de Emissão'!O36*E53/1000000,IF($F$45='Fatores de Emissão'!$P$30,'Fatores de Emissão'!P36*E53/1000000,IF($F$45='Fatores de Emissão'!$Q$30,'Fatores de Emissão'!Q36*E53/1000000,""))))</f>
        <v/>
      </c>
      <c r="I53" s="457" t="str">
        <f t="shared" si="2"/>
        <v>-</v>
      </c>
      <c r="J53" s="457" t="str">
        <f t="shared" si="0"/>
        <v>-</v>
      </c>
      <c r="K53" s="457" t="str">
        <f t="shared" si="1"/>
        <v>-</v>
      </c>
      <c r="L53" s="524" t="str">
        <f>IF(C53=0,"-",I53*'Fatores de Emissão'!$E$252+FACE!J53*'Fatores de Emissão'!$E$248+FACE!K53*'Fatores de Emissão'!$E$249)</f>
        <v>-</v>
      </c>
      <c r="M53" s="366">
        <f>'Fatores de Emissão'!R36</f>
        <v>0</v>
      </c>
      <c r="N53" s="366">
        <f t="shared" si="3"/>
        <v>0</v>
      </c>
    </row>
    <row r="54" spans="1:14" s="314" customFormat="1" ht="46.5" outlineLevel="1" x14ac:dyDescent="0.35">
      <c r="A54" s="471">
        <v>9</v>
      </c>
      <c r="B54" s="470" t="str">
        <f>'Fatores de Emissão'!$B$37</f>
        <v>Coque de forno de coque e coque de linhite</v>
      </c>
      <c r="C54" s="366">
        <f>SUMIF('Combustão Estacionária'!$C$58:$C$155,B54,'Combustão Estacionária'!$D$58:$D$155)</f>
        <v>0</v>
      </c>
      <c r="D54" s="522" t="str">
        <f>'Fatores de Emissão'!D37</f>
        <v>kg</v>
      </c>
      <c r="E54" s="459">
        <f>VLOOKUP($B54,'Fatores de Emissão'!$B$31:$Q$75,4,FALSE)</f>
        <v>28.35</v>
      </c>
      <c r="F54" s="459">
        <f>VLOOKUP($B54,'Fatores de Emissão'!$B$31:$Q$75,6,FALSE)*E54/1000000</f>
        <v>3.0334500000000002</v>
      </c>
      <c r="G54" s="523" t="str">
        <f>IF($F$45='Fatores de Emissão'!$J$30,'Fatores de Emissão'!J37*E54/1000000,IF($F$45='Fatores de Emissão'!$K$30,'Fatores de Emissão'!K37*E54/1000000,IF($F$45='Fatores de Emissão'!$L$30,'Fatores de Emissão'!L37*E54/1000000,IF($F$45='Fatores de Emissão'!$M$30,'Fatores de Emissão'!M37*E54/1000000,""))))</f>
        <v/>
      </c>
      <c r="H54" s="523" t="str">
        <f>IF($F$45='Fatores de Emissão'!$N$30,'Fatores de Emissão'!N37*E54/1000000,IF($F$45='Fatores de Emissão'!$O$30,'Fatores de Emissão'!O37*E54/1000000,IF($F$45='Fatores de Emissão'!$P$30,'Fatores de Emissão'!P37*E54/1000000,IF($F$45='Fatores de Emissão'!$Q$30,'Fatores de Emissão'!Q37*E54/1000000,""))))</f>
        <v/>
      </c>
      <c r="I54" s="457" t="str">
        <f t="shared" si="2"/>
        <v>-</v>
      </c>
      <c r="J54" s="457" t="str">
        <f t="shared" si="0"/>
        <v>-</v>
      </c>
      <c r="K54" s="457" t="str">
        <f t="shared" si="1"/>
        <v>-</v>
      </c>
      <c r="L54" s="524" t="str">
        <f>IF(C54=0,"-",I54*'Fatores de Emissão'!$E$252+FACE!J54*'Fatores de Emissão'!$E$248+FACE!K54*'Fatores de Emissão'!$E$249)</f>
        <v>-</v>
      </c>
      <c r="M54" s="366">
        <f>'Fatores de Emissão'!R37</f>
        <v>0</v>
      </c>
      <c r="N54" s="366">
        <f t="shared" si="3"/>
        <v>0</v>
      </c>
    </row>
    <row r="55" spans="1:14" s="314" customFormat="1" outlineLevel="1" x14ac:dyDescent="0.35">
      <c r="A55" s="471">
        <v>10</v>
      </c>
      <c r="B55" s="470" t="str">
        <f>'Fatores de Emissão'!$B$38</f>
        <v>Coque de Petróleo</v>
      </c>
      <c r="C55" s="366">
        <f>SUMIF('Combustão Estacionária'!$C$58:$C$155,B55,'Combustão Estacionária'!$D$58:$D$155)</f>
        <v>0</v>
      </c>
      <c r="D55" s="522" t="str">
        <f>'Fatores de Emissão'!D38</f>
        <v>kg</v>
      </c>
      <c r="E55" s="459">
        <f>VLOOKUP($B55,'Fatores de Emissão'!$B$31:$Q$75,4,FALSE)</f>
        <v>31.75</v>
      </c>
      <c r="F55" s="459">
        <f>VLOOKUP($B55,'Fatores de Emissão'!$B$31:$Q$75,6,FALSE)*E55/1000000</f>
        <v>3.0956250000000001</v>
      </c>
      <c r="G55" s="523" t="str">
        <f>IF($F$45='Fatores de Emissão'!$J$30,'Fatores de Emissão'!J38*E55/1000000,IF($F$45='Fatores de Emissão'!$K$30,'Fatores de Emissão'!K38*E55/1000000,IF($F$45='Fatores de Emissão'!$L$30,'Fatores de Emissão'!L38*E55/1000000,IF($F$45='Fatores de Emissão'!$M$30,'Fatores de Emissão'!M38*E55/1000000,""))))</f>
        <v/>
      </c>
      <c r="H55" s="523" t="str">
        <f>IF($F$45='Fatores de Emissão'!$N$30,'Fatores de Emissão'!N38*E55/1000000,IF($F$45='Fatores de Emissão'!$O$30,'Fatores de Emissão'!O38*E55/1000000,IF($F$45='Fatores de Emissão'!$P$30,'Fatores de Emissão'!P38*E55/1000000,IF($F$45='Fatores de Emissão'!$Q$30,'Fatores de Emissão'!Q38*E55/1000000,""))))</f>
        <v/>
      </c>
      <c r="I55" s="457" t="str">
        <f t="shared" si="2"/>
        <v>-</v>
      </c>
      <c r="J55" s="457" t="str">
        <f t="shared" si="0"/>
        <v>-</v>
      </c>
      <c r="K55" s="457" t="str">
        <f t="shared" si="1"/>
        <v>-</v>
      </c>
      <c r="L55" s="524" t="str">
        <f>IF(C55=0,"-",I55*'Fatores de Emissão'!$E$252+FACE!J55*'Fatores de Emissão'!$E$248+FACE!K55*'Fatores de Emissão'!$E$249)</f>
        <v>-</v>
      </c>
      <c r="M55" s="366">
        <f>'Fatores de Emissão'!R38</f>
        <v>0</v>
      </c>
      <c r="N55" s="366">
        <f t="shared" si="3"/>
        <v>0</v>
      </c>
    </row>
    <row r="56" spans="1:14" s="314" customFormat="1" outlineLevel="1" x14ac:dyDescent="0.35">
      <c r="A56" s="471">
        <v>11</v>
      </c>
      <c r="B56" s="470" t="str">
        <f>'Fatores de Emissão'!$B$39</f>
        <v>Etano</v>
      </c>
      <c r="C56" s="366">
        <f>SUMIF('Combustão Estacionária'!$C$58:$C$155,B56,'Combustão Estacionária'!$D$58:$D$155)</f>
        <v>0</v>
      </c>
      <c r="D56" s="522" t="str">
        <f>'Fatores de Emissão'!D39</f>
        <v>kg</v>
      </c>
      <c r="E56" s="459">
        <f>VLOOKUP($B56,'Fatores de Emissão'!$B$31:$Q$75,4,FALSE)</f>
        <v>46.4</v>
      </c>
      <c r="F56" s="459">
        <f>VLOOKUP($B56,'Fatores de Emissão'!$B$31:$Q$75,6,FALSE)*E56/1000000</f>
        <v>2.8582399999999999</v>
      </c>
      <c r="G56" s="523" t="str">
        <f>IF($F$45='Fatores de Emissão'!$J$30,'Fatores de Emissão'!J39*E56/1000000,IF($F$45='Fatores de Emissão'!$K$30,'Fatores de Emissão'!K39*E56/1000000,IF($F$45='Fatores de Emissão'!$L$30,'Fatores de Emissão'!L39*E56/1000000,IF($F$45='Fatores de Emissão'!$M$30,'Fatores de Emissão'!M39*E56/1000000,""))))</f>
        <v/>
      </c>
      <c r="H56" s="523" t="str">
        <f>IF($F$45='Fatores de Emissão'!$N$30,'Fatores de Emissão'!N39*E56/1000000,IF($F$45='Fatores de Emissão'!$O$30,'Fatores de Emissão'!O39*E56/1000000,IF($F$45='Fatores de Emissão'!$P$30,'Fatores de Emissão'!P39*E56/1000000,IF($F$45='Fatores de Emissão'!$Q$30,'Fatores de Emissão'!Q39*E56/1000000,""))))</f>
        <v/>
      </c>
      <c r="I56" s="457" t="str">
        <f t="shared" si="2"/>
        <v>-</v>
      </c>
      <c r="J56" s="457" t="str">
        <f t="shared" si="0"/>
        <v>-</v>
      </c>
      <c r="K56" s="457" t="str">
        <f t="shared" si="1"/>
        <v>-</v>
      </c>
      <c r="L56" s="524" t="str">
        <f>IF(C56=0,"-",I56*'Fatores de Emissão'!$E$252+FACE!J56*'Fatores de Emissão'!$E$248+FACE!K56*'Fatores de Emissão'!$E$249)</f>
        <v>-</v>
      </c>
      <c r="M56" s="366">
        <f>'Fatores de Emissão'!R39</f>
        <v>0</v>
      </c>
      <c r="N56" s="366">
        <f t="shared" si="3"/>
        <v>0</v>
      </c>
    </row>
    <row r="57" spans="1:14" s="314" customFormat="1" outlineLevel="1" x14ac:dyDescent="0.35">
      <c r="A57" s="471">
        <v>12</v>
      </c>
      <c r="B57" s="470" t="str">
        <f>'Fatores de Emissão'!$B$40</f>
        <v>Fuelóleo</v>
      </c>
      <c r="C57" s="366">
        <f>SUMIF('Combustão Estacionária'!$C$58:$C$155,B57,'Combustão Estacionária'!$D$58:$D$155)</f>
        <v>0</v>
      </c>
      <c r="D57" s="522" t="str">
        <f>'Fatores de Emissão'!D40</f>
        <v>Litros</v>
      </c>
      <c r="E57" s="459">
        <f>VLOOKUP($B57,'Fatores de Emissão'!$B$31:$Q$75,4,FALSE)</f>
        <v>38.892800000000001</v>
      </c>
      <c r="F57" s="459">
        <f>VLOOKUP($B57,'Fatores de Emissão'!$B$31:$Q$75,6,FALSE)*E57/1000000</f>
        <v>3.0064134399999998</v>
      </c>
      <c r="G57" s="523" t="str">
        <f>IF($F$45='Fatores de Emissão'!$J$30,'Fatores de Emissão'!J40*E57/1000000,IF($F$45='Fatores de Emissão'!$K$30,'Fatores de Emissão'!K40*E57/1000000,IF($F$45='Fatores de Emissão'!$L$30,'Fatores de Emissão'!L40*E57/1000000,IF($F$45='Fatores de Emissão'!$M$30,'Fatores de Emissão'!M40*E57/1000000,""))))</f>
        <v/>
      </c>
      <c r="H57" s="523" t="str">
        <f>IF($F$45='Fatores de Emissão'!$N$30,'Fatores de Emissão'!N40*E57/1000000,IF($F$45='Fatores de Emissão'!$O$30,'Fatores de Emissão'!O40*E57/1000000,IF($F$45='Fatores de Emissão'!$P$30,'Fatores de Emissão'!P40*E57/1000000,IF($F$45='Fatores de Emissão'!$Q$30,'Fatores de Emissão'!Q40*E57/1000000,""))))</f>
        <v/>
      </c>
      <c r="I57" s="457" t="str">
        <f t="shared" si="2"/>
        <v>-</v>
      </c>
      <c r="J57" s="457" t="str">
        <f t="shared" si="0"/>
        <v>-</v>
      </c>
      <c r="K57" s="457" t="str">
        <f t="shared" si="1"/>
        <v>-</v>
      </c>
      <c r="L57" s="524" t="str">
        <f>IF(C57=0,"-",I57*'Fatores de Emissão'!$E$252+FACE!J57*'Fatores de Emissão'!$E$248+FACE!K57*'Fatores de Emissão'!$E$249)</f>
        <v>-</v>
      </c>
      <c r="M57" s="366">
        <f>'Fatores de Emissão'!R40</f>
        <v>2.2411459459459466E-6</v>
      </c>
      <c r="N57" s="366">
        <f t="shared" si="3"/>
        <v>0</v>
      </c>
    </row>
    <row r="58" spans="1:14" s="314" customFormat="1" outlineLevel="1" x14ac:dyDescent="0.35">
      <c r="A58" s="471">
        <v>13</v>
      </c>
      <c r="B58" s="470" t="str">
        <f>'Fatores de Emissão'!$B$41</f>
        <v>Gás de Alto Forno</v>
      </c>
      <c r="C58" s="366">
        <f>SUMIF('Combustão Estacionária'!$C$58:$C$155,B58,'Combustão Estacionária'!$D$58:$D$155)</f>
        <v>0</v>
      </c>
      <c r="D58" s="522" t="str">
        <f>'Fatores de Emissão'!D41</f>
        <v>kg</v>
      </c>
      <c r="E58" s="459">
        <f>VLOOKUP($B58,'Fatores de Emissão'!$B$31:$Q$75,4,FALSE)</f>
        <v>2.5</v>
      </c>
      <c r="F58" s="459">
        <f>VLOOKUP($B58,'Fatores de Emissão'!$B$31:$Q$75,6,FALSE)*E58/1000000</f>
        <v>0.64849999999999985</v>
      </c>
      <c r="G58" s="523" t="str">
        <f>IF($F$45='Fatores de Emissão'!$J$30,'Fatores de Emissão'!J41*E58/1000000,IF($F$45='Fatores de Emissão'!$K$30,'Fatores de Emissão'!K41*E58/1000000,IF($F$45='Fatores de Emissão'!$L$30,'Fatores de Emissão'!L41*E58/1000000,IF($F$45='Fatores de Emissão'!$M$30,'Fatores de Emissão'!M41*E58/1000000,""))))</f>
        <v/>
      </c>
      <c r="H58" s="523" t="str">
        <f>IF($F$45='Fatores de Emissão'!$N$30,'Fatores de Emissão'!N41*E58/1000000,IF($F$45='Fatores de Emissão'!$O$30,'Fatores de Emissão'!O41*E58/1000000,IF($F$45='Fatores de Emissão'!$P$30,'Fatores de Emissão'!P41*E58/1000000,IF($F$45='Fatores de Emissão'!$Q$30,'Fatores de Emissão'!Q41*E58/1000000,""))))</f>
        <v/>
      </c>
      <c r="I58" s="457" t="str">
        <f t="shared" si="2"/>
        <v>-</v>
      </c>
      <c r="J58" s="457" t="str">
        <f t="shared" si="0"/>
        <v>-</v>
      </c>
      <c r="K58" s="457" t="str">
        <f t="shared" si="1"/>
        <v>-</v>
      </c>
      <c r="L58" s="524" t="str">
        <f>IF(C58=0,"-",I58*'Fatores de Emissão'!$E$252+FACE!J58*'Fatores de Emissão'!$E$248+FACE!K58*'Fatores de Emissão'!$E$249)</f>
        <v>-</v>
      </c>
      <c r="M58" s="366">
        <f>'Fatores de Emissão'!R41</f>
        <v>0</v>
      </c>
      <c r="N58" s="366">
        <f t="shared" si="3"/>
        <v>0</v>
      </c>
    </row>
    <row r="59" spans="1:14" s="314" customFormat="1" outlineLevel="1" x14ac:dyDescent="0.35">
      <c r="A59" s="471">
        <v>14</v>
      </c>
      <c r="B59" s="470" t="str">
        <f>'Fatores de Emissão'!$B$42</f>
        <v xml:space="preserve">Gás de Coqueria </v>
      </c>
      <c r="C59" s="366">
        <f>SUMIF('Combustão Estacionária'!$C$58:$C$155,B59,'Combustão Estacionária'!$D$58:$D$155)</f>
        <v>0</v>
      </c>
      <c r="D59" s="522" t="str">
        <f>'Fatores de Emissão'!D42</f>
        <v>kg</v>
      </c>
      <c r="E59" s="459">
        <f>VLOOKUP($B59,'Fatores de Emissão'!$B$31:$Q$75,4,FALSE)</f>
        <v>38.700000000000003</v>
      </c>
      <c r="F59" s="459">
        <f>VLOOKUP($B59,'Fatores de Emissão'!$B$31:$Q$75,6,FALSE)*E59/1000000</f>
        <v>1.7298900000000001</v>
      </c>
      <c r="G59" s="523" t="str">
        <f>IF($F$45='Fatores de Emissão'!$J$30,'Fatores de Emissão'!J42*E59/1000000,IF($F$45='Fatores de Emissão'!$K$30,'Fatores de Emissão'!K42*E59/1000000,IF($F$45='Fatores de Emissão'!$L$30,'Fatores de Emissão'!L42*E59/1000000,IF($F$45='Fatores de Emissão'!$M$30,'Fatores de Emissão'!M42*E59/1000000,""))))</f>
        <v/>
      </c>
      <c r="H59" s="523" t="str">
        <f>IF($F$45='Fatores de Emissão'!$N$30,'Fatores de Emissão'!N42*E59/1000000,IF($F$45='Fatores de Emissão'!$O$30,'Fatores de Emissão'!O42*E59/1000000,IF($F$45='Fatores de Emissão'!$P$30,'Fatores de Emissão'!P42*E59/1000000,IF($F$45='Fatores de Emissão'!$Q$30,'Fatores de Emissão'!Q42*E59/1000000,""))))</f>
        <v/>
      </c>
      <c r="I59" s="457" t="str">
        <f t="shared" si="2"/>
        <v>-</v>
      </c>
      <c r="J59" s="457" t="str">
        <f t="shared" si="0"/>
        <v>-</v>
      </c>
      <c r="K59" s="457" t="str">
        <f t="shared" si="1"/>
        <v>-</v>
      </c>
      <c r="L59" s="524" t="str">
        <f>IF(C59=0,"-",I59*'Fatores de Emissão'!$E$252+FACE!J59*'Fatores de Emissão'!$E$248+FACE!K59*'Fatores de Emissão'!$E$249)</f>
        <v>-</v>
      </c>
      <c r="M59" s="366">
        <f>'Fatores de Emissão'!R42</f>
        <v>0</v>
      </c>
      <c r="N59" s="366">
        <f t="shared" si="3"/>
        <v>0</v>
      </c>
    </row>
    <row r="60" spans="1:14" s="314" customFormat="1" ht="31" outlineLevel="1" x14ac:dyDescent="0.35">
      <c r="A60" s="471">
        <v>15</v>
      </c>
      <c r="B60" s="470" t="str">
        <f>'Fatores de Emissão'!$B$43</f>
        <v>Gás produzido em fábricas</v>
      </c>
      <c r="C60" s="366">
        <f>SUMIF('Combustão Estacionária'!$C$58:$C$155,B60,'Combustão Estacionária'!$D$58:$D$155)</f>
        <v>0</v>
      </c>
      <c r="D60" s="522" t="str">
        <f>'Fatores de Emissão'!D43</f>
        <v>kg</v>
      </c>
      <c r="E60" s="459">
        <f>VLOOKUP($B60,'Fatores de Emissão'!$B$31:$Q$75,4,FALSE)</f>
        <v>38.700000000000003</v>
      </c>
      <c r="F60" s="459">
        <f>VLOOKUP($B60,'Fatores de Emissão'!$B$31:$Q$75,6,FALSE)*E60/1000000</f>
        <v>1.7298900000000001</v>
      </c>
      <c r="G60" s="523" t="str">
        <f>IF($F$45='Fatores de Emissão'!$J$30,'Fatores de Emissão'!J43*E60/1000000,IF($F$45='Fatores de Emissão'!$K$30,'Fatores de Emissão'!K43*E60/1000000,IF($F$45='Fatores de Emissão'!$L$30,'Fatores de Emissão'!L43*E60/1000000,IF($F$45='Fatores de Emissão'!$M$30,'Fatores de Emissão'!M43*E60/1000000,""))))</f>
        <v/>
      </c>
      <c r="H60" s="523" t="str">
        <f>IF($F$45='Fatores de Emissão'!$N$30,'Fatores de Emissão'!N43*E60/1000000,IF($F$45='Fatores de Emissão'!$O$30,'Fatores de Emissão'!O43*E60/1000000,IF($F$45='Fatores de Emissão'!$P$30,'Fatores de Emissão'!P43*E60/1000000,IF($F$45='Fatores de Emissão'!$Q$30,'Fatores de Emissão'!Q43*E60/1000000,""))))</f>
        <v/>
      </c>
      <c r="I60" s="457" t="str">
        <f t="shared" si="2"/>
        <v>-</v>
      </c>
      <c r="J60" s="457" t="str">
        <f t="shared" si="0"/>
        <v>-</v>
      </c>
      <c r="K60" s="457" t="str">
        <f t="shared" si="1"/>
        <v>-</v>
      </c>
      <c r="L60" s="524" t="str">
        <f>IF(C60=0,"-",I60*'Fatores de Emissão'!$E$252+FACE!J60*'Fatores de Emissão'!$E$248+FACE!K60*'Fatores de Emissão'!$E$249)</f>
        <v>-</v>
      </c>
      <c r="M60" s="366">
        <f>'Fatores de Emissão'!R43</f>
        <v>0</v>
      </c>
      <c r="N60" s="366">
        <f t="shared" si="3"/>
        <v>0</v>
      </c>
    </row>
    <row r="61" spans="1:14" s="314" customFormat="1" ht="31" outlineLevel="1" x14ac:dyDescent="0.35">
      <c r="A61" s="471">
        <v>16</v>
      </c>
      <c r="B61" s="470" t="str">
        <f>'Fatores de Emissão'!$B$44</f>
        <v>Gás de forno de aciaria de oxigénio</v>
      </c>
      <c r="C61" s="366">
        <f>SUMIF('Combustão Estacionária'!$C$58:$C$155,B61,'Combustão Estacionária'!$D$58:$D$155)</f>
        <v>0</v>
      </c>
      <c r="D61" s="522" t="str">
        <f>'Fatores de Emissão'!D44</f>
        <v>kg</v>
      </c>
      <c r="E61" s="459">
        <f>VLOOKUP($B61,'Fatores de Emissão'!$B$31:$Q$75,4,FALSE)</f>
        <v>7.1</v>
      </c>
      <c r="F61" s="459">
        <f>VLOOKUP($B61,'Fatores de Emissão'!$B$31:$Q$75,6,FALSE)*E61/1000000</f>
        <v>1.2197800000000001</v>
      </c>
      <c r="G61" s="523" t="str">
        <f>IF($F$45='Fatores de Emissão'!$J$30,'Fatores de Emissão'!J44*E61/1000000,IF($F$45='Fatores de Emissão'!$K$30,'Fatores de Emissão'!K44*E61/1000000,IF($F$45='Fatores de Emissão'!$L$30,'Fatores de Emissão'!L44*E61/1000000,IF($F$45='Fatores de Emissão'!$M$30,'Fatores de Emissão'!M44*E61/1000000,""))))</f>
        <v/>
      </c>
      <c r="H61" s="523" t="str">
        <f>IF($F$45='Fatores de Emissão'!$N$30,'Fatores de Emissão'!N44*E61/1000000,IF($F$45='Fatores de Emissão'!$O$30,'Fatores de Emissão'!O44*E61/1000000,IF($F$45='Fatores de Emissão'!$P$30,'Fatores de Emissão'!P44*E61/1000000,IF($F$45='Fatores de Emissão'!$Q$30,'Fatores de Emissão'!Q44*E61/1000000,""))))</f>
        <v/>
      </c>
      <c r="I61" s="457" t="str">
        <f t="shared" si="2"/>
        <v>-</v>
      </c>
      <c r="J61" s="457" t="str">
        <f t="shared" si="0"/>
        <v>-</v>
      </c>
      <c r="K61" s="457" t="str">
        <f t="shared" si="1"/>
        <v>-</v>
      </c>
      <c r="L61" s="524" t="str">
        <f>IF(C61=0,"-",I61*'Fatores de Emissão'!$E$252+FACE!J61*'Fatores de Emissão'!$E$248+FACE!K61*'Fatores de Emissão'!$E$249)</f>
        <v>-</v>
      </c>
      <c r="M61" s="366">
        <f>'Fatores de Emissão'!R44</f>
        <v>0</v>
      </c>
      <c r="N61" s="366">
        <f t="shared" si="3"/>
        <v>0</v>
      </c>
    </row>
    <row r="62" spans="1:14" s="314" customFormat="1" ht="31" outlineLevel="1" x14ac:dyDescent="0.35">
      <c r="A62" s="471">
        <v>17</v>
      </c>
      <c r="B62" s="470" t="str">
        <f>'Fatores de Emissão'!$B$45</f>
        <v>GPL - Gás de Petróleo Liquefeito</v>
      </c>
      <c r="C62" s="366">
        <f>SUMIF('Combustão Estacionária'!$C$58:$C$155,B62,'Combustão Estacionária'!$D$58:$D$155)</f>
        <v>0</v>
      </c>
      <c r="D62" s="522" t="str">
        <f>'Fatores de Emissão'!D45</f>
        <v>Litros</v>
      </c>
      <c r="E62" s="459">
        <f>VLOOKUP($B62,'Fatores de Emissão'!$B$31:$Q$75,4,FALSE)</f>
        <v>23.418299999999999</v>
      </c>
      <c r="F62" s="459">
        <f>VLOOKUP($B62,'Fatores de Emissão'!$B$31:$Q$75,6,FALSE)*E62/1000000</f>
        <v>1.4753528999999999</v>
      </c>
      <c r="G62" s="523" t="str">
        <f>IF($F$45='Fatores de Emissão'!$J$30,'Fatores de Emissão'!J45*E62/1000000,IF($F$45='Fatores de Emissão'!$K$30,'Fatores de Emissão'!K45*E62/1000000,IF($F$45='Fatores de Emissão'!$L$30,'Fatores de Emissão'!L45*E62/1000000,IF($F$45='Fatores de Emissão'!$M$30,'Fatores de Emissão'!M45*E62/1000000,""))))</f>
        <v/>
      </c>
      <c r="H62" s="523" t="str">
        <f>IF($F$45='Fatores de Emissão'!$N$30,'Fatores de Emissão'!N45*E62/1000000,IF($F$45='Fatores de Emissão'!$O$30,'Fatores de Emissão'!O45*E62/1000000,IF($F$45='Fatores de Emissão'!$P$30,'Fatores de Emissão'!P45*E62/1000000,IF($F$45='Fatores de Emissão'!$Q$30,'Fatores de Emissão'!Q45*E62/1000000,""))))</f>
        <v/>
      </c>
      <c r="I62" s="457" t="str">
        <f t="shared" si="2"/>
        <v>-</v>
      </c>
      <c r="J62" s="457" t="str">
        <f t="shared" si="0"/>
        <v>-</v>
      </c>
      <c r="K62" s="457" t="str">
        <f t="shared" si="1"/>
        <v>-</v>
      </c>
      <c r="L62" s="524" t="str">
        <f>IF(C62=0,"-",I62*'Fatores de Emissão'!$E$252+FACE!J62*'Fatores de Emissão'!$E$248+FACE!K62*'Fatores de Emissão'!$E$249)</f>
        <v>-</v>
      </c>
      <c r="M62" s="366">
        <f>'Fatores de Emissão'!R45</f>
        <v>2.2411459459459466E-6</v>
      </c>
      <c r="N62" s="366">
        <f t="shared" si="3"/>
        <v>0</v>
      </c>
    </row>
    <row r="63" spans="1:14" s="314" customFormat="1" ht="31" outlineLevel="1" x14ac:dyDescent="0.35">
      <c r="A63" s="471">
        <v>18</v>
      </c>
      <c r="B63" s="470" t="str">
        <f>'Fatores de Emissão'!$B$46</f>
        <v>Gás de Refinaria (não liquefeito)</v>
      </c>
      <c r="C63" s="366">
        <f>SUMIF('Combustão Estacionária'!$C$58:$C$155,B63,'Combustão Estacionária'!$D$58:$D$155)</f>
        <v>0</v>
      </c>
      <c r="D63" s="522" t="str">
        <f>'Fatores de Emissão'!D46</f>
        <v>kg</v>
      </c>
      <c r="E63" s="459">
        <f>VLOOKUP($B63,'Fatores de Emissão'!$B$31:$Q$75,4,FALSE)</f>
        <v>49.5</v>
      </c>
      <c r="F63" s="459">
        <f>VLOOKUP($B63,'Fatores de Emissão'!$B$31:$Q$75,6,FALSE)*E63/1000000</f>
        <v>2.5393500000000002</v>
      </c>
      <c r="G63" s="523" t="str">
        <f>IF($F$45='Fatores de Emissão'!$J$30,'Fatores de Emissão'!J46*E63/1000000,IF($F$45='Fatores de Emissão'!$K$30,'Fatores de Emissão'!K46*E63/1000000,IF($F$45='Fatores de Emissão'!$L$30,'Fatores de Emissão'!L46*E63/1000000,IF($F$45='Fatores de Emissão'!$M$30,'Fatores de Emissão'!M46*E63/1000000,""))))</f>
        <v/>
      </c>
      <c r="H63" s="523" t="str">
        <f>IF($F$45='Fatores de Emissão'!$N$30,'Fatores de Emissão'!N46*E63/1000000,IF($F$45='Fatores de Emissão'!$O$30,'Fatores de Emissão'!O46*E63/1000000,IF($F$45='Fatores de Emissão'!$P$30,'Fatores de Emissão'!P46*E63/1000000,IF($F$45='Fatores de Emissão'!$Q$30,'Fatores de Emissão'!Q46*E63/1000000,""))))</f>
        <v/>
      </c>
      <c r="I63" s="457" t="str">
        <f t="shared" si="2"/>
        <v>-</v>
      </c>
      <c r="J63" s="457" t="str">
        <f t="shared" si="0"/>
        <v>-</v>
      </c>
      <c r="K63" s="457" t="str">
        <f t="shared" si="1"/>
        <v>-</v>
      </c>
      <c r="L63" s="524" t="str">
        <f>IF(C63=0,"-",I63*'Fatores de Emissão'!$E$252+FACE!J63*'Fatores de Emissão'!$E$248+FACE!K63*'Fatores de Emissão'!$E$249)</f>
        <v>-</v>
      </c>
      <c r="M63" s="366">
        <f>'Fatores de Emissão'!R46</f>
        <v>0</v>
      </c>
      <c r="N63" s="366">
        <f t="shared" si="3"/>
        <v>0</v>
      </c>
    </row>
    <row r="64" spans="1:14" s="314" customFormat="1" outlineLevel="1" x14ac:dyDescent="0.35">
      <c r="A64" s="471">
        <v>19</v>
      </c>
      <c r="B64" s="470" t="str">
        <f>'Fatores de Emissão'!$B$47</f>
        <v>Gás Natural</v>
      </c>
      <c r="C64" s="366">
        <f>SUMIF('Combustão Estacionária'!$C$58:$C$155,B64,'Combustão Estacionária'!$D$58:$D$155)</f>
        <v>0</v>
      </c>
      <c r="D64" s="522" t="str">
        <f>'Fatores de Emissão'!D47</f>
        <v>m3</v>
      </c>
      <c r="E64" s="459">
        <f>VLOOKUP($B64,'Fatores de Emissão'!$B$31:$Q$75,4,FALSE)</f>
        <v>37.90204</v>
      </c>
      <c r="F64" s="459">
        <f>VLOOKUP($B64,'Fatores de Emissão'!$B$31:$Q$75,6,FALSE)*E64/1000000</f>
        <v>2.4295207639999994</v>
      </c>
      <c r="G64" s="523" t="str">
        <f>IF($F$45='Fatores de Emissão'!$J$30,'Fatores de Emissão'!J47*E64/1000000,IF($F$45='Fatores de Emissão'!$K$30,'Fatores de Emissão'!K47*E64/1000000,IF($F$45='Fatores de Emissão'!$L$30,'Fatores de Emissão'!L47*E64/1000000,IF($F$45='Fatores de Emissão'!$M$30,'Fatores de Emissão'!M47*E64/1000000,""))))</f>
        <v/>
      </c>
      <c r="H64" s="523" t="str">
        <f>IF($F$45='Fatores de Emissão'!$N$30,'Fatores de Emissão'!N47*E64/1000000,IF($F$45='Fatores de Emissão'!$O$30,'Fatores de Emissão'!O47*E64/1000000,IF($F$45='Fatores de Emissão'!$P$30,'Fatores de Emissão'!P47*E64/1000000,IF($F$45='Fatores de Emissão'!$Q$30,'Fatores de Emissão'!Q47*E64/1000000,""))))</f>
        <v/>
      </c>
      <c r="I64" s="457" t="str">
        <f t="shared" si="2"/>
        <v>-</v>
      </c>
      <c r="J64" s="457" t="str">
        <f t="shared" si="0"/>
        <v>-</v>
      </c>
      <c r="K64" s="457" t="str">
        <f t="shared" si="1"/>
        <v>-</v>
      </c>
      <c r="L64" s="524" t="str">
        <f>IF(C64=0,"-",I64*'Fatores de Emissão'!$E$252+FACE!J64*'Fatores de Emissão'!$E$248+FACE!K64*'Fatores de Emissão'!$E$249)</f>
        <v>-</v>
      </c>
      <c r="M64" s="366">
        <f>'Fatores de Emissão'!R47</f>
        <v>1.759262433046875E-5</v>
      </c>
      <c r="N64" s="366">
        <f t="shared" si="3"/>
        <v>0</v>
      </c>
    </row>
    <row r="65" spans="1:14" s="314" customFormat="1" ht="31" outlineLevel="1" x14ac:dyDescent="0.35">
      <c r="A65" s="471">
        <v>20</v>
      </c>
      <c r="B65" s="470" t="str">
        <f>'Fatores de Emissão'!$B$48</f>
        <v>Gás Natural (superior a 93% de metano)</v>
      </c>
      <c r="C65" s="366">
        <f>SUMIF('Combustão Estacionária'!$C$58:$C$155,B65,'Combustão Estacionária'!$D$58:$D$155)</f>
        <v>0</v>
      </c>
      <c r="D65" s="522" t="str">
        <f>'Fatores de Emissão'!D48</f>
        <v>m³</v>
      </c>
      <c r="E65" s="459">
        <f>VLOOKUP($B65,'Fatores de Emissão'!$B$31:$Q$75,4,FALSE)</f>
        <v>40.003040000000006</v>
      </c>
      <c r="F65" s="459">
        <f>VLOOKUP($B65,'Fatores de Emissão'!$B$31:$Q$75,6,FALSE)*E65/1000000</f>
        <v>2.2441705440000002</v>
      </c>
      <c r="G65" s="523" t="str">
        <f>IF($F$45='Fatores de Emissão'!$J$30,'Fatores de Emissão'!J48*E65/1000000,IF($F$45='Fatores de Emissão'!$K$30,'Fatores de Emissão'!K48*E65/1000000,IF($F$45='Fatores de Emissão'!$L$30,'Fatores de Emissão'!L48*E65/1000000,IF($F$45='Fatores de Emissão'!$M$30,'Fatores de Emissão'!M48*E65/1000000,""))))</f>
        <v/>
      </c>
      <c r="H65" s="523" t="str">
        <f>IF($F$45='Fatores de Emissão'!$N$30,'Fatores de Emissão'!N48*E65/1000000,IF($F$45='Fatores de Emissão'!$O$30,'Fatores de Emissão'!O48*E65/1000000,IF($F$45='Fatores de Emissão'!$P$30,'Fatores de Emissão'!P48*E65/1000000,IF($F$45='Fatores de Emissão'!$Q$30,'Fatores de Emissão'!Q48*E65/1000000,""))))</f>
        <v/>
      </c>
      <c r="I65" s="457" t="str">
        <f t="shared" si="2"/>
        <v>-</v>
      </c>
      <c r="J65" s="457" t="str">
        <f t="shared" si="0"/>
        <v>-</v>
      </c>
      <c r="K65" s="457" t="str">
        <f t="shared" si="1"/>
        <v>-</v>
      </c>
      <c r="L65" s="524" t="str">
        <f>IF(C65=0,"-",I65*'Fatores de Emissão'!$E$252+FACE!J65*'Fatores de Emissão'!$E$248+FACE!K65*'Fatores de Emissão'!$E$249)</f>
        <v>-</v>
      </c>
      <c r="M65" s="366">
        <f>'Fatores de Emissão'!R48</f>
        <v>1.759262433046875E-5</v>
      </c>
      <c r="N65" s="366">
        <f t="shared" si="3"/>
        <v>0</v>
      </c>
    </row>
    <row r="66" spans="1:14" s="314" customFormat="1" ht="31" outlineLevel="1" x14ac:dyDescent="0.35">
      <c r="A66" s="471">
        <v>21</v>
      </c>
      <c r="B66" s="470" t="str">
        <f>'Fatores de Emissão'!$B$49</f>
        <v>LGN - Gás Natural Liquefeito</v>
      </c>
      <c r="C66" s="366">
        <f>SUMIF('Combustão Estacionária'!$C$58:$C$155,B66,'Combustão Estacionária'!$D$58:$D$155)</f>
        <v>0</v>
      </c>
      <c r="D66" s="522" t="str">
        <f>'Fatores de Emissão'!D49</f>
        <v>kg</v>
      </c>
      <c r="E66" s="459">
        <f>VLOOKUP($B66,'Fatores de Emissão'!$B$31:$Q$75,4,FALSE)</f>
        <v>44.7</v>
      </c>
      <c r="F66" s="459">
        <f>VLOOKUP($B66,'Fatores de Emissão'!$B$31:$Q$75,6,FALSE)*E66/1000000</f>
        <v>2.8652700000000002</v>
      </c>
      <c r="G66" s="523" t="str">
        <f>IF($F$45='Fatores de Emissão'!$J$30,'Fatores de Emissão'!J49*E66/1000000,IF($F$45='Fatores de Emissão'!$K$30,'Fatores de Emissão'!K49*E66/1000000,IF($F$45='Fatores de Emissão'!$L$30,'Fatores de Emissão'!L49*E66/1000000,IF($F$45='Fatores de Emissão'!$M$30,'Fatores de Emissão'!M49*E66/1000000,""))))</f>
        <v/>
      </c>
      <c r="H66" s="523" t="str">
        <f>IF($F$45='Fatores de Emissão'!$N$30,'Fatores de Emissão'!N49*E66/1000000,IF($F$45='Fatores de Emissão'!$O$30,'Fatores de Emissão'!O49*E66/1000000,IF($F$45='Fatores de Emissão'!$P$30,'Fatores de Emissão'!P49*E66/1000000,IF($F$45='Fatores de Emissão'!$Q$30,'Fatores de Emissão'!Q49*E66/1000000,""))))</f>
        <v/>
      </c>
      <c r="I66" s="457" t="str">
        <f t="shared" si="2"/>
        <v>-</v>
      </c>
      <c r="J66" s="457" t="str">
        <f t="shared" si="0"/>
        <v>-</v>
      </c>
      <c r="K66" s="457" t="str">
        <f t="shared" si="1"/>
        <v>-</v>
      </c>
      <c r="L66" s="524" t="str">
        <f>IF(C66=0,"-",I66*'Fatores de Emissão'!$E$252+FACE!J66*'Fatores de Emissão'!$E$248+FACE!K66*'Fatores de Emissão'!$E$249)</f>
        <v>-</v>
      </c>
      <c r="M66" s="366">
        <f>'Fatores de Emissão'!R49</f>
        <v>0</v>
      </c>
      <c r="N66" s="366">
        <f t="shared" si="3"/>
        <v>0</v>
      </c>
    </row>
    <row r="67" spans="1:14" s="314" customFormat="1" ht="31" outlineLevel="1" x14ac:dyDescent="0.35">
      <c r="A67" s="471">
        <v>22</v>
      </c>
      <c r="B67" s="470" t="str">
        <f>'Fatores de Emissão'!$B$50</f>
        <v>Gasóleo / óleo diesel (fuelóleo destilado)</v>
      </c>
      <c r="C67" s="366">
        <f>SUMIF('Combustão Estacionária'!$C$58:$C$155,B67,'Combustão Estacionária'!$D$58:$D$155)</f>
        <v>0</v>
      </c>
      <c r="D67" s="522" t="str">
        <f>'Fatores de Emissão'!D50</f>
        <v>Litros</v>
      </c>
      <c r="E67" s="459">
        <f>VLOOKUP($B67,'Fatores de Emissão'!$B$31:$Q$75,4,FALSE)</f>
        <v>35.823599999999999</v>
      </c>
      <c r="F67" s="459">
        <f>VLOOKUP($B67,'Fatores de Emissão'!$B$31:$Q$75,6,FALSE)*E67/1000000</f>
        <v>2.6509464</v>
      </c>
      <c r="G67" s="523" t="str">
        <f>IF($F$45='Fatores de Emissão'!$J$30,'Fatores de Emissão'!J50*E67/1000000,IF($F$45='Fatores de Emissão'!$K$30,'Fatores de Emissão'!K50*E67/1000000,IF($F$45='Fatores de Emissão'!$L$30,'Fatores de Emissão'!L50*E67/1000000,IF($F$45='Fatores de Emissão'!$M$30,'Fatores de Emissão'!M50*E67/1000000,""))))</f>
        <v/>
      </c>
      <c r="H67" s="523" t="str">
        <f>IF($F$45='Fatores de Emissão'!$N$30,'Fatores de Emissão'!N50*E67/1000000,IF($F$45='Fatores de Emissão'!$O$30,'Fatores de Emissão'!O50*E67/1000000,IF($F$45='Fatores de Emissão'!$P$30,'Fatores de Emissão'!P50*E67/1000000,IF($F$45='Fatores de Emissão'!$Q$30,'Fatores de Emissão'!Q50*E67/1000000,""))))</f>
        <v/>
      </c>
      <c r="I67" s="457" t="str">
        <f t="shared" si="2"/>
        <v>-</v>
      </c>
      <c r="J67" s="457" t="str">
        <f t="shared" si="0"/>
        <v>-</v>
      </c>
      <c r="K67" s="457" t="str">
        <f t="shared" si="1"/>
        <v>-</v>
      </c>
      <c r="L67" s="524" t="str">
        <f>IF(C67=0,"-",I67*'Fatores de Emissão'!$E$252+FACE!J67*'Fatores de Emissão'!$E$248+FACE!K67*'Fatores de Emissão'!$E$249)</f>
        <v>-</v>
      </c>
      <c r="M67" s="366">
        <f>'Fatores de Emissão'!R50</f>
        <v>2.2411459459459466E-6</v>
      </c>
      <c r="N67" s="366">
        <f t="shared" si="3"/>
        <v>0</v>
      </c>
    </row>
    <row r="68" spans="1:14" s="314" customFormat="1" outlineLevel="1" x14ac:dyDescent="0.35">
      <c r="A68" s="471">
        <v>23</v>
      </c>
      <c r="B68" s="470" t="str">
        <f>'Fatores de Emissão'!$B$52</f>
        <v>Gasolina de Aviação</v>
      </c>
      <c r="C68" s="366">
        <f>SUMIF('Combustão Estacionária'!$C$58:$C$155,B68,'Combustão Estacionária'!$D$58:$D$155)</f>
        <v>0</v>
      </c>
      <c r="D68" s="522" t="str">
        <f>'Fatores de Emissão'!D52</f>
        <v>Litros</v>
      </c>
      <c r="E68" s="459">
        <f>VLOOKUP($B68,'Fatores de Emissão'!$B$31:$Q$75,4,FALSE)</f>
        <v>33.114249999999998</v>
      </c>
      <c r="F68" s="459">
        <f>VLOOKUP($B68,'Fatores de Emissão'!$B$31:$Q$75,6,FALSE)*E68/1000000</f>
        <v>2.3179975000000002</v>
      </c>
      <c r="G68" s="523" t="str">
        <f>IF($F$45='Fatores de Emissão'!$J$30,'Fatores de Emissão'!J52*E68/1000000,IF($F$45='Fatores de Emissão'!$K$30,'Fatores de Emissão'!K52*E68/1000000,IF($F$45='Fatores de Emissão'!$L$30,'Fatores de Emissão'!L52*E68/1000000,IF($F$45='Fatores de Emissão'!$M$30,'Fatores de Emissão'!M52*E68/1000000,""))))</f>
        <v/>
      </c>
      <c r="H68" s="523" t="str">
        <f>IF($F$45='Fatores de Emissão'!$N$30,'Fatores de Emissão'!N52*E68/1000000,IF($F$45='Fatores de Emissão'!$O$30,'Fatores de Emissão'!O52*E68/1000000,IF($F$45='Fatores de Emissão'!$P$30,'Fatores de Emissão'!P52*E68/1000000,IF($F$45='Fatores de Emissão'!$Q$30,'Fatores de Emissão'!Q52*E68/1000000,""))))</f>
        <v/>
      </c>
      <c r="I68" s="457" t="str">
        <f t="shared" si="2"/>
        <v>-</v>
      </c>
      <c r="J68" s="457" t="str">
        <f t="shared" si="0"/>
        <v>-</v>
      </c>
      <c r="K68" s="457" t="str">
        <f t="shared" si="1"/>
        <v>-</v>
      </c>
      <c r="L68" s="524" t="str">
        <f>IF(C68=0,"-",I68*'Fatores de Emissão'!$E$252+FACE!J68*'Fatores de Emissão'!$E$248+FACE!K68*'Fatores de Emissão'!$E$249)</f>
        <v>-</v>
      </c>
      <c r="M68" s="366">
        <f>'Fatores de Emissão'!R52</f>
        <v>2.2411459459459466E-6</v>
      </c>
      <c r="N68" s="366">
        <f t="shared" si="3"/>
        <v>0</v>
      </c>
    </row>
    <row r="69" spans="1:14" s="314" customFormat="1" ht="46.5" outlineLevel="1" x14ac:dyDescent="0.35">
      <c r="A69" s="471">
        <v>24</v>
      </c>
      <c r="B69" s="470" t="str">
        <f>'Fatores de Emissão'!$B$53</f>
        <v>Gasolina tipo Jet Fuel (nafta tipo Jet Fuel ou JP4)</v>
      </c>
      <c r="C69" s="366">
        <f>SUMIF('Combustão Estacionária'!$C$58:$C$155,B69,'Combustão Estacionária'!$D$58:$D$155)</f>
        <v>0</v>
      </c>
      <c r="D69" s="522" t="str">
        <f>'Fatores de Emissão'!D53</f>
        <v>Litros</v>
      </c>
      <c r="E69" s="459">
        <f>VLOOKUP($B69,'Fatores de Emissão'!$B$31:$Q$75,4,FALSE)</f>
        <v>33.114249999999998</v>
      </c>
      <c r="F69" s="459">
        <f>VLOOKUP($B69,'Fatores de Emissão'!$B$31:$Q$75,6,FALSE)*E69/1000000</f>
        <v>2.3179975000000002</v>
      </c>
      <c r="G69" s="523" t="str">
        <f>IF($F$45='Fatores de Emissão'!$J$30,'Fatores de Emissão'!J53*E69/1000000,IF($F$45='Fatores de Emissão'!$K$30,'Fatores de Emissão'!K53*E69/1000000,IF($F$45='Fatores de Emissão'!$L$30,'Fatores de Emissão'!L53*E69/1000000,IF($F$45='Fatores de Emissão'!$M$30,'Fatores de Emissão'!M53*E69/1000000,""))))</f>
        <v/>
      </c>
      <c r="H69" s="523" t="str">
        <f>IF($F$45='Fatores de Emissão'!$N$30,'Fatores de Emissão'!N53*E69/1000000,IF($F$45='Fatores de Emissão'!$O$30,'Fatores de Emissão'!O53*E69/1000000,IF($F$45='Fatores de Emissão'!$P$30,'Fatores de Emissão'!P53*E69/1000000,IF($F$45='Fatores de Emissão'!$Q$30,'Fatores de Emissão'!Q53*E69/1000000,""))))</f>
        <v/>
      </c>
      <c r="I69" s="457" t="str">
        <f t="shared" si="2"/>
        <v>-</v>
      </c>
      <c r="J69" s="457" t="str">
        <f t="shared" si="0"/>
        <v>-</v>
      </c>
      <c r="K69" s="457" t="str">
        <f t="shared" si="1"/>
        <v>-</v>
      </c>
      <c r="L69" s="524" t="str">
        <f>IF(C69=0,"-",I69*'Fatores de Emissão'!$E$252+FACE!J69*'Fatores de Emissão'!$E$248+FACE!K69*'Fatores de Emissão'!$E$249)</f>
        <v>-</v>
      </c>
      <c r="M69" s="366">
        <f>'Fatores de Emissão'!R53</f>
        <v>2.2411459459459466E-6</v>
      </c>
      <c r="N69" s="366">
        <f t="shared" si="3"/>
        <v>0</v>
      </c>
    </row>
    <row r="70" spans="1:14" s="314" customFormat="1" outlineLevel="1" x14ac:dyDescent="0.35">
      <c r="A70" s="471">
        <v>25</v>
      </c>
      <c r="B70" s="470" t="str">
        <f>'Fatores de Emissão'!$B$54</f>
        <v>Linhite castanha</v>
      </c>
      <c r="C70" s="366">
        <f>SUMIF('Combustão Estacionária'!$C$58:$C$155,B70,'Combustão Estacionária'!$D$58:$D$155)</f>
        <v>0</v>
      </c>
      <c r="D70" s="522" t="str">
        <f>'Fatores de Emissão'!D54</f>
        <v>kg</v>
      </c>
      <c r="E70" s="459">
        <f>VLOOKUP($B70,'Fatores de Emissão'!$B$31:$Q$75,4,FALSE)</f>
        <v>8.0500000000000007</v>
      </c>
      <c r="F70" s="459">
        <f>VLOOKUP($B70,'Fatores de Emissão'!$B$31:$Q$75,6,FALSE)*E70/1000000</f>
        <v>0.81385500000000011</v>
      </c>
      <c r="G70" s="523" t="str">
        <f>IF($F$45='Fatores de Emissão'!$J$30,'Fatores de Emissão'!J54*E70/1000000,IF($F$45='Fatores de Emissão'!$K$30,'Fatores de Emissão'!K54*E70/1000000,IF($F$45='Fatores de Emissão'!$L$30,'Fatores de Emissão'!L54*E70/1000000,IF($F$45='Fatores de Emissão'!$M$30,'Fatores de Emissão'!M54*E70/1000000,""))))</f>
        <v/>
      </c>
      <c r="H70" s="523" t="str">
        <f>IF($F$45='Fatores de Emissão'!$N$30,'Fatores de Emissão'!N54*E70/1000000,IF($F$45='Fatores de Emissão'!$O$30,'Fatores de Emissão'!O54*E70/1000000,IF($F$45='Fatores de Emissão'!$P$30,'Fatores de Emissão'!P54*E70/1000000,IF($F$45='Fatores de Emissão'!$Q$30,'Fatores de Emissão'!Q54*E70/1000000,""))))</f>
        <v/>
      </c>
      <c r="I70" s="457" t="str">
        <f t="shared" si="2"/>
        <v>-</v>
      </c>
      <c r="J70" s="457" t="str">
        <f t="shared" si="0"/>
        <v>-</v>
      </c>
      <c r="K70" s="457" t="str">
        <f t="shared" si="1"/>
        <v>-</v>
      </c>
      <c r="L70" s="524" t="str">
        <f>IF(C70=0,"-",I70*'Fatores de Emissão'!$E$252+FACE!J70*'Fatores de Emissão'!$E$248+FACE!K70*'Fatores de Emissão'!$E$249)</f>
        <v>-</v>
      </c>
      <c r="M70" s="366">
        <f>'Fatores de Emissão'!R54</f>
        <v>0</v>
      </c>
      <c r="N70" s="366">
        <f t="shared" si="3"/>
        <v>0</v>
      </c>
    </row>
    <row r="71" spans="1:14" s="314" customFormat="1" outlineLevel="1" x14ac:dyDescent="0.35">
      <c r="A71" s="471">
        <v>26</v>
      </c>
      <c r="B71" s="470" t="str">
        <f>'Fatores de Emissão'!$B$55</f>
        <v>Linhite preta</v>
      </c>
      <c r="C71" s="366">
        <f>SUMIF('Combustão Estacionária'!$C$58:$C$155,B71,'Combustão Estacionária'!$D$58:$D$155)</f>
        <v>0</v>
      </c>
      <c r="D71" s="522" t="str">
        <f>'Fatores de Emissão'!D55</f>
        <v>kg</v>
      </c>
      <c r="E71" s="459">
        <f>VLOOKUP($B71,'Fatores de Emissão'!$B$31:$Q$75,4,FALSE)</f>
        <v>15.5</v>
      </c>
      <c r="F71" s="459">
        <f>VLOOKUP($B71,'Fatores de Emissão'!$B$31:$Q$75,6,FALSE)*E71/1000000</f>
        <v>1.5670500000000001</v>
      </c>
      <c r="G71" s="523" t="str">
        <f>IF($F$45='Fatores de Emissão'!$J$30,'Fatores de Emissão'!J55*E71/1000000,IF($F$45='Fatores de Emissão'!$K$30,'Fatores de Emissão'!K55*E71/1000000,IF($F$45='Fatores de Emissão'!$L$30,'Fatores de Emissão'!L55*E71/1000000,IF($F$45='Fatores de Emissão'!$M$30,'Fatores de Emissão'!M55*E71/1000000,""))))</f>
        <v/>
      </c>
      <c r="H71" s="523" t="str">
        <f>IF($F$45='Fatores de Emissão'!$N$30,'Fatores de Emissão'!N55*E71/1000000,IF($F$45='Fatores de Emissão'!$O$30,'Fatores de Emissão'!O55*E71/1000000,IF($F$45='Fatores de Emissão'!$P$30,'Fatores de Emissão'!P55*E71/1000000,IF($F$45='Fatores de Emissão'!$Q$30,'Fatores de Emissão'!Q55*E71/1000000,""))))</f>
        <v/>
      </c>
      <c r="I71" s="457" t="str">
        <f t="shared" si="2"/>
        <v>-</v>
      </c>
      <c r="J71" s="457" t="str">
        <f t="shared" si="0"/>
        <v>-</v>
      </c>
      <c r="K71" s="457" t="str">
        <f t="shared" si="1"/>
        <v>-</v>
      </c>
      <c r="L71" s="524" t="str">
        <f>IF(C71=0,"-",I71*'Fatores de Emissão'!$E$252+FACE!J71*'Fatores de Emissão'!$E$248+FACE!K71*'Fatores de Emissão'!$E$249)</f>
        <v>-</v>
      </c>
      <c r="M71" s="366">
        <f>'Fatores de Emissão'!R55</f>
        <v>0</v>
      </c>
      <c r="N71" s="366">
        <f t="shared" si="3"/>
        <v>0</v>
      </c>
    </row>
    <row r="72" spans="1:14" s="314" customFormat="1" outlineLevel="1" x14ac:dyDescent="0.35">
      <c r="A72" s="471">
        <v>27</v>
      </c>
      <c r="B72" s="470" t="str">
        <f>'Fatores de Emissão'!$B$56</f>
        <v>Lubrificantes</v>
      </c>
      <c r="C72" s="366">
        <f>SUMIF('Combustão Estacionária'!$C$58:$C$155,B72,'Combustão Estacionária'!$D$58:$D$155)</f>
        <v>0</v>
      </c>
      <c r="D72" s="522" t="str">
        <f>'Fatores de Emissão'!D56</f>
        <v>kg</v>
      </c>
      <c r="E72" s="459">
        <f>VLOOKUP($B72,'Fatores de Emissão'!$B$31:$Q$75,4,FALSE)</f>
        <v>40.200000000000003</v>
      </c>
      <c r="F72" s="459">
        <f>VLOOKUP($B72,'Fatores de Emissão'!$B$31:$Q$75,6,FALSE)*E72/1000000</f>
        <v>2.9466600000000001</v>
      </c>
      <c r="G72" s="523" t="str">
        <f>IF($F$45='Fatores de Emissão'!$J$30,'Fatores de Emissão'!J56*E72/1000000,IF($F$45='Fatores de Emissão'!$K$30,'Fatores de Emissão'!K56*E72/1000000,IF($F$45='Fatores de Emissão'!$L$30,'Fatores de Emissão'!L56*E72/1000000,IF($F$45='Fatores de Emissão'!$M$30,'Fatores de Emissão'!M56*E72/1000000,""))))</f>
        <v/>
      </c>
      <c r="H72" s="523" t="str">
        <f>IF($F$45='Fatores de Emissão'!$N$30,'Fatores de Emissão'!N56*E72/1000000,IF($F$45='Fatores de Emissão'!$O$30,'Fatores de Emissão'!O56*E72/1000000,IF($F$45='Fatores de Emissão'!$P$30,'Fatores de Emissão'!P56*E72/1000000,IF($F$45='Fatores de Emissão'!$Q$30,'Fatores de Emissão'!Q56*E72/1000000,""))))</f>
        <v/>
      </c>
      <c r="I72" s="457" t="str">
        <f t="shared" si="2"/>
        <v>-</v>
      </c>
      <c r="J72" s="457" t="str">
        <f t="shared" si="0"/>
        <v>-</v>
      </c>
      <c r="K72" s="457" t="str">
        <f t="shared" si="1"/>
        <v>-</v>
      </c>
      <c r="L72" s="524" t="str">
        <f>IF(C72=0,"-",I72*'Fatores de Emissão'!$E$252+FACE!J72*'Fatores de Emissão'!$E$248+FACE!K72*'Fatores de Emissão'!$E$249)</f>
        <v>-</v>
      </c>
      <c r="M72" s="366">
        <f>'Fatores de Emissão'!R56</f>
        <v>0</v>
      </c>
      <c r="N72" s="366">
        <f t="shared" si="3"/>
        <v>0</v>
      </c>
    </row>
    <row r="73" spans="1:14" s="314" customFormat="1" ht="31" outlineLevel="1" x14ac:dyDescent="0.35">
      <c r="A73" s="471">
        <v>28</v>
      </c>
      <c r="B73" s="470" t="str">
        <f>'Fatores de Emissão'!$B$57</f>
        <v>Matérias-primas para refinarias</v>
      </c>
      <c r="C73" s="366">
        <f>SUMIF('Combustão Estacionária'!$C$58:$C$155,B73,'Combustão Estacionária'!$D$58:$D$155)</f>
        <v>0</v>
      </c>
      <c r="D73" s="522" t="str">
        <f>'Fatores de Emissão'!D57</f>
        <v>kg</v>
      </c>
      <c r="E73" s="459">
        <f>VLOOKUP($B73,'Fatores de Emissão'!$B$31:$Q$75,4,FALSE)</f>
        <v>43</v>
      </c>
      <c r="F73" s="459">
        <f>VLOOKUP($B73,'Fatores de Emissão'!$B$31:$Q$75,6,FALSE)*E73/1000000</f>
        <v>3.1518999999999999</v>
      </c>
      <c r="G73" s="523" t="str">
        <f>IF($F$45='Fatores de Emissão'!$J$30,'Fatores de Emissão'!J57*E73/1000000,IF($F$45='Fatores de Emissão'!$K$30,'Fatores de Emissão'!K57*E73/1000000,IF($F$45='Fatores de Emissão'!$L$30,'Fatores de Emissão'!L57*E73/1000000,IF($F$45='Fatores de Emissão'!$M$30,'Fatores de Emissão'!M57*E73/1000000,""))))</f>
        <v/>
      </c>
      <c r="H73" s="523" t="str">
        <f>IF($F$45='Fatores de Emissão'!$N$30,'Fatores de Emissão'!N57*E73/1000000,IF($F$45='Fatores de Emissão'!$O$30,'Fatores de Emissão'!O57*E73/1000000,IF($F$45='Fatores de Emissão'!$P$30,'Fatores de Emissão'!P57*E73/1000000,IF($F$45='Fatores de Emissão'!$Q$30,'Fatores de Emissão'!Q57*E73/1000000,""))))</f>
        <v/>
      </c>
      <c r="I73" s="457" t="str">
        <f t="shared" si="2"/>
        <v>-</v>
      </c>
      <c r="J73" s="457" t="str">
        <f t="shared" si="0"/>
        <v>-</v>
      </c>
      <c r="K73" s="457" t="str">
        <f t="shared" si="1"/>
        <v>-</v>
      </c>
      <c r="L73" s="524" t="str">
        <f>IF(C73=0,"-",I73*'Fatores de Emissão'!$E$252+FACE!J73*'Fatores de Emissão'!$E$248+FACE!K73*'Fatores de Emissão'!$E$249)</f>
        <v>-</v>
      </c>
      <c r="M73" s="366">
        <f>'Fatores de Emissão'!R57</f>
        <v>0</v>
      </c>
      <c r="N73" s="366">
        <f t="shared" si="3"/>
        <v>0</v>
      </c>
    </row>
    <row r="74" spans="1:14" s="314" customFormat="1" outlineLevel="1" x14ac:dyDescent="0.35">
      <c r="A74" s="471">
        <v>29</v>
      </c>
      <c r="B74" s="470" t="str">
        <f>'Fatores de Emissão'!$B$58</f>
        <v xml:space="preserve">Nafta </v>
      </c>
      <c r="C74" s="366">
        <f>SUMIF('Combustão Estacionária'!$C$58:$C$155,B74,'Combustão Estacionária'!$D$58:$D$155)</f>
        <v>0</v>
      </c>
      <c r="D74" s="522" t="str">
        <f>'Fatores de Emissão'!D58</f>
        <v>Litros</v>
      </c>
      <c r="E74" s="459">
        <f>VLOOKUP($B74,'Fatores de Emissão'!$B$31:$Q$75,4,FALSE)</f>
        <v>33.375</v>
      </c>
      <c r="F74" s="459">
        <f>VLOOKUP($B74,'Fatores de Emissão'!$B$31:$Q$75,6,FALSE)*E74/1000000</f>
        <v>2.4463875000000002</v>
      </c>
      <c r="G74" s="523" t="str">
        <f>IF($F$45='Fatores de Emissão'!$J$30,'Fatores de Emissão'!J58*E74/1000000,IF($F$45='Fatores de Emissão'!$K$30,'Fatores de Emissão'!K58*E74/1000000,IF($F$45='Fatores de Emissão'!$L$30,'Fatores de Emissão'!L58*E74/1000000,IF($F$45='Fatores de Emissão'!$M$30,'Fatores de Emissão'!M58*E74/1000000,""))))</f>
        <v/>
      </c>
      <c r="H74" s="523" t="str">
        <f>IF($F$45='Fatores de Emissão'!$N$30,'Fatores de Emissão'!N58*E74/1000000,IF($F$45='Fatores de Emissão'!$O$30,'Fatores de Emissão'!O58*E74/1000000,IF($F$45='Fatores de Emissão'!$P$30,'Fatores de Emissão'!P58*E74/1000000,IF($F$45='Fatores de Emissão'!$Q$30,'Fatores de Emissão'!Q58*E74/1000000,""))))</f>
        <v/>
      </c>
      <c r="I74" s="457" t="str">
        <f t="shared" si="2"/>
        <v>-</v>
      </c>
      <c r="J74" s="457" t="str">
        <f t="shared" si="0"/>
        <v>-</v>
      </c>
      <c r="K74" s="457" t="str">
        <f t="shared" si="1"/>
        <v>-</v>
      </c>
      <c r="L74" s="524" t="str">
        <f>IF(C74=0,"-",I74*'Fatores de Emissão'!$E$252+FACE!J74*'Fatores de Emissão'!$E$248+FACE!K74*'Fatores de Emissão'!$E$249)</f>
        <v>-</v>
      </c>
      <c r="M74" s="366">
        <f>'Fatores de Emissão'!R58</f>
        <v>2.2411459459459466E-6</v>
      </c>
      <c r="N74" s="366">
        <f t="shared" si="3"/>
        <v>0</v>
      </c>
    </row>
    <row r="75" spans="1:14" s="314" customFormat="1" outlineLevel="1" x14ac:dyDescent="0.35">
      <c r="A75" s="471">
        <v>30</v>
      </c>
      <c r="B75" s="470" t="str">
        <f>'Fatores de Emissão'!$B$59</f>
        <v>Óleo de Xisto</v>
      </c>
      <c r="C75" s="366">
        <f>SUMIF('Combustão Estacionária'!$C$58:$C$155,B75,'Combustão Estacionária'!$D$58:$D$155)</f>
        <v>0</v>
      </c>
      <c r="D75" s="522" t="str">
        <f>'Fatores de Emissão'!D59</f>
        <v>kg</v>
      </c>
      <c r="E75" s="459">
        <f>VLOOKUP($B75,'Fatores de Emissão'!$B$31:$Q$75,4,FALSE)</f>
        <v>38.1</v>
      </c>
      <c r="F75" s="459">
        <f>VLOOKUP($B75,'Fatores de Emissão'!$B$31:$Q$75,6,FALSE)*E75/1000000</f>
        <v>2.7927300000000002</v>
      </c>
      <c r="G75" s="523" t="str">
        <f>IF($F$45='Fatores de Emissão'!$J$30,'Fatores de Emissão'!J59*E75/1000000,IF($F$45='Fatores de Emissão'!$K$30,'Fatores de Emissão'!K59*E75/1000000,IF($F$45='Fatores de Emissão'!$L$30,'Fatores de Emissão'!L59*E75/1000000,IF($F$45='Fatores de Emissão'!$M$30,'Fatores de Emissão'!M59*E75/1000000,""))))</f>
        <v/>
      </c>
      <c r="H75" s="523" t="str">
        <f>IF($F$45='Fatores de Emissão'!$N$30,'Fatores de Emissão'!N59*E75/1000000,IF($F$45='Fatores de Emissão'!$O$30,'Fatores de Emissão'!O59*E75/1000000,IF($F$45='Fatores de Emissão'!$P$30,'Fatores de Emissão'!P59*E75/1000000,IF($F$45='Fatores de Emissão'!$Q$30,'Fatores de Emissão'!Q59*E75/1000000,""))))</f>
        <v/>
      </c>
      <c r="I75" s="457" t="str">
        <f t="shared" si="2"/>
        <v>-</v>
      </c>
      <c r="J75" s="457" t="str">
        <f t="shared" si="0"/>
        <v>-</v>
      </c>
      <c r="K75" s="457" t="str">
        <f t="shared" si="1"/>
        <v>-</v>
      </c>
      <c r="L75" s="524" t="str">
        <f>IF(C75=0,"-",I75*'Fatores de Emissão'!$E$252+FACE!J75*'Fatores de Emissão'!$E$248+FACE!K75*'Fatores de Emissão'!$E$249)</f>
        <v>-</v>
      </c>
      <c r="M75" s="366">
        <f>'Fatores de Emissão'!R59</f>
        <v>0</v>
      </c>
      <c r="N75" s="366">
        <f t="shared" si="3"/>
        <v>0</v>
      </c>
    </row>
    <row r="76" spans="1:14" s="314" customFormat="1" outlineLevel="1" x14ac:dyDescent="0.35">
      <c r="A76" s="471">
        <v>31</v>
      </c>
      <c r="B76" s="470" t="str">
        <f>'Fatores de Emissão'!$B$60</f>
        <v>Óleos Usados</v>
      </c>
      <c r="C76" s="366">
        <f>SUMIF('Combustão Estacionária'!$C$58:$C$155,B76,'Combustão Estacionária'!$D$58:$D$155)</f>
        <v>0</v>
      </c>
      <c r="D76" s="522" t="str">
        <f>'Fatores de Emissão'!D60</f>
        <v>kg</v>
      </c>
      <c r="E76" s="459">
        <f>VLOOKUP($B76,'Fatores de Emissão'!$B$31:$Q$75,4,FALSE)</f>
        <v>40.200000000000003</v>
      </c>
      <c r="F76" s="459">
        <f>VLOOKUP($B76,'Fatores de Emissão'!$B$31:$Q$75,6,FALSE)*E76/1000000</f>
        <v>2.9466600000000001</v>
      </c>
      <c r="G76" s="523" t="str">
        <f>IF($F$45='Fatores de Emissão'!$J$30,'Fatores de Emissão'!J60*E76/1000000,IF($F$45='Fatores de Emissão'!$K$30,'Fatores de Emissão'!K60*E76/1000000,IF($F$45='Fatores de Emissão'!$L$30,'Fatores de Emissão'!L60*E76/1000000,IF($F$45='Fatores de Emissão'!$M$30,'Fatores de Emissão'!M60*E76/1000000,""))))</f>
        <v/>
      </c>
      <c r="H76" s="523" t="str">
        <f>IF($F$45='Fatores de Emissão'!$N$30,'Fatores de Emissão'!N60*E76/1000000,IF($F$45='Fatores de Emissão'!$O$30,'Fatores de Emissão'!O60*E76/1000000,IF($F$45='Fatores de Emissão'!$P$30,'Fatores de Emissão'!P60*E76/1000000,IF($F$45='Fatores de Emissão'!$Q$30,'Fatores de Emissão'!Q60*E76/1000000,""))))</f>
        <v/>
      </c>
      <c r="I76" s="457" t="str">
        <f t="shared" si="2"/>
        <v>-</v>
      </c>
      <c r="J76" s="457" t="str">
        <f t="shared" si="0"/>
        <v>-</v>
      </c>
      <c r="K76" s="457" t="str">
        <f t="shared" si="1"/>
        <v>-</v>
      </c>
      <c r="L76" s="524" t="str">
        <f>IF(C76=0,"-",I76*'Fatores de Emissão'!$E$252+FACE!J76*'Fatores de Emissão'!$E$248+FACE!K76*'Fatores de Emissão'!$E$249)</f>
        <v>-</v>
      </c>
      <c r="M76" s="366">
        <f>'Fatores de Emissão'!R60</f>
        <v>0</v>
      </c>
      <c r="N76" s="366">
        <f t="shared" si="3"/>
        <v>0</v>
      </c>
    </row>
    <row r="77" spans="1:14" s="314" customFormat="1" outlineLevel="1" x14ac:dyDescent="0.35">
      <c r="A77" s="471">
        <v>32</v>
      </c>
      <c r="B77" s="470" t="str">
        <f>'Fatores de Emissão'!$B$61</f>
        <v>Orimulsão</v>
      </c>
      <c r="C77" s="366">
        <f>SUMIF('Combustão Estacionária'!$C$58:$C$155,B77,'Combustão Estacionária'!$D$58:$D$155)</f>
        <v>0</v>
      </c>
      <c r="D77" s="522" t="str">
        <f>'Fatores de Emissão'!D61</f>
        <v>kg</v>
      </c>
      <c r="E77" s="459">
        <f>VLOOKUP($B77,'Fatores de Emissão'!$B$31:$Q$75,4,FALSE)</f>
        <v>27.5</v>
      </c>
      <c r="F77" s="459">
        <f>VLOOKUP($B77,'Fatores de Emissão'!$B$31:$Q$75,6,FALSE)*E77/1000000</f>
        <v>2.1147499999999999</v>
      </c>
      <c r="G77" s="523" t="str">
        <f>IF($F$45='Fatores de Emissão'!$J$30,'Fatores de Emissão'!J61*E77/1000000,IF($F$45='Fatores de Emissão'!$K$30,'Fatores de Emissão'!K61*E77/1000000,IF($F$45='Fatores de Emissão'!$L$30,'Fatores de Emissão'!L61*E77/1000000,IF($F$45='Fatores de Emissão'!$M$30,'Fatores de Emissão'!M61*E77/1000000,""))))</f>
        <v/>
      </c>
      <c r="H77" s="523" t="str">
        <f>IF($F$45='Fatores de Emissão'!$N$30,'Fatores de Emissão'!N61*E77/1000000,IF($F$45='Fatores de Emissão'!$O$30,'Fatores de Emissão'!O61*E77/1000000,IF($F$45='Fatores de Emissão'!$P$30,'Fatores de Emissão'!P61*E77/1000000,IF($F$45='Fatores de Emissão'!$Q$30,'Fatores de Emissão'!Q61*E77/1000000,""))))</f>
        <v/>
      </c>
      <c r="I77" s="457" t="str">
        <f t="shared" si="2"/>
        <v>-</v>
      </c>
      <c r="J77" s="457" t="str">
        <f t="shared" si="0"/>
        <v>-</v>
      </c>
      <c r="K77" s="457" t="str">
        <f t="shared" si="1"/>
        <v>-</v>
      </c>
      <c r="L77" s="524" t="str">
        <f>IF(C77=0,"-",I77*'Fatores de Emissão'!$E$252+FACE!J77*'Fatores de Emissão'!$E$248+FACE!K77*'Fatores de Emissão'!$E$249)</f>
        <v>-</v>
      </c>
      <c r="M77" s="366">
        <f>'Fatores de Emissão'!R61</f>
        <v>0</v>
      </c>
      <c r="N77" s="366">
        <f t="shared" si="3"/>
        <v>0</v>
      </c>
    </row>
    <row r="78" spans="1:14" s="314" customFormat="1" ht="31" outlineLevel="1" x14ac:dyDescent="0.35">
      <c r="A78" s="471">
        <v>33</v>
      </c>
      <c r="B78" s="470" t="str">
        <f>'Fatores de Emissão'!$B$62</f>
        <v>Outros Carvões Betuminosos</v>
      </c>
      <c r="C78" s="366">
        <f>SUMIF('Combustão Estacionária'!$C$58:$C$155,B78,'Combustão Estacionária'!$D$58:$D$155)</f>
        <v>0</v>
      </c>
      <c r="D78" s="522" t="str">
        <f>'Fatores de Emissão'!D62</f>
        <v>kg</v>
      </c>
      <c r="E78" s="459">
        <f>VLOOKUP($B78,'Fatores de Emissão'!$B$31:$Q$75,4,FALSE)</f>
        <v>25.8</v>
      </c>
      <c r="F78" s="459">
        <f>VLOOKUP($B78,'Fatores de Emissão'!$B$31:$Q$75,6,FALSE)*E78/1000000</f>
        <v>2.44068</v>
      </c>
      <c r="G78" s="523" t="str">
        <f>IF($F$45='Fatores de Emissão'!$J$30,'Fatores de Emissão'!J62*E78/1000000,IF($F$45='Fatores de Emissão'!$K$30,'Fatores de Emissão'!K62*E78/1000000,IF($F$45='Fatores de Emissão'!$L$30,'Fatores de Emissão'!L62*E78/1000000,IF($F$45='Fatores de Emissão'!$M$30,'Fatores de Emissão'!M62*E78/1000000,""))))</f>
        <v/>
      </c>
      <c r="H78" s="523" t="str">
        <f>IF($F$45='Fatores de Emissão'!$N$30,'Fatores de Emissão'!N62*E78/1000000,IF($F$45='Fatores de Emissão'!$O$30,'Fatores de Emissão'!O62*E78/1000000,IF($F$45='Fatores de Emissão'!$P$30,'Fatores de Emissão'!P62*E78/1000000,IF($F$45='Fatores de Emissão'!$Q$30,'Fatores de Emissão'!Q62*E78/1000000,""))))</f>
        <v/>
      </c>
      <c r="I78" s="457" t="str">
        <f t="shared" si="2"/>
        <v>-</v>
      </c>
      <c r="J78" s="457" t="str">
        <f t="shared" si="0"/>
        <v>-</v>
      </c>
      <c r="K78" s="457" t="str">
        <f t="shared" si="1"/>
        <v>-</v>
      </c>
      <c r="L78" s="524" t="str">
        <f>IF(C78=0,"-",I78*'Fatores de Emissão'!$E$252+FACE!J78*'Fatores de Emissão'!$E$248+FACE!K78*'Fatores de Emissão'!$E$249)</f>
        <v>-</v>
      </c>
      <c r="M78" s="366">
        <f>'Fatores de Emissão'!R62</f>
        <v>0</v>
      </c>
      <c r="N78" s="366">
        <f t="shared" si="3"/>
        <v>0</v>
      </c>
    </row>
    <row r="79" spans="1:14" s="314" customFormat="1" outlineLevel="1" x14ac:dyDescent="0.35">
      <c r="A79" s="471">
        <v>34</v>
      </c>
      <c r="B79" s="470" t="str">
        <f>'Fatores de Emissão'!$B$63</f>
        <v>Petróleo Bruto</v>
      </c>
      <c r="C79" s="366">
        <f>SUMIF('Combustão Estacionária'!$C$58:$C$155,B79,'Combustão Estacionária'!$D$58:$D$155)</f>
        <v>0</v>
      </c>
      <c r="D79" s="522" t="str">
        <f>'Fatores de Emissão'!D63</f>
        <v>Litros</v>
      </c>
      <c r="E79" s="459">
        <f>VLOOKUP($B79,'Fatores de Emissão'!$B$31:$Q$75,4,FALSE)</f>
        <v>35.954999999999998</v>
      </c>
      <c r="F79" s="459">
        <f>VLOOKUP($B79,'Fatores de Emissão'!$B$31:$Q$75,6,FALSE)*E79/1000000</f>
        <v>2.6355015000000002</v>
      </c>
      <c r="G79" s="523" t="str">
        <f>IF($F$45='Fatores de Emissão'!$J$30,'Fatores de Emissão'!J63*E79/1000000,IF($F$45='Fatores de Emissão'!$K$30,'Fatores de Emissão'!K63*E79/1000000,IF($F$45='Fatores de Emissão'!$L$30,'Fatores de Emissão'!L63*E79/1000000,IF($F$45='Fatores de Emissão'!$M$30,'Fatores de Emissão'!M63*E79/1000000,""))))</f>
        <v/>
      </c>
      <c r="H79" s="523" t="str">
        <f>IF($F$45='Fatores de Emissão'!$N$30,'Fatores de Emissão'!N63*E79/1000000,IF($F$45='Fatores de Emissão'!$O$30,'Fatores de Emissão'!O63*E79/1000000,IF($F$45='Fatores de Emissão'!$P$30,'Fatores de Emissão'!P63*E79/1000000,IF($F$45='Fatores de Emissão'!$Q$30,'Fatores de Emissão'!Q63*E79/1000000,""))))</f>
        <v/>
      </c>
      <c r="I79" s="457" t="str">
        <f t="shared" si="2"/>
        <v>-</v>
      </c>
      <c r="J79" s="457" t="str">
        <f t="shared" si="0"/>
        <v>-</v>
      </c>
      <c r="K79" s="457" t="str">
        <f t="shared" si="1"/>
        <v>-</v>
      </c>
      <c r="L79" s="524" t="str">
        <f>IF(C79=0,"-",I79*'Fatores de Emissão'!$E$252+FACE!J79*'Fatores de Emissão'!$E$248+FACE!K79*'Fatores de Emissão'!$E$249)</f>
        <v>-</v>
      </c>
      <c r="M79" s="366">
        <f>'Fatores de Emissão'!R63</f>
        <v>2.2411459459459466E-6</v>
      </c>
      <c r="N79" s="366">
        <f t="shared" si="3"/>
        <v>0</v>
      </c>
    </row>
    <row r="80" spans="1:14" s="314" customFormat="1" ht="31" outlineLevel="1" x14ac:dyDescent="0.35">
      <c r="A80" s="471">
        <v>35</v>
      </c>
      <c r="B80" s="470" t="str">
        <f>'Fatores de Emissão'!$B$64</f>
        <v>Querosene tipo Jet Fuel</v>
      </c>
      <c r="C80" s="366">
        <f>SUMIF('Combustão Estacionária'!$C$58:$C$155,B80,'Combustão Estacionária'!$D$58:$D$155)</f>
        <v>0</v>
      </c>
      <c r="D80" s="522" t="str">
        <f>'Fatores de Emissão'!D64</f>
        <v>Litros</v>
      </c>
      <c r="E80" s="459">
        <f>VLOOKUP($B80,'Fatores de Emissão'!$B$31:$Q$75,4,FALSE)</f>
        <v>35.368499999999997</v>
      </c>
      <c r="F80" s="459">
        <f>VLOOKUP($B80,'Fatores de Emissão'!$B$31:$Q$75,6,FALSE)*E80/1000000</f>
        <v>2.5394582999999997</v>
      </c>
      <c r="G80" s="523" t="str">
        <f>IF($F$45='Fatores de Emissão'!$J$30,'Fatores de Emissão'!J64*E80/1000000,IF($F$45='Fatores de Emissão'!$K$30,'Fatores de Emissão'!K64*E80/1000000,IF($F$45='Fatores de Emissão'!$L$30,'Fatores de Emissão'!L64*E80/1000000,IF($F$45='Fatores de Emissão'!$M$30,'Fatores de Emissão'!M64*E80/1000000,""))))</f>
        <v/>
      </c>
      <c r="H80" s="523" t="str">
        <f>IF($F$45='Fatores de Emissão'!$N$30,'Fatores de Emissão'!N64*E80/1000000,IF($F$45='Fatores de Emissão'!$O$30,'Fatores de Emissão'!O64*E80/1000000,IF($F$45='Fatores de Emissão'!$P$30,'Fatores de Emissão'!P64*E80/1000000,IF($F$45='Fatores de Emissão'!$Q$30,'Fatores de Emissão'!Q64*E80/1000000,""))))</f>
        <v/>
      </c>
      <c r="I80" s="457" t="str">
        <f t="shared" si="2"/>
        <v>-</v>
      </c>
      <c r="J80" s="457" t="str">
        <f t="shared" si="0"/>
        <v>-</v>
      </c>
      <c r="K80" s="457" t="str">
        <f t="shared" si="1"/>
        <v>-</v>
      </c>
      <c r="L80" s="524" t="str">
        <f>IF(C80=0,"-",I80*'Fatores de Emissão'!$E$252+FACE!J80*'Fatores de Emissão'!$E$248+FACE!K80*'Fatores de Emissão'!$E$249)</f>
        <v>-</v>
      </c>
      <c r="M80" s="366">
        <f>'Fatores de Emissão'!R64</f>
        <v>2.2411459459459466E-6</v>
      </c>
      <c r="N80" s="366">
        <f t="shared" si="3"/>
        <v>0</v>
      </c>
    </row>
    <row r="81" spans="1:14" s="314" customFormat="1" ht="46.5" outlineLevel="1" x14ac:dyDescent="0.35">
      <c r="A81" s="471">
        <v>36</v>
      </c>
      <c r="B81" s="470" t="str">
        <f>'Fatores de Emissão'!$B$65</f>
        <v>Resíduos municipais (fração não biodegradável)</v>
      </c>
      <c r="C81" s="366">
        <f>SUMIF('Combustão Estacionária'!$C$58:$C$155,B81,'Combustão Estacionária'!$D$58:$D$155)</f>
        <v>0</v>
      </c>
      <c r="D81" s="522" t="str">
        <f>'Fatores de Emissão'!D65</f>
        <v>kg</v>
      </c>
      <c r="E81" s="459">
        <f>VLOOKUP($B81,'Fatores de Emissão'!$B$31:$Q$75,4,FALSE)</f>
        <v>10</v>
      </c>
      <c r="F81" s="459">
        <f>VLOOKUP($B81,'Fatores de Emissão'!$B$31:$Q$75,6,FALSE)*E81/1000000</f>
        <v>0.91700000000000004</v>
      </c>
      <c r="G81" s="523" t="str">
        <f>IF($F$45='Fatores de Emissão'!$J$30,'Fatores de Emissão'!J65*E81/1000000,IF($F$45='Fatores de Emissão'!$K$30,'Fatores de Emissão'!K65*E81/1000000,IF($F$45='Fatores de Emissão'!$L$30,'Fatores de Emissão'!L65*E81/1000000,IF($F$45='Fatores de Emissão'!$M$30,'Fatores de Emissão'!M65*E81/1000000,""))))</f>
        <v/>
      </c>
      <c r="H81" s="523" t="str">
        <f>IF($F$45='Fatores de Emissão'!$N$30,'Fatores de Emissão'!N65*E81/1000000,IF($F$45='Fatores de Emissão'!$O$30,'Fatores de Emissão'!O65*E81/1000000,IF($F$45='Fatores de Emissão'!$P$30,'Fatores de Emissão'!P65*E81/1000000,IF($F$45='Fatores de Emissão'!$Q$30,'Fatores de Emissão'!Q65*E81/1000000,""))))</f>
        <v/>
      </c>
      <c r="I81" s="457" t="str">
        <f t="shared" si="2"/>
        <v>-</v>
      </c>
      <c r="J81" s="457" t="str">
        <f t="shared" si="0"/>
        <v>-</v>
      </c>
      <c r="K81" s="457" t="str">
        <f t="shared" si="1"/>
        <v>-</v>
      </c>
      <c r="L81" s="524" t="str">
        <f>IF(C81=0,"-",I81*'Fatores de Emissão'!$E$252+FACE!J81*'Fatores de Emissão'!$E$248+FACE!K81*'Fatores de Emissão'!$E$249)</f>
        <v>-</v>
      </c>
      <c r="M81" s="366">
        <f>'Fatores de Emissão'!R65</f>
        <v>0</v>
      </c>
      <c r="N81" s="366">
        <f t="shared" si="3"/>
        <v>0</v>
      </c>
    </row>
    <row r="82" spans="1:14" s="314" customFormat="1" ht="31" outlineLevel="1" x14ac:dyDescent="0.35">
      <c r="A82" s="471">
        <v>37</v>
      </c>
      <c r="B82" s="470" t="str">
        <f>'Fatores de Emissão'!$B$66</f>
        <v>Xisto Betuminoso e Areias Betuminosas</v>
      </c>
      <c r="C82" s="366">
        <f>SUMIF('Combustão Estacionária'!$C$58:$C$155,B82,'Combustão Estacionária'!$D$58:$D$155)</f>
        <v>0</v>
      </c>
      <c r="D82" s="522" t="str">
        <f>'Fatores de Emissão'!D66</f>
        <v>kg</v>
      </c>
      <c r="E82" s="459">
        <f>VLOOKUP($B82,'Fatores de Emissão'!$B$31:$Q$75,4,FALSE)</f>
        <v>8.5</v>
      </c>
      <c r="F82" s="459">
        <f>VLOOKUP($B82,'Fatores de Emissão'!$B$31:$Q$75,6,FALSE)*E82/1000000</f>
        <v>0.90610000000000002</v>
      </c>
      <c r="G82" s="523" t="str">
        <f>IF($F$45='Fatores de Emissão'!$J$30,'Fatores de Emissão'!J66*E82/1000000,IF($F$45='Fatores de Emissão'!$K$30,'Fatores de Emissão'!K66*E82/1000000,IF($F$45='Fatores de Emissão'!$L$30,'Fatores de Emissão'!L66*E82/1000000,IF($F$45='Fatores de Emissão'!$M$30,'Fatores de Emissão'!M66*E82/1000000,""))))</f>
        <v/>
      </c>
      <c r="H82" s="523" t="str">
        <f>IF($F$45='Fatores de Emissão'!$N$30,'Fatores de Emissão'!N66*E82/1000000,IF($F$45='Fatores de Emissão'!$O$30,'Fatores de Emissão'!O66*E82/1000000,IF($F$45='Fatores de Emissão'!$P$30,'Fatores de Emissão'!P66*E82/1000000,IF($F$45='Fatores de Emissão'!$Q$30,'Fatores de Emissão'!Q66*E82/1000000,""))))</f>
        <v/>
      </c>
      <c r="I82" s="457" t="str">
        <f t="shared" si="2"/>
        <v>-</v>
      </c>
      <c r="J82" s="457" t="str">
        <f t="shared" si="0"/>
        <v>-</v>
      </c>
      <c r="K82" s="457" t="str">
        <f t="shared" si="1"/>
        <v>-</v>
      </c>
      <c r="L82" s="524" t="str">
        <f>IF(C82=0,"-",I82*'Fatores de Emissão'!$E$252+FACE!J82*'Fatores de Emissão'!$E$248+FACE!K82*'Fatores de Emissão'!$E$249)</f>
        <v>-</v>
      </c>
      <c r="M82" s="366">
        <f>'Fatores de Emissão'!R66</f>
        <v>0</v>
      </c>
      <c r="N82" s="366">
        <f t="shared" si="3"/>
        <v>0</v>
      </c>
    </row>
    <row r="83" spans="1:14" s="314" customFormat="1" ht="16.899999999999999" customHeight="1" outlineLevel="1" x14ac:dyDescent="0.35">
      <c r="A83" s="471"/>
      <c r="B83" s="525"/>
      <c r="C83" s="526" t="s">
        <v>471</v>
      </c>
      <c r="D83" s="527"/>
      <c r="E83" s="528"/>
      <c r="F83" s="528"/>
      <c r="G83" s="523" t="str">
        <f>IF($F$45='Fatores de Emissão'!$J$30,'Fatores de Emissão'!J67*E83/1000000,IF($F$45='Fatores de Emissão'!$K$30,'Fatores de Emissão'!K67*E83/1000000,IF($F$45='Fatores de Emissão'!$L$30,'Fatores de Emissão'!L67*E83/1000000,IF($F$45='Fatores de Emissão'!$M$30,'Fatores de Emissão'!M67*E83/1000000,""))))</f>
        <v/>
      </c>
      <c r="H83" s="523" t="str">
        <f>IF($F$45='Fatores de Emissão'!$N$30,'Fatores de Emissão'!N67*E83/1000000,IF($F$45='Fatores de Emissão'!$O$30,'Fatores de Emissão'!O67*E83/1000000,IF($F$45='Fatores de Emissão'!$P$30,'Fatores de Emissão'!P67*E83/1000000,IF($F$45='Fatores de Emissão'!$Q$30,'Fatores de Emissão'!Q67*E83/1000000,""))))</f>
        <v/>
      </c>
      <c r="I83" s="529">
        <f>SUM(I47:I82)</f>
        <v>0</v>
      </c>
      <c r="J83" s="529">
        <f>SUM(J47:J82)</f>
        <v>0</v>
      </c>
      <c r="K83" s="529">
        <f>SUM(K47:K82)</f>
        <v>0</v>
      </c>
      <c r="L83" s="529">
        <f>SUM(L47:L82)</f>
        <v>0</v>
      </c>
      <c r="M83" s="366"/>
      <c r="N83" s="530">
        <f>SUM(N47:N82)</f>
        <v>0</v>
      </c>
    </row>
    <row r="84" spans="1:14" s="314" customFormat="1" outlineLevel="1" x14ac:dyDescent="0.35">
      <c r="A84" s="471">
        <v>43</v>
      </c>
      <c r="B84" s="393" t="str">
        <f>'Fatores de Emissão'!$B$67</f>
        <v>Biodiesel</v>
      </c>
      <c r="C84" s="366">
        <f>SUMIF('Combustão Estacionária'!$C$58:$C$155,B84,'Combustão Estacionária'!$D$58:$D$155)</f>
        <v>0</v>
      </c>
      <c r="D84" s="531" t="str">
        <f>'Fatores de Emissão'!D67</f>
        <v>kg</v>
      </c>
      <c r="E84" s="459">
        <f>VLOOKUP($B84,'Fatores de Emissão'!$B$31:$Q$75,4,FALSE)</f>
        <v>27</v>
      </c>
      <c r="F84" s="459">
        <f>VLOOKUP($B84,'Fatores de Emissão'!$B$31:$Q$75,6,FALSE)*E84/1000000</f>
        <v>1.9116</v>
      </c>
      <c r="G84" s="523" t="str">
        <f>IF($F$45='Fatores de Emissão'!$J$30,'Fatores de Emissão'!J68*E84/1000000,IF($F$45='Fatores de Emissão'!$K$30,'Fatores de Emissão'!K68*E84/1000000,IF($F$45='Fatores de Emissão'!$L$30,'Fatores de Emissão'!L68*E84/1000000,IF($F$45='Fatores de Emissão'!$M$30,'Fatores de Emissão'!M68*E84/1000000,""))))</f>
        <v/>
      </c>
      <c r="H84" s="523" t="str">
        <f>IF($F$45='Fatores de Emissão'!$N$30,'Fatores de Emissão'!N68*E84/1000000,IF($F$45='Fatores de Emissão'!$O$30,'Fatores de Emissão'!O68*E84/1000000,IF($F$45='Fatores de Emissão'!$P$30,'Fatores de Emissão'!P68*E84/1000000,IF($F$45='Fatores de Emissão'!$Q$30,'Fatores de Emissão'!Q68*E84/1000000,""))))</f>
        <v/>
      </c>
      <c r="I84" s="457" t="str">
        <f t="shared" ref="I84:I92" si="4">IF($C84=0,"-",F84*$C84)</f>
        <v>-</v>
      </c>
      <c r="J84" s="457" t="str">
        <f t="shared" ref="J84:J92" si="5">IF($C84=0,"-",G84*$C84)</f>
        <v>-</v>
      </c>
      <c r="K84" s="457" t="str">
        <f t="shared" ref="K84:K92" si="6">IF($C84=0,"-",H84*$C84)</f>
        <v>-</v>
      </c>
      <c r="L84" s="524" t="str">
        <f>IF(C84=0,"-",I84*'Fatores de Emissão'!$E$252+FACE!J84*'Fatores de Emissão'!$E$248+FACE!K84*'Fatores de Emissão'!$E$249)</f>
        <v>-</v>
      </c>
    </row>
    <row r="85" spans="1:14" s="314" customFormat="1" outlineLevel="1" x14ac:dyDescent="0.35">
      <c r="A85" s="471">
        <v>44</v>
      </c>
      <c r="B85" s="393" t="str">
        <f>'Fatores de Emissão'!$B$68</f>
        <v>Biogasolina</v>
      </c>
      <c r="C85" s="366">
        <f>SUMIF('Combustão Estacionária'!$C$58:$C$155,B85,'Combustão Estacionária'!$D$58:$D$155)</f>
        <v>0</v>
      </c>
      <c r="D85" s="531" t="str">
        <f>'Fatores de Emissão'!D68</f>
        <v>kg</v>
      </c>
      <c r="E85" s="459">
        <f>VLOOKUP($B85,'Fatores de Emissão'!$B$31:$Q$75,4,FALSE)</f>
        <v>27</v>
      </c>
      <c r="F85" s="459">
        <f>VLOOKUP($B85,'Fatores de Emissão'!$B$31:$Q$75,6,FALSE)*E85/1000000</f>
        <v>1.9116</v>
      </c>
      <c r="G85" s="523" t="str">
        <f>IF($F$45='Fatores de Emissão'!$J$30,'Fatores de Emissão'!J69*E85/1000000,IF($F$45='Fatores de Emissão'!$K$30,'Fatores de Emissão'!K69*E85/1000000,IF($F$45='Fatores de Emissão'!$L$30,'Fatores de Emissão'!L69*E85/1000000,IF($F$45='Fatores de Emissão'!$M$30,'Fatores de Emissão'!M69*E85/1000000,""))))</f>
        <v/>
      </c>
      <c r="H85" s="523" t="str">
        <f>IF($F$45='Fatores de Emissão'!$N$30,'Fatores de Emissão'!N69*E85/1000000,IF($F$45='Fatores de Emissão'!$O$30,'Fatores de Emissão'!O69*E85/1000000,IF($F$45='Fatores de Emissão'!$P$30,'Fatores de Emissão'!P69*E85/1000000,IF($F$45='Fatores de Emissão'!$Q$30,'Fatores de Emissão'!Q69*E85/1000000,""))))</f>
        <v/>
      </c>
      <c r="I85" s="457" t="str">
        <f t="shared" si="4"/>
        <v>-</v>
      </c>
      <c r="J85" s="457" t="str">
        <f t="shared" si="5"/>
        <v>-</v>
      </c>
      <c r="K85" s="457" t="str">
        <f t="shared" si="6"/>
        <v>-</v>
      </c>
      <c r="L85" s="524" t="str">
        <f>IF(C85=0,"-",I85*'Fatores de Emissão'!$E$252+FACE!J85*'Fatores de Emissão'!$E$248+FACE!K85*'Fatores de Emissão'!$E$249)</f>
        <v>-</v>
      </c>
    </row>
    <row r="86" spans="1:14" s="314" customFormat="1" outlineLevel="1" x14ac:dyDescent="0.35">
      <c r="A86" s="471">
        <v>45</v>
      </c>
      <c r="B86" s="393" t="str">
        <f>'Fatores de Emissão'!$B$69</f>
        <v>Carvão Vegetal</v>
      </c>
      <c r="C86" s="366">
        <f>SUMIF('Combustão Estacionária'!$C$58:$C$155,B86,'Combustão Estacionária'!$D$58:$D$155)</f>
        <v>0</v>
      </c>
      <c r="D86" s="531" t="str">
        <f>'Fatores de Emissão'!D69</f>
        <v>kg</v>
      </c>
      <c r="E86" s="459">
        <f>VLOOKUP($B86,'Fatores de Emissão'!$B$31:$Q$75,4,FALSE)</f>
        <v>29.5</v>
      </c>
      <c r="F86" s="459">
        <f>VLOOKUP($B86,'Fatores de Emissão'!$B$31:$Q$75,6,FALSE)*E86/1000000</f>
        <v>3.3039999999999998</v>
      </c>
      <c r="G86" s="523" t="str">
        <f>IF($F$45='Fatores de Emissão'!$J$30,'Fatores de Emissão'!J70*E86/1000000,IF($F$45='Fatores de Emissão'!$K$30,'Fatores de Emissão'!K70*E86/1000000,IF($F$45='Fatores de Emissão'!$L$30,'Fatores de Emissão'!L70*E86/1000000,IF($F$45='Fatores de Emissão'!$M$30,'Fatores de Emissão'!M70*E86/1000000,""))))</f>
        <v/>
      </c>
      <c r="H86" s="523" t="str">
        <f>IF($F$45='Fatores de Emissão'!$N$30,'Fatores de Emissão'!N70*E86/1000000,IF($F$45='Fatores de Emissão'!$O$30,'Fatores de Emissão'!O70*E86/1000000,IF($F$45='Fatores de Emissão'!$P$30,'Fatores de Emissão'!P70*E86/1000000,IF($F$45='Fatores de Emissão'!$Q$30,'Fatores de Emissão'!Q70*E86/1000000,""))))</f>
        <v/>
      </c>
      <c r="I86" s="457" t="str">
        <f t="shared" si="4"/>
        <v>-</v>
      </c>
      <c r="J86" s="457" t="str">
        <f t="shared" si="5"/>
        <v>-</v>
      </c>
      <c r="K86" s="457" t="str">
        <f t="shared" si="6"/>
        <v>-</v>
      </c>
      <c r="L86" s="524" t="str">
        <f>IF(C86=0,"-",I86*'Fatores de Emissão'!$E$252+FACE!J86*'Fatores de Emissão'!$E$248+FACE!K86*'Fatores de Emissão'!$E$249)</f>
        <v>-</v>
      </c>
    </row>
    <row r="87" spans="1:14" s="314" customFormat="1" ht="31" outlineLevel="1" x14ac:dyDescent="0.35">
      <c r="A87" s="471">
        <v>47</v>
      </c>
      <c r="B87" s="393" t="str">
        <f>'Fatores de Emissão'!$B$70</f>
        <v>Gases de Lamas de Depuração</v>
      </c>
      <c r="C87" s="366">
        <f>SUMIF('Combustão Estacionária'!$C$58:$C$155,B87,'Combustão Estacionária'!$D$58:$D$155)</f>
        <v>0</v>
      </c>
      <c r="D87" s="531" t="str">
        <f>'Fatores de Emissão'!D70</f>
        <v>kg</v>
      </c>
      <c r="E87" s="459">
        <f>VLOOKUP($B87,'Fatores de Emissão'!$B$31:$Q$75,4,FALSE)</f>
        <v>50.4</v>
      </c>
      <c r="F87" s="459">
        <f>VLOOKUP($B87,'Fatores de Emissão'!$B$31:$Q$75,6,FALSE)*E87/1000000</f>
        <v>2.7518400000000001</v>
      </c>
      <c r="G87" s="523" t="str">
        <f>IF($F$45='Fatores de Emissão'!$J$30,'Fatores de Emissão'!J71*E87/1000000,IF($F$45='Fatores de Emissão'!$K$30,'Fatores de Emissão'!K71*E87/1000000,IF($F$45='Fatores de Emissão'!$L$30,'Fatores de Emissão'!L71*E87/1000000,IF($F$45='Fatores de Emissão'!$M$30,'Fatores de Emissão'!M71*E87/1000000,""))))</f>
        <v/>
      </c>
      <c r="H87" s="523" t="str">
        <f>IF($F$45='Fatores de Emissão'!$N$30,'Fatores de Emissão'!N71*E87/1000000,IF($F$45='Fatores de Emissão'!$O$30,'Fatores de Emissão'!O71*E87/1000000,IF($F$45='Fatores de Emissão'!$P$30,'Fatores de Emissão'!P71*E87/1000000,IF($F$45='Fatores de Emissão'!$Q$30,'Fatores de Emissão'!Q71*E87/1000000,""))))</f>
        <v/>
      </c>
      <c r="I87" s="457" t="str">
        <f t="shared" si="4"/>
        <v>-</v>
      </c>
      <c r="J87" s="457" t="str">
        <f t="shared" si="5"/>
        <v>-</v>
      </c>
      <c r="K87" s="457" t="str">
        <f t="shared" si="6"/>
        <v>-</v>
      </c>
      <c r="L87" s="524" t="str">
        <f>IF(C87=0,"-",I87*'Fatores de Emissão'!$E$252+FACE!J87*'Fatores de Emissão'!$E$248+FACE!K87*'Fatores de Emissão'!$E$249)</f>
        <v>-</v>
      </c>
    </row>
    <row r="88" spans="1:14" s="314" customFormat="1" ht="46.5" outlineLevel="1" x14ac:dyDescent="0.35">
      <c r="A88" s="471">
        <v>49</v>
      </c>
      <c r="B88" s="393" t="str">
        <f>'Fatores de Emissão'!$B$71</f>
        <v>Madeira, resíduos de madeira e outros resíduos sólidos</v>
      </c>
      <c r="C88" s="366">
        <f>SUMIF('Combustão Estacionária'!$C$58:$C$155,B88,'Combustão Estacionária'!$D$58:$D$155)</f>
        <v>0</v>
      </c>
      <c r="D88" s="531" t="str">
        <f>'Fatores de Emissão'!D71</f>
        <v>kg</v>
      </c>
      <c r="E88" s="459">
        <f>VLOOKUP($B88,'Fatores de Emissão'!$B$31:$Q$75,4,FALSE)</f>
        <v>15.6</v>
      </c>
      <c r="F88" s="459">
        <f>VLOOKUP($B88,'Fatores de Emissão'!$B$31:$Q$75,6,FALSE)*E88/1000000</f>
        <v>1.7472000000000001</v>
      </c>
      <c r="G88" s="523" t="str">
        <f>IF($F$45='Fatores de Emissão'!$J$30,'Fatores de Emissão'!J72*E88/1000000,IF($F$45='Fatores de Emissão'!$K$30,'Fatores de Emissão'!K72*E88/1000000,IF($F$45='Fatores de Emissão'!$L$30,'Fatores de Emissão'!L72*E88/1000000,IF($F$45='Fatores de Emissão'!$M$30,'Fatores de Emissão'!M72*E88/1000000,""))))</f>
        <v/>
      </c>
      <c r="H88" s="523" t="str">
        <f>IF($F$45='Fatores de Emissão'!$N$30,'Fatores de Emissão'!N72*E88/1000000,IF($F$45='Fatores de Emissão'!$O$30,'Fatores de Emissão'!O72*E88/1000000,IF($F$45='Fatores de Emissão'!$P$30,'Fatores de Emissão'!P72*E88/1000000,IF($F$45='Fatores de Emissão'!$Q$30,'Fatores de Emissão'!Q72*E88/1000000,""))))</f>
        <v/>
      </c>
      <c r="I88" s="457" t="str">
        <f t="shared" si="4"/>
        <v>-</v>
      </c>
      <c r="J88" s="457" t="str">
        <f t="shared" si="5"/>
        <v>-</v>
      </c>
      <c r="K88" s="457" t="str">
        <f t="shared" si="6"/>
        <v>-</v>
      </c>
      <c r="L88" s="524" t="str">
        <f>IF(C88=0,"-",I88*'Fatores de Emissão'!$E$252+FACE!J88*'Fatores de Emissão'!$E$248+FACE!K88*'Fatores de Emissão'!$E$249)</f>
        <v>-</v>
      </c>
    </row>
    <row r="89" spans="1:14" s="314" customFormat="1" ht="31" outlineLevel="1" x14ac:dyDescent="0.35">
      <c r="A89" s="471">
        <v>50</v>
      </c>
      <c r="B89" s="393" t="str">
        <f>'Fatores de Emissão'!$B$72</f>
        <v>Outra Biomassa Primária Sólida</v>
      </c>
      <c r="C89" s="366">
        <f>SUMIF('Combustão Estacionária'!$C$58:$C$155,B89,'Combustão Estacionária'!$D$58:$D$155)</f>
        <v>0</v>
      </c>
      <c r="D89" s="531" t="str">
        <f>'Fatores de Emissão'!D72</f>
        <v>kg</v>
      </c>
      <c r="E89" s="459">
        <f>VLOOKUP($B89,'Fatores de Emissão'!$B$31:$Q$75,4,FALSE)</f>
        <v>11.6</v>
      </c>
      <c r="F89" s="459">
        <f>VLOOKUP($B89,'Fatores de Emissão'!$B$31:$Q$75,6,FALSE)*E89/1000000</f>
        <v>1.1599999999999999</v>
      </c>
      <c r="G89" s="523" t="str">
        <f>IF($F$45='Fatores de Emissão'!$J$30,'Fatores de Emissão'!J73*E89/1000000,IF($F$45='Fatores de Emissão'!$K$30,'Fatores de Emissão'!K73*E89/1000000,IF($F$45='Fatores de Emissão'!$L$30,'Fatores de Emissão'!L73*E89/1000000,IF($F$45='Fatores de Emissão'!$M$30,'Fatores de Emissão'!M73*E89/1000000,""))))</f>
        <v/>
      </c>
      <c r="H89" s="523" t="str">
        <f>IF($F$45='Fatores de Emissão'!$N$30,'Fatores de Emissão'!N73*E89/1000000,IF($F$45='Fatores de Emissão'!$O$30,'Fatores de Emissão'!O73*E89/1000000,IF($F$45='Fatores de Emissão'!$P$30,'Fatores de Emissão'!P73*E89/1000000,IF($F$45='Fatores de Emissão'!$Q$30,'Fatores de Emissão'!Q73*E89/1000000,""))))</f>
        <v/>
      </c>
      <c r="I89" s="457" t="str">
        <f t="shared" si="4"/>
        <v>-</v>
      </c>
      <c r="J89" s="457" t="str">
        <f t="shared" si="5"/>
        <v>-</v>
      </c>
      <c r="K89" s="457" t="str">
        <f t="shared" si="6"/>
        <v>-</v>
      </c>
      <c r="L89" s="524" t="str">
        <f>IF(C89=0,"-",I89*'Fatores de Emissão'!$E$252+FACE!J89*'Fatores de Emissão'!$E$248+FACE!K89*'Fatores de Emissão'!$E$249)</f>
        <v>-</v>
      </c>
    </row>
    <row r="90" spans="1:14" s="314" customFormat="1" ht="46.5" outlineLevel="1" x14ac:dyDescent="0.35">
      <c r="A90" s="471">
        <v>51</v>
      </c>
      <c r="B90" s="393" t="str">
        <f>'Fatores de Emissão'!$B$73</f>
        <v>Outros Biocombustíveis Líquidos</v>
      </c>
      <c r="C90" s="366">
        <f>SUMIF('Combustão Estacionária'!$C$58:$C$155,B90,'Combustão Estacionária'!$D$58:$D$155)</f>
        <v>0</v>
      </c>
      <c r="D90" s="531" t="str">
        <f>'Fatores de Emissão'!D73</f>
        <v>kg</v>
      </c>
      <c r="E90" s="459">
        <f>VLOOKUP($B90,'Fatores de Emissão'!$B$31:$Q$75,4,FALSE)</f>
        <v>27.4</v>
      </c>
      <c r="F90" s="459">
        <f>VLOOKUP($B90,'Fatores de Emissão'!$B$31:$Q$75,6,FALSE)*E90/1000000</f>
        <v>2.1810399999999999</v>
      </c>
      <c r="G90" s="523" t="str">
        <f>IF($F$45='Fatores de Emissão'!$J$30,'Fatores de Emissão'!J74*E90/1000000,IF($F$45='Fatores de Emissão'!$K$30,'Fatores de Emissão'!K74*E90/1000000,IF($F$45='Fatores de Emissão'!$L$30,'Fatores de Emissão'!L74*E90/1000000,IF($F$45='Fatores de Emissão'!$M$30,'Fatores de Emissão'!M74*E90/1000000,""))))</f>
        <v/>
      </c>
      <c r="H90" s="523" t="str">
        <f>IF($F$45='Fatores de Emissão'!$N$30,'Fatores de Emissão'!N74*E90/1000000,IF($F$45='Fatores de Emissão'!$O$30,'Fatores de Emissão'!O74*E90/1000000,IF($F$45='Fatores de Emissão'!$P$30,'Fatores de Emissão'!P74*E90/1000000,IF($F$45='Fatores de Emissão'!$Q$30,'Fatores de Emissão'!Q74*E90/1000000,""))))</f>
        <v/>
      </c>
      <c r="I90" s="457" t="str">
        <f t="shared" si="4"/>
        <v>-</v>
      </c>
      <c r="J90" s="457" t="str">
        <f t="shared" si="5"/>
        <v>-</v>
      </c>
      <c r="K90" s="457" t="str">
        <f t="shared" si="6"/>
        <v>-</v>
      </c>
      <c r="L90" s="524" t="str">
        <f>IF(C90=0,"-",I90*'Fatores de Emissão'!$E$252+FACE!J90*'Fatores de Emissão'!$E$248+FACE!K90*'Fatores de Emissão'!$E$249)</f>
        <v>-</v>
      </c>
    </row>
    <row r="91" spans="1:14" s="314" customFormat="1" ht="31" outlineLevel="1" x14ac:dyDescent="0.35">
      <c r="A91" s="471">
        <v>53</v>
      </c>
      <c r="B91" s="393" t="str">
        <f>'Fatores de Emissão'!$B$74</f>
        <v>Resíduos Municipais (fração biodegradável)</v>
      </c>
      <c r="C91" s="366">
        <f>SUMIF('Combustão Estacionária'!$C$58:$C$155,B91,'Combustão Estacionária'!$D$58:$D$155)</f>
        <v>0</v>
      </c>
      <c r="D91" s="531" t="str">
        <f>'Fatores de Emissão'!D74</f>
        <v>kg</v>
      </c>
      <c r="E91" s="459">
        <f>VLOOKUP($B91,'Fatores de Emissão'!$B$31:$Q$75,4,FALSE)</f>
        <v>11.6</v>
      </c>
      <c r="F91" s="459">
        <f>VLOOKUP($B91,'Fatores de Emissão'!$B$31:$Q$75,6,FALSE)*E91/1000000</f>
        <v>1.1599999999999999</v>
      </c>
      <c r="G91" s="523" t="str">
        <f>IF($F$45='Fatores de Emissão'!$J$30,'Fatores de Emissão'!J75*E91/1000000,IF($F$45='Fatores de Emissão'!$K$30,'Fatores de Emissão'!K75*E91/1000000,IF($F$45='Fatores de Emissão'!$L$30,'Fatores de Emissão'!L75*E91/1000000,IF($F$45='Fatores de Emissão'!$M$30,'Fatores de Emissão'!M75*E91/1000000,""))))</f>
        <v/>
      </c>
      <c r="H91" s="523" t="str">
        <f>IF($F$45='Fatores de Emissão'!$N$30,'Fatores de Emissão'!N75*E91/1000000,IF($F$45='Fatores de Emissão'!$O$30,'Fatores de Emissão'!O75*E91/1000000,IF($F$45='Fatores de Emissão'!$P$30,'Fatores de Emissão'!P75*E91/1000000,IF($F$45='Fatores de Emissão'!$Q$30,'Fatores de Emissão'!Q75*E91/1000000,""))))</f>
        <v/>
      </c>
      <c r="I91" s="457" t="str">
        <f t="shared" si="4"/>
        <v>-</v>
      </c>
      <c r="J91" s="457" t="str">
        <f t="shared" si="5"/>
        <v>-</v>
      </c>
      <c r="K91" s="457" t="str">
        <f t="shared" si="6"/>
        <v>-</v>
      </c>
      <c r="L91" s="524" t="str">
        <f>IF(C91=0,"-",I91*'Fatores de Emissão'!$E$252+FACE!J91*'Fatores de Emissão'!$E$248+FACE!K91*'Fatores de Emissão'!$E$249)</f>
        <v>-</v>
      </c>
    </row>
    <row r="92" spans="1:14" s="314" customFormat="1" outlineLevel="1" x14ac:dyDescent="0.35">
      <c r="A92" s="471">
        <v>54</v>
      </c>
      <c r="B92" s="393" t="str">
        <f>'Fatores de Emissão'!$B$75</f>
        <v>Turfa</v>
      </c>
      <c r="C92" s="366">
        <f>SUMIF('Combustão Estacionária'!$C$58:$C$155,B92,'Combustão Estacionária'!$D$58:$D$155)</f>
        <v>0</v>
      </c>
      <c r="D92" s="531" t="str">
        <f>'Fatores de Emissão'!D75</f>
        <v>kg</v>
      </c>
      <c r="E92" s="459">
        <f>VLOOKUP($B92,'Fatores de Emissão'!$B$31:$Q$75,4,FALSE)</f>
        <v>9.76</v>
      </c>
      <c r="F92" s="459">
        <f>VLOOKUP($B92,'Fatores de Emissão'!$B$31:$Q$75,6,FALSE)*E92/1000000</f>
        <v>1.0345599999999999</v>
      </c>
      <c r="G92" s="523" t="str">
        <f>IF($F$45='Fatores de Emissão'!$J$30,'Fatores de Emissão'!J76*E92/1000000,IF($F$45='Fatores de Emissão'!$K$30,'Fatores de Emissão'!K76*E92/1000000,IF($F$45='Fatores de Emissão'!$L$30,'Fatores de Emissão'!L76*E92/1000000,IF($F$45='Fatores de Emissão'!$M$30,'Fatores de Emissão'!M76*E92/1000000,""))))</f>
        <v/>
      </c>
      <c r="H92" s="523" t="str">
        <f>IF($F$45='Fatores de Emissão'!$N$30,'Fatores de Emissão'!N76*E92/1000000,IF($F$45='Fatores de Emissão'!$O$30,'Fatores de Emissão'!O76*E92/1000000,IF($F$45='Fatores de Emissão'!$P$30,'Fatores de Emissão'!P76*E92/1000000,IF($F$45='Fatores de Emissão'!$Q$30,'Fatores de Emissão'!Q76*E92/1000000,""))))</f>
        <v/>
      </c>
      <c r="I92" s="457" t="str">
        <f t="shared" si="4"/>
        <v>-</v>
      </c>
      <c r="J92" s="457" t="str">
        <f t="shared" si="5"/>
        <v>-</v>
      </c>
      <c r="K92" s="457" t="str">
        <f t="shared" si="6"/>
        <v>-</v>
      </c>
      <c r="L92" s="524" t="str">
        <f>IF(C92=0,"-",I92*'Fatores de Emissão'!$E$252+FACE!J92*'Fatores de Emissão'!$E$248+FACE!K92*'Fatores de Emissão'!$E$249)</f>
        <v>-</v>
      </c>
    </row>
    <row r="93" spans="1:14" ht="16.899999999999999" customHeight="1" outlineLevel="1" x14ac:dyDescent="0.35">
      <c r="B93" s="525"/>
      <c r="C93" s="532" t="s">
        <v>472</v>
      </c>
      <c r="D93" s="527"/>
      <c r="E93" s="611"/>
      <c r="F93" s="527"/>
      <c r="G93" s="527"/>
      <c r="H93" s="533"/>
      <c r="I93" s="534">
        <f>SUM(I84:I92)</f>
        <v>0</v>
      </c>
      <c r="J93" s="534">
        <f>SUM(J84:J92)</f>
        <v>0</v>
      </c>
      <c r="K93" s="534">
        <f>SUM(K84:K92)</f>
        <v>0</v>
      </c>
      <c r="L93" s="534">
        <f>SUM(L84:L92)</f>
        <v>0</v>
      </c>
      <c r="M93" s="169"/>
    </row>
    <row r="94" spans="1:14" outlineLevel="1" x14ac:dyDescent="0.35">
      <c r="B94" s="169"/>
      <c r="D94" s="169"/>
      <c r="I94" s="197"/>
      <c r="J94" s="169"/>
      <c r="M94" s="169"/>
    </row>
    <row r="95" spans="1:14" x14ac:dyDescent="0.35">
      <c r="F95" s="316"/>
      <c r="J95" s="169"/>
      <c r="K95" s="314"/>
      <c r="M95" s="169"/>
      <c r="N95" s="428"/>
    </row>
    <row r="96" spans="1:14" x14ac:dyDescent="0.35">
      <c r="F96" s="316"/>
      <c r="J96" s="169"/>
      <c r="K96" s="314"/>
      <c r="M96" s="169"/>
      <c r="N96" s="428"/>
    </row>
    <row r="97" spans="1:14" x14ac:dyDescent="0.35">
      <c r="F97" s="316"/>
      <c r="J97" s="169"/>
      <c r="K97" s="314"/>
      <c r="M97" s="169"/>
      <c r="N97" s="428"/>
    </row>
    <row r="98" spans="1:14" outlineLevel="1" x14ac:dyDescent="0.35">
      <c r="B98" s="169" t="s">
        <v>667</v>
      </c>
      <c r="D98" s="169"/>
      <c r="I98" s="175"/>
      <c r="J98" s="169"/>
      <c r="M98" s="169"/>
    </row>
    <row r="99" spans="1:14" s="314" customFormat="1" ht="16.899999999999999" customHeight="1" outlineLevel="1" x14ac:dyDescent="0.35">
      <c r="B99" s="1109" t="s">
        <v>41</v>
      </c>
      <c r="C99" s="1109" t="s">
        <v>470</v>
      </c>
      <c r="D99" s="1112" t="s">
        <v>32</v>
      </c>
      <c r="F99" s="512" t="s">
        <v>469</v>
      </c>
      <c r="G99" s="513"/>
      <c r="H99" s="514"/>
      <c r="I99" s="207" t="s">
        <v>1434</v>
      </c>
      <c r="J99" s="207" t="s">
        <v>1435</v>
      </c>
      <c r="K99" s="207" t="s">
        <v>1436</v>
      </c>
      <c r="L99" s="207" t="s">
        <v>1437</v>
      </c>
      <c r="M99" s="207" t="s">
        <v>612</v>
      </c>
      <c r="N99" s="207" t="s">
        <v>613</v>
      </c>
    </row>
    <row r="100" spans="1:14" s="314" customFormat="1" ht="16.899999999999999" customHeight="1" outlineLevel="1" x14ac:dyDescent="0.35">
      <c r="B100" s="1110"/>
      <c r="C100" s="1110"/>
      <c r="D100" s="1113"/>
      <c r="F100" s="517">
        <f>'Combustão Estacionária'!D37</f>
        <v>0</v>
      </c>
      <c r="G100" s="518"/>
      <c r="H100" s="519"/>
      <c r="I100" s="484"/>
      <c r="J100" s="484"/>
      <c r="K100" s="484"/>
      <c r="L100" s="484"/>
      <c r="M100" s="484"/>
      <c r="N100" s="484"/>
    </row>
    <row r="101" spans="1:14" s="314" customFormat="1" ht="16.899999999999999" customHeight="1" outlineLevel="1" x14ac:dyDescent="0.35">
      <c r="B101" s="1111"/>
      <c r="C101" s="1111"/>
      <c r="D101" s="1114"/>
      <c r="F101" s="207" t="s">
        <v>1438</v>
      </c>
      <c r="G101" s="207" t="s">
        <v>1439</v>
      </c>
      <c r="H101" s="283" t="s">
        <v>1440</v>
      </c>
      <c r="I101" s="283" t="s">
        <v>180</v>
      </c>
      <c r="J101" s="283" t="s">
        <v>180</v>
      </c>
      <c r="K101" s="283" t="s">
        <v>180</v>
      </c>
      <c r="L101" s="283" t="s">
        <v>180</v>
      </c>
      <c r="M101" s="283" t="s">
        <v>648</v>
      </c>
      <c r="N101" s="283" t="s">
        <v>649</v>
      </c>
    </row>
    <row r="102" spans="1:14" s="314" customFormat="1" outlineLevel="1" x14ac:dyDescent="0.35">
      <c r="A102" s="471">
        <v>1</v>
      </c>
      <c r="B102" s="470" t="str">
        <f>'Fatores de Emissão'!$B$31</f>
        <v>Antracite</v>
      </c>
      <c r="C102" s="366">
        <f>SUMIF('Combustão Estacionária'!$C$170:$C$269,B102,'Combustão Estacionária'!$D$170:$D$269)</f>
        <v>0</v>
      </c>
      <c r="D102" s="522" t="str">
        <f>FACE!D47</f>
        <v>Toneladas</v>
      </c>
      <c r="F102" s="535">
        <f t="shared" ref="F102:F137" si="7">F47</f>
        <v>2621.94</v>
      </c>
      <c r="G102" s="536" t="e">
        <f>IF(FACE!$F$45='Fatores de Emissão'!$J$30,'Fatores de Emissão'!J31,IF(FACE!$F$45='Fatores de Emissão'!$K$30,'Fatores de Emissão'!K31,IF(FACE!$F$45='Fatores de Emissão'!$L$30,'Fatores de Emissão'!L31,IF(FACE!$F$45='Fatores de Emissão'!$M$30,'Fatores de Emissão'!M31,""))))*1000</f>
        <v>#VALUE!</v>
      </c>
      <c r="H102" s="536" t="e">
        <f>IF($F$100='Fatores de Emissão'!$N$30,'Fatores de Emissão'!N31,IF($F$100='Fatores de Emissão'!$O$30,'Fatores de Emissão'!O31,IF($F$100='Fatores de Emissão'!$P$30,'Fatores de Emissão'!P31,IF($F$100='Fatores de Emissão'!$Q$30,'Fatores de Emissão'!Q31,""))))*1000</f>
        <v>#VALUE!</v>
      </c>
      <c r="I102" s="457" t="str">
        <f t="shared" ref="I102:I137" si="8">IF($C102=0,"-",F102*$C102)</f>
        <v>-</v>
      </c>
      <c r="J102" s="457" t="str">
        <f t="shared" ref="J102:J137" si="9">IF($C102=0,"-",G102*$C102)</f>
        <v>-</v>
      </c>
      <c r="K102" s="457" t="str">
        <f t="shared" ref="K102:K137" si="10">IF($C102=0,"-",H102*$C102)</f>
        <v>-</v>
      </c>
      <c r="L102" s="524" t="str">
        <f>IF(C102=0,"-",I102*'Fatores de Emissão'!$E$252+FACE!J102*'Fatores de Emissão'!$E$248+FACE!K102*'Fatores de Emissão'!$E$249)</f>
        <v>-</v>
      </c>
      <c r="M102" s="366"/>
      <c r="N102" s="366">
        <f t="shared" ref="N102:N137" si="11">IF(M102="",0,M102*C102)</f>
        <v>0</v>
      </c>
    </row>
    <row r="103" spans="1:14" s="314" customFormat="1" outlineLevel="1" x14ac:dyDescent="0.35">
      <c r="A103" s="471">
        <v>2</v>
      </c>
      <c r="B103" s="470" t="str">
        <f>'Fatores de Emissão'!$B$32</f>
        <v>Alcatrão de hulha</v>
      </c>
      <c r="C103" s="366">
        <f>SUMIF('Combustão Estacionária'!$C$170:$C$269,B103,'Combustão Estacionária'!$D$170:$D$269)</f>
        <v>0</v>
      </c>
      <c r="D103" s="522" t="str">
        <f>FACE!D48</f>
        <v>Toneladas</v>
      </c>
      <c r="F103" s="535">
        <f t="shared" si="7"/>
        <v>32401.200000000001</v>
      </c>
      <c r="G103" s="536" t="e">
        <f>IF(FACE!$F$45='Fatores de Emissão'!$J$30,'Fatores de Emissão'!J32,IF(FACE!$F$45='Fatores de Emissão'!$K$30,'Fatores de Emissão'!K32,IF(FACE!$F$45='Fatores de Emissão'!$L$30,'Fatores de Emissão'!L32,IF(FACE!$F$45='Fatores de Emissão'!$M$30,'Fatores de Emissão'!M32,""))))*1000</f>
        <v>#VALUE!</v>
      </c>
      <c r="H103" s="536" t="e">
        <f>IF($F$100='Fatores de Emissão'!$N$30,'Fatores de Emissão'!N32,IF($F$100='Fatores de Emissão'!$O$30,'Fatores de Emissão'!O32,IF($F$100='Fatores de Emissão'!$P$30,'Fatores de Emissão'!P32,IF($F$100='Fatores de Emissão'!$Q$30,'Fatores de Emissão'!Q32,""))))*1000</f>
        <v>#VALUE!</v>
      </c>
      <c r="I103" s="457" t="str">
        <f t="shared" si="8"/>
        <v>-</v>
      </c>
      <c r="J103" s="457" t="str">
        <f t="shared" si="9"/>
        <v>-</v>
      </c>
      <c r="K103" s="457" t="str">
        <f t="shared" si="10"/>
        <v>-</v>
      </c>
      <c r="L103" s="524" t="str">
        <f>IF(C103=0,"-",I103*'Fatores de Emissão'!$E$252+FACE!J103*'Fatores de Emissão'!$E$248+FACE!K103*'Fatores de Emissão'!$E$249)</f>
        <v>-</v>
      </c>
      <c r="M103" s="366"/>
      <c r="N103" s="366">
        <f t="shared" si="11"/>
        <v>0</v>
      </c>
    </row>
    <row r="104" spans="1:14" s="314" customFormat="1" outlineLevel="1" x14ac:dyDescent="0.35">
      <c r="A104" s="471">
        <v>3</v>
      </c>
      <c r="B104" s="470" t="str">
        <f>'Fatores de Emissão'!$B$33</f>
        <v>Betume</v>
      </c>
      <c r="C104" s="366">
        <f>SUMIF('Combustão Estacionária'!$C$170:$C$269,B104,'Combustão Estacionária'!$D$170:$D$269)</f>
        <v>0</v>
      </c>
      <c r="D104" s="522" t="str">
        <f>FACE!D49</f>
        <v>Toneladas</v>
      </c>
      <c r="F104" s="535">
        <f t="shared" si="7"/>
        <v>32401.200000000001</v>
      </c>
      <c r="G104" s="536" t="e">
        <f>IF(FACE!$F$45='Fatores de Emissão'!$J$30,'Fatores de Emissão'!J33,IF(FACE!$F$45='Fatores de Emissão'!$K$30,'Fatores de Emissão'!K33,IF(FACE!$F$45='Fatores de Emissão'!$L$30,'Fatores de Emissão'!L33,IF(FACE!$F$45='Fatores de Emissão'!$M$30,'Fatores de Emissão'!M33,""))))*1000</f>
        <v>#VALUE!</v>
      </c>
      <c r="H104" s="536" t="e">
        <f>IF($F$100='Fatores de Emissão'!$N$30,'Fatores de Emissão'!N33,IF($F$100='Fatores de Emissão'!$O$30,'Fatores de Emissão'!O33,IF($F$100='Fatores de Emissão'!$P$30,'Fatores de Emissão'!P33,IF($F$100='Fatores de Emissão'!$Q$30,'Fatores de Emissão'!Q33,""))))*1000</f>
        <v>#VALUE!</v>
      </c>
      <c r="I104" s="457" t="str">
        <f t="shared" si="8"/>
        <v>-</v>
      </c>
      <c r="J104" s="457" t="str">
        <f t="shared" si="9"/>
        <v>-</v>
      </c>
      <c r="K104" s="457" t="str">
        <f t="shared" si="10"/>
        <v>-</v>
      </c>
      <c r="L104" s="524" t="str">
        <f>IF(C104=0,"-",I104*'Fatores de Emissão'!$E$252+FACE!J104*'Fatores de Emissão'!$E$248+FACE!K104*'Fatores de Emissão'!$E$249)</f>
        <v>-</v>
      </c>
      <c r="M104" s="366"/>
      <c r="N104" s="366">
        <f t="shared" si="11"/>
        <v>0</v>
      </c>
    </row>
    <row r="105" spans="1:14" s="314" customFormat="1" outlineLevel="1" x14ac:dyDescent="0.35">
      <c r="A105" s="471">
        <v>4</v>
      </c>
      <c r="B105" s="470" t="str">
        <f>'Fatores de Emissão'!$B$34</f>
        <v>Briquetes de linhite</v>
      </c>
      <c r="C105" s="366">
        <f>SUMIF('Combustão Estacionária'!$C$170:$C$269,B105,'Combustão Estacionária'!$D$170:$D$269)</f>
        <v>0</v>
      </c>
      <c r="D105" s="522" t="str">
        <f>FACE!D50</f>
        <v>Toneladas</v>
      </c>
      <c r="F105" s="535">
        <f t="shared" si="7"/>
        <v>2022</v>
      </c>
      <c r="G105" s="536" t="e">
        <f>IF(FACE!$F$45='Fatores de Emissão'!$J$30,'Fatores de Emissão'!J34,IF(FACE!$F$45='Fatores de Emissão'!$K$30,'Fatores de Emissão'!K34,IF(FACE!$F$45='Fatores de Emissão'!$L$30,'Fatores de Emissão'!L34,IF(FACE!$F$45='Fatores de Emissão'!$M$30,'Fatores de Emissão'!M34,""))))*1000</f>
        <v>#VALUE!</v>
      </c>
      <c r="H105" s="536" t="e">
        <f>IF($F$100='Fatores de Emissão'!$N$30,'Fatores de Emissão'!N34,IF($F$100='Fatores de Emissão'!$O$30,'Fatores de Emissão'!O34,IF($F$100='Fatores de Emissão'!$P$30,'Fatores de Emissão'!P34,IF($F$100='Fatores de Emissão'!$Q$30,'Fatores de Emissão'!Q34,""))))*1000</f>
        <v>#VALUE!</v>
      </c>
      <c r="I105" s="457" t="str">
        <f t="shared" si="8"/>
        <v>-</v>
      </c>
      <c r="J105" s="457" t="str">
        <f t="shared" si="9"/>
        <v>-</v>
      </c>
      <c r="K105" s="457" t="str">
        <f t="shared" si="10"/>
        <v>-</v>
      </c>
      <c r="L105" s="524" t="str">
        <f>IF(C105=0,"-",I105*'Fatores de Emissão'!$E$252+FACE!J105*'Fatores de Emissão'!$E$248+FACE!K105*'Fatores de Emissão'!$E$249)</f>
        <v>-</v>
      </c>
      <c r="M105" s="366"/>
      <c r="N105" s="366">
        <f t="shared" si="11"/>
        <v>0</v>
      </c>
    </row>
    <row r="106" spans="1:14" s="314" customFormat="1" outlineLevel="1" x14ac:dyDescent="0.35">
      <c r="A106" s="471">
        <v>6</v>
      </c>
      <c r="B106" s="470" t="str">
        <f>'Fatores de Emissão'!$B$35</f>
        <v>Ceras Parafínicas</v>
      </c>
      <c r="C106" s="366">
        <f>SUMIF('Combustão Estacionária'!$C$170:$C$269,B106,'Combustão Estacionária'!$D$170:$D$269)</f>
        <v>0</v>
      </c>
      <c r="D106" s="522" t="str">
        <f>FACE!D51</f>
        <v>Toneladas</v>
      </c>
      <c r="F106" s="535">
        <f t="shared" si="7"/>
        <v>2946.66</v>
      </c>
      <c r="G106" s="536" t="e">
        <f>IF(FACE!$F$45='Fatores de Emissão'!$J$30,'Fatores de Emissão'!J35,IF(FACE!$F$45='Fatores de Emissão'!$K$30,'Fatores de Emissão'!K35,IF(FACE!$F$45='Fatores de Emissão'!$L$30,'Fatores de Emissão'!L35,IF(FACE!$F$45='Fatores de Emissão'!$M$30,'Fatores de Emissão'!M35,""))))*1000</f>
        <v>#VALUE!</v>
      </c>
      <c r="H106" s="536" t="e">
        <f>IF($F$100='Fatores de Emissão'!$N$30,'Fatores de Emissão'!N35,IF($F$100='Fatores de Emissão'!$O$30,'Fatores de Emissão'!O35,IF($F$100='Fatores de Emissão'!$P$30,'Fatores de Emissão'!P35,IF($F$100='Fatores de Emissão'!$Q$30,'Fatores de Emissão'!Q35,""))))*1000</f>
        <v>#VALUE!</v>
      </c>
      <c r="I106" s="457" t="str">
        <f t="shared" si="8"/>
        <v>-</v>
      </c>
      <c r="J106" s="457" t="str">
        <f t="shared" si="9"/>
        <v>-</v>
      </c>
      <c r="K106" s="457" t="str">
        <f t="shared" si="10"/>
        <v>-</v>
      </c>
      <c r="L106" s="524" t="str">
        <f>IF(C106=0,"-",I106*'Fatores de Emissão'!$E$252+FACE!J106*'Fatores de Emissão'!$E$248+FACE!K106*'Fatores de Emissão'!$E$249)</f>
        <v>-</v>
      </c>
      <c r="M106" s="366"/>
      <c r="N106" s="366">
        <f t="shared" si="11"/>
        <v>0</v>
      </c>
    </row>
    <row r="107" spans="1:14" s="314" customFormat="1" outlineLevel="1" x14ac:dyDescent="0.35">
      <c r="A107" s="471">
        <v>7</v>
      </c>
      <c r="B107" s="470" t="str">
        <f>'Fatores de Emissão'!$B$51</f>
        <v>Gasolina para motores</v>
      </c>
      <c r="C107" s="366">
        <f>SUMIF('Combustão Estacionária'!$C$170:$C$269,B107,'Combustão Estacionária'!$D$170:$D$269)</f>
        <v>0</v>
      </c>
      <c r="D107" s="522" t="str">
        <f>FACE!D52</f>
        <v>Litros</v>
      </c>
      <c r="F107" s="535">
        <f t="shared" si="7"/>
        <v>2.3018515000000002</v>
      </c>
      <c r="G107" s="536" t="e">
        <f>IF(FACE!$F$45='Fatores de Emissão'!$J$30,'Fatores de Emissão'!J51,IF(FACE!$F$45='Fatores de Emissão'!$K$30,'Fatores de Emissão'!K51,IF(FACE!$F$45='Fatores de Emissão'!$L$30,'Fatores de Emissão'!L51,IF(FACE!$F$45='Fatores de Emissão'!$M$30,'Fatores de Emissão'!M51,""))))*1000</f>
        <v>#VALUE!</v>
      </c>
      <c r="H107" s="536" t="e">
        <f>IF($F$100='Fatores de Emissão'!$N$30,'Fatores de Emissão'!N51,IF($F$100='Fatores de Emissão'!$O$30,'Fatores de Emissão'!O51,IF($F$100='Fatores de Emissão'!$P$30,'Fatores de Emissão'!P51,IF($F$100='Fatores de Emissão'!$Q$30,'Fatores de Emissão'!Q51,""))))*1000</f>
        <v>#VALUE!</v>
      </c>
      <c r="I107" s="457" t="str">
        <f t="shared" si="8"/>
        <v>-</v>
      </c>
      <c r="J107" s="457" t="str">
        <f t="shared" si="9"/>
        <v>-</v>
      </c>
      <c r="K107" s="457" t="str">
        <f t="shared" si="10"/>
        <v>-</v>
      </c>
      <c r="L107" s="524" t="str">
        <f>IF(C107=0,"-",I107*'Fatores de Emissão'!$E$252+FACE!J107*'Fatores de Emissão'!$E$248+FACE!K107*'Fatores de Emissão'!$E$249)</f>
        <v>-</v>
      </c>
      <c r="M107" s="502">
        <f>'Categoria 3'!$B$12</f>
        <v>2.2411459459459466E-6</v>
      </c>
      <c r="N107" s="366">
        <f t="shared" si="11"/>
        <v>0</v>
      </c>
    </row>
    <row r="108" spans="1:14" s="314" customFormat="1" outlineLevel="1" x14ac:dyDescent="0.35">
      <c r="A108" s="471">
        <v>8</v>
      </c>
      <c r="B108" s="470" t="str">
        <f>'Fatores de Emissão'!$B$36</f>
        <v>Carvão de coque</v>
      </c>
      <c r="C108" s="366">
        <f>SUMIF('Combustão Estacionária'!$C$170:$C$269,B108,'Combustão Estacionária'!$D$170:$D$269)</f>
        <v>0</v>
      </c>
      <c r="D108" s="522" t="str">
        <f>FACE!D53</f>
        <v>kg</v>
      </c>
      <c r="F108" s="535">
        <f t="shared" si="7"/>
        <v>0.26649</v>
      </c>
      <c r="G108" s="536" t="e">
        <f>IF(FACE!$F$45='Fatores de Emissão'!$J$30,'Fatores de Emissão'!J36,IF(FACE!$F$45='Fatores de Emissão'!$K$30,'Fatores de Emissão'!K36,IF(FACE!$F$45='Fatores de Emissão'!$L$30,'Fatores de Emissão'!L36,IF(FACE!$F$45='Fatores de Emissão'!$M$30,'Fatores de Emissão'!M36,""))))*1000</f>
        <v>#VALUE!</v>
      </c>
      <c r="H108" s="536" t="e">
        <f>IF($F$100='Fatores de Emissão'!$N$30,'Fatores de Emissão'!N36,IF($F$100='Fatores de Emissão'!$O$30,'Fatores de Emissão'!O36,IF($F$100='Fatores de Emissão'!$P$30,'Fatores de Emissão'!P36,IF($F$100='Fatores de Emissão'!$Q$30,'Fatores de Emissão'!Q36,""))))*1000</f>
        <v>#VALUE!</v>
      </c>
      <c r="I108" s="457" t="str">
        <f t="shared" si="8"/>
        <v>-</v>
      </c>
      <c r="J108" s="457" t="str">
        <f t="shared" si="9"/>
        <v>-</v>
      </c>
      <c r="K108" s="457" t="str">
        <f t="shared" si="10"/>
        <v>-</v>
      </c>
      <c r="L108" s="524" t="str">
        <f>IF(C108=0,"-",I108*'Fatores de Emissão'!$E$252+FACE!J108*'Fatores de Emissão'!$E$248+FACE!K108*'Fatores de Emissão'!$E$249)</f>
        <v>-</v>
      </c>
      <c r="M108" s="366"/>
      <c r="N108" s="366">
        <f t="shared" si="11"/>
        <v>0</v>
      </c>
    </row>
    <row r="109" spans="1:14" s="314" customFormat="1" ht="46.5" outlineLevel="1" x14ac:dyDescent="0.35">
      <c r="A109" s="471">
        <v>9</v>
      </c>
      <c r="B109" s="470" t="str">
        <f>'Fatores de Emissão'!$B$37</f>
        <v>Coque de forno de coque e coque de linhite</v>
      </c>
      <c r="C109" s="366">
        <f>SUMIF('Combustão Estacionária'!$C$170:$C$269,B109,'Combustão Estacionária'!$D$170:$D$269)</f>
        <v>0</v>
      </c>
      <c r="D109" s="522" t="str">
        <f>FACE!D54</f>
        <v>kg</v>
      </c>
      <c r="F109" s="535">
        <f t="shared" si="7"/>
        <v>3.0334500000000002</v>
      </c>
      <c r="G109" s="536" t="e">
        <f>IF(FACE!$F$45='Fatores de Emissão'!$J$30,'Fatores de Emissão'!J37,IF(FACE!$F$45='Fatores de Emissão'!$K$30,'Fatores de Emissão'!K37,IF(FACE!$F$45='Fatores de Emissão'!$L$30,'Fatores de Emissão'!L37,IF(FACE!$F$45='Fatores de Emissão'!$M$30,'Fatores de Emissão'!M37,""))))*1000</f>
        <v>#VALUE!</v>
      </c>
      <c r="H109" s="536" t="e">
        <f>IF($F$100='Fatores de Emissão'!$N$30,'Fatores de Emissão'!N37,IF($F$100='Fatores de Emissão'!$O$30,'Fatores de Emissão'!O37,IF($F$100='Fatores de Emissão'!$P$30,'Fatores de Emissão'!P37,IF($F$100='Fatores de Emissão'!$Q$30,'Fatores de Emissão'!Q37,""))))*1000</f>
        <v>#VALUE!</v>
      </c>
      <c r="I109" s="457" t="str">
        <f t="shared" si="8"/>
        <v>-</v>
      </c>
      <c r="J109" s="457" t="str">
        <f t="shared" si="9"/>
        <v>-</v>
      </c>
      <c r="K109" s="457" t="str">
        <f t="shared" si="10"/>
        <v>-</v>
      </c>
      <c r="L109" s="524" t="str">
        <f>IF(C109=0,"-",I109*'Fatores de Emissão'!$E$252+FACE!J109*'Fatores de Emissão'!$E$248+FACE!K109*'Fatores de Emissão'!$E$249)</f>
        <v>-</v>
      </c>
      <c r="M109" s="366"/>
      <c r="N109" s="366">
        <f t="shared" si="11"/>
        <v>0</v>
      </c>
    </row>
    <row r="110" spans="1:14" s="314" customFormat="1" outlineLevel="1" x14ac:dyDescent="0.35">
      <c r="A110" s="471">
        <v>10</v>
      </c>
      <c r="B110" s="470" t="str">
        <f>'Fatores de Emissão'!$B$38</f>
        <v>Coque de Petróleo</v>
      </c>
      <c r="C110" s="366">
        <f>SUMIF('Combustão Estacionária'!$C$170:$C$269,B110,'Combustão Estacionária'!$D$170:$D$269)</f>
        <v>0</v>
      </c>
      <c r="D110" s="522" t="str">
        <f>FACE!D55</f>
        <v>kg</v>
      </c>
      <c r="F110" s="535">
        <f t="shared" si="7"/>
        <v>3.0956250000000001</v>
      </c>
      <c r="G110" s="536" t="e">
        <f>IF(FACE!$F$45='Fatores de Emissão'!$J$30,'Fatores de Emissão'!J38,IF(FACE!$F$45='Fatores de Emissão'!$K$30,'Fatores de Emissão'!K38,IF(FACE!$F$45='Fatores de Emissão'!$L$30,'Fatores de Emissão'!L38,IF(FACE!$F$45='Fatores de Emissão'!$M$30,'Fatores de Emissão'!M38,""))))*1000</f>
        <v>#VALUE!</v>
      </c>
      <c r="H110" s="536" t="e">
        <f>IF($F$100='Fatores de Emissão'!$N$30,'Fatores de Emissão'!N38,IF($F$100='Fatores de Emissão'!$O$30,'Fatores de Emissão'!O38,IF($F$100='Fatores de Emissão'!$P$30,'Fatores de Emissão'!P38,IF($F$100='Fatores de Emissão'!$Q$30,'Fatores de Emissão'!Q38,""))))*1000</f>
        <v>#VALUE!</v>
      </c>
      <c r="I110" s="457" t="str">
        <f t="shared" si="8"/>
        <v>-</v>
      </c>
      <c r="J110" s="457" t="str">
        <f t="shared" si="9"/>
        <v>-</v>
      </c>
      <c r="K110" s="457" t="str">
        <f t="shared" si="10"/>
        <v>-</v>
      </c>
      <c r="L110" s="524" t="str">
        <f>IF(C110=0,"-",I110*'Fatores de Emissão'!$E$252+FACE!J110*'Fatores de Emissão'!$E$248+FACE!K110*'Fatores de Emissão'!$E$249)</f>
        <v>-</v>
      </c>
      <c r="M110" s="366"/>
      <c r="N110" s="366">
        <f t="shared" si="11"/>
        <v>0</v>
      </c>
    </row>
    <row r="111" spans="1:14" s="314" customFormat="1" outlineLevel="1" x14ac:dyDescent="0.35">
      <c r="A111" s="471">
        <v>11</v>
      </c>
      <c r="B111" s="470" t="str">
        <f>'Fatores de Emissão'!$B$39</f>
        <v>Etano</v>
      </c>
      <c r="C111" s="366">
        <f>SUMIF('Combustão Estacionária'!$C$170:$C$269,B111,'Combustão Estacionária'!$D$170:$D$269)</f>
        <v>0</v>
      </c>
      <c r="D111" s="522" t="str">
        <f>FACE!D56</f>
        <v>kg</v>
      </c>
      <c r="F111" s="535">
        <f t="shared" si="7"/>
        <v>2.8582399999999999</v>
      </c>
      <c r="G111" s="536" t="e">
        <f>IF(FACE!$F$45='Fatores de Emissão'!$J$30,'Fatores de Emissão'!J39,IF(FACE!$F$45='Fatores de Emissão'!$K$30,'Fatores de Emissão'!K39,IF(FACE!$F$45='Fatores de Emissão'!$L$30,'Fatores de Emissão'!L39,IF(FACE!$F$45='Fatores de Emissão'!$M$30,'Fatores de Emissão'!M39,""))))*1000</f>
        <v>#VALUE!</v>
      </c>
      <c r="H111" s="536" t="e">
        <f>IF($F$100='Fatores de Emissão'!$N$30,'Fatores de Emissão'!N39,IF($F$100='Fatores de Emissão'!$O$30,'Fatores de Emissão'!O39,IF($F$100='Fatores de Emissão'!$P$30,'Fatores de Emissão'!P39,IF($F$100='Fatores de Emissão'!$Q$30,'Fatores de Emissão'!Q39,""))))*1000</f>
        <v>#VALUE!</v>
      </c>
      <c r="I111" s="457" t="str">
        <f t="shared" si="8"/>
        <v>-</v>
      </c>
      <c r="J111" s="457" t="str">
        <f t="shared" si="9"/>
        <v>-</v>
      </c>
      <c r="K111" s="457" t="str">
        <f t="shared" si="10"/>
        <v>-</v>
      </c>
      <c r="L111" s="524" t="str">
        <f>IF(C111=0,"-",I111*'Fatores de Emissão'!$E$252+FACE!J111*'Fatores de Emissão'!$E$248+FACE!K111*'Fatores de Emissão'!$E$249)</f>
        <v>-</v>
      </c>
      <c r="M111" s="366"/>
      <c r="N111" s="366">
        <f t="shared" si="11"/>
        <v>0</v>
      </c>
    </row>
    <row r="112" spans="1:14" s="314" customFormat="1" outlineLevel="1" x14ac:dyDescent="0.35">
      <c r="A112" s="471">
        <v>12</v>
      </c>
      <c r="B112" s="470" t="str">
        <f>'Fatores de Emissão'!$B$40</f>
        <v>Fuelóleo</v>
      </c>
      <c r="C112" s="366">
        <f>SUMIF('Combustão Estacionária'!$C$170:$C$269,B112,'Combustão Estacionária'!$D$170:$D$269)</f>
        <v>0</v>
      </c>
      <c r="D112" s="522" t="str">
        <f>FACE!D57</f>
        <v>Litros</v>
      </c>
      <c r="F112" s="535">
        <f t="shared" si="7"/>
        <v>3.0064134399999998</v>
      </c>
      <c r="G112" s="536" t="e">
        <f>IF(FACE!$F$45='Fatores de Emissão'!$J$30,'Fatores de Emissão'!J40,IF(FACE!$F$45='Fatores de Emissão'!$K$30,'Fatores de Emissão'!K40,IF(FACE!$F$45='Fatores de Emissão'!$L$30,'Fatores de Emissão'!L40,IF(FACE!$F$45='Fatores de Emissão'!$M$30,'Fatores de Emissão'!M40,""))))*1000</f>
        <v>#VALUE!</v>
      </c>
      <c r="H112" s="536" t="e">
        <f>IF($F$100='Fatores de Emissão'!$N$30,'Fatores de Emissão'!N40,IF($F$100='Fatores de Emissão'!$O$30,'Fatores de Emissão'!O40,IF($F$100='Fatores de Emissão'!$P$30,'Fatores de Emissão'!P40,IF($F$100='Fatores de Emissão'!$Q$30,'Fatores de Emissão'!Q40,""))))*1000</f>
        <v>#VALUE!</v>
      </c>
      <c r="I112" s="457" t="str">
        <f t="shared" si="8"/>
        <v>-</v>
      </c>
      <c r="J112" s="457" t="str">
        <f t="shared" si="9"/>
        <v>-</v>
      </c>
      <c r="K112" s="457" t="str">
        <f t="shared" si="10"/>
        <v>-</v>
      </c>
      <c r="L112" s="524" t="str">
        <f>IF(C112=0,"-",I112*'Fatores de Emissão'!$E$252+FACE!J112*'Fatores de Emissão'!$E$248+FACE!K112*'Fatores de Emissão'!$E$249)</f>
        <v>-</v>
      </c>
      <c r="M112" s="502">
        <f>'Categoria 3'!$B$12</f>
        <v>2.2411459459459466E-6</v>
      </c>
      <c r="N112" s="366">
        <f t="shared" si="11"/>
        <v>0</v>
      </c>
    </row>
    <row r="113" spans="1:14" s="314" customFormat="1" outlineLevel="1" x14ac:dyDescent="0.35">
      <c r="A113" s="471">
        <v>13</v>
      </c>
      <c r="B113" s="470" t="str">
        <f>'Fatores de Emissão'!$B$41</f>
        <v>Gás de Alto Forno</v>
      </c>
      <c r="C113" s="366">
        <f>SUMIF('Combustão Estacionária'!$C$170:$C$269,B113,'Combustão Estacionária'!$D$170:$D$269)</f>
        <v>0</v>
      </c>
      <c r="D113" s="522" t="str">
        <f>FACE!D58</f>
        <v>kg</v>
      </c>
      <c r="F113" s="535">
        <f t="shared" si="7"/>
        <v>0.64849999999999985</v>
      </c>
      <c r="G113" s="536" t="e">
        <f>IF(FACE!$F$45='Fatores de Emissão'!$J$30,'Fatores de Emissão'!J41,IF(FACE!$F$45='Fatores de Emissão'!$K$30,'Fatores de Emissão'!K41,IF(FACE!$F$45='Fatores de Emissão'!$L$30,'Fatores de Emissão'!L41,IF(FACE!$F$45='Fatores de Emissão'!$M$30,'Fatores de Emissão'!M41,""))))*1000</f>
        <v>#VALUE!</v>
      </c>
      <c r="H113" s="536" t="e">
        <f>IF($F$100='Fatores de Emissão'!$N$30,'Fatores de Emissão'!N41,IF($F$100='Fatores de Emissão'!$O$30,'Fatores de Emissão'!O41,IF($F$100='Fatores de Emissão'!$P$30,'Fatores de Emissão'!P41,IF($F$100='Fatores de Emissão'!$Q$30,'Fatores de Emissão'!Q41,""))))*1000</f>
        <v>#VALUE!</v>
      </c>
      <c r="I113" s="457" t="str">
        <f t="shared" si="8"/>
        <v>-</v>
      </c>
      <c r="J113" s="457" t="str">
        <f t="shared" si="9"/>
        <v>-</v>
      </c>
      <c r="K113" s="457" t="str">
        <f t="shared" si="10"/>
        <v>-</v>
      </c>
      <c r="L113" s="524" t="str">
        <f>IF(C113=0,"-",I113*'Fatores de Emissão'!$E$252+FACE!J113*'Fatores de Emissão'!$E$248+FACE!K113*'Fatores de Emissão'!$E$249)</f>
        <v>-</v>
      </c>
      <c r="M113" s="366"/>
      <c r="N113" s="366">
        <f t="shared" si="11"/>
        <v>0</v>
      </c>
    </row>
    <row r="114" spans="1:14" s="314" customFormat="1" outlineLevel="1" x14ac:dyDescent="0.35">
      <c r="A114" s="471">
        <v>14</v>
      </c>
      <c r="B114" s="470" t="str">
        <f>'Fatores de Emissão'!$B$42</f>
        <v xml:space="preserve">Gás de Coqueria </v>
      </c>
      <c r="C114" s="366">
        <f>SUMIF('Combustão Estacionária'!$C$170:$C$269,B114,'Combustão Estacionária'!$D$170:$D$269)</f>
        <v>0</v>
      </c>
      <c r="D114" s="522" t="str">
        <f>FACE!D59</f>
        <v>kg</v>
      </c>
      <c r="F114" s="535">
        <f t="shared" si="7"/>
        <v>1.7298900000000001</v>
      </c>
      <c r="G114" s="536" t="e">
        <f>IF(FACE!$F$45='Fatores de Emissão'!$J$30,'Fatores de Emissão'!J42,IF(FACE!$F$45='Fatores de Emissão'!$K$30,'Fatores de Emissão'!K42,IF(FACE!$F$45='Fatores de Emissão'!$L$30,'Fatores de Emissão'!L42,IF(FACE!$F$45='Fatores de Emissão'!$M$30,'Fatores de Emissão'!M42,""))))*1000</f>
        <v>#VALUE!</v>
      </c>
      <c r="H114" s="536" t="e">
        <f>IF($F$100='Fatores de Emissão'!$N$30,'Fatores de Emissão'!N42,IF($F$100='Fatores de Emissão'!$O$30,'Fatores de Emissão'!O42,IF($F$100='Fatores de Emissão'!$P$30,'Fatores de Emissão'!P42,IF($F$100='Fatores de Emissão'!$Q$30,'Fatores de Emissão'!Q42,""))))*1000</f>
        <v>#VALUE!</v>
      </c>
      <c r="I114" s="457" t="str">
        <f t="shared" si="8"/>
        <v>-</v>
      </c>
      <c r="J114" s="457" t="str">
        <f t="shared" si="9"/>
        <v>-</v>
      </c>
      <c r="K114" s="457" t="str">
        <f t="shared" si="10"/>
        <v>-</v>
      </c>
      <c r="L114" s="524" t="str">
        <f>IF(C114=0,"-",I114*'Fatores de Emissão'!$E$252+FACE!J114*'Fatores de Emissão'!$E$248+FACE!K114*'Fatores de Emissão'!$E$249)</f>
        <v>-</v>
      </c>
      <c r="M114" s="366"/>
      <c r="N114" s="366">
        <f t="shared" si="11"/>
        <v>0</v>
      </c>
    </row>
    <row r="115" spans="1:14" s="314" customFormat="1" ht="31" outlineLevel="1" x14ac:dyDescent="0.35">
      <c r="A115" s="471">
        <v>15</v>
      </c>
      <c r="B115" s="470" t="str">
        <f>'Fatores de Emissão'!$B$43</f>
        <v>Gás produzido em fábricas</v>
      </c>
      <c r="C115" s="366">
        <f>SUMIF('Combustão Estacionária'!$C$170:$C$269,B115,'Combustão Estacionária'!$D$170:$D$269)</f>
        <v>0</v>
      </c>
      <c r="D115" s="522" t="str">
        <f>FACE!D60</f>
        <v>kg</v>
      </c>
      <c r="F115" s="535">
        <f t="shared" si="7"/>
        <v>1.7298900000000001</v>
      </c>
      <c r="G115" s="536" t="e">
        <f>IF(FACE!$F$45='Fatores de Emissão'!$J$30,'Fatores de Emissão'!J43,IF(FACE!$F$45='Fatores de Emissão'!$K$30,'Fatores de Emissão'!K43,IF(FACE!$F$45='Fatores de Emissão'!$L$30,'Fatores de Emissão'!L43,IF(FACE!$F$45='Fatores de Emissão'!$M$30,'Fatores de Emissão'!M43,""))))*1000</f>
        <v>#VALUE!</v>
      </c>
      <c r="H115" s="536" t="e">
        <f>IF($F$100='Fatores de Emissão'!$N$30,'Fatores de Emissão'!N43,IF($F$100='Fatores de Emissão'!$O$30,'Fatores de Emissão'!O43,IF($F$100='Fatores de Emissão'!$P$30,'Fatores de Emissão'!P43,IF($F$100='Fatores de Emissão'!$Q$30,'Fatores de Emissão'!Q43,""))))*1000</f>
        <v>#VALUE!</v>
      </c>
      <c r="I115" s="457" t="str">
        <f t="shared" si="8"/>
        <v>-</v>
      </c>
      <c r="J115" s="457" t="str">
        <f t="shared" si="9"/>
        <v>-</v>
      </c>
      <c r="K115" s="457" t="str">
        <f t="shared" si="10"/>
        <v>-</v>
      </c>
      <c r="L115" s="524" t="str">
        <f>IF(C115=0,"-",I115*'Fatores de Emissão'!$E$252+FACE!J115*'Fatores de Emissão'!$E$248+FACE!K115*'Fatores de Emissão'!$E$249)</f>
        <v>-</v>
      </c>
      <c r="M115" s="366"/>
      <c r="N115" s="366">
        <f t="shared" si="11"/>
        <v>0</v>
      </c>
    </row>
    <row r="116" spans="1:14" s="314" customFormat="1" ht="31" outlineLevel="1" x14ac:dyDescent="0.35">
      <c r="A116" s="471">
        <v>16</v>
      </c>
      <c r="B116" s="470" t="str">
        <f>'Fatores de Emissão'!$B$44</f>
        <v>Gás de forno de aciaria de oxigénio</v>
      </c>
      <c r="C116" s="366">
        <f>SUMIF('Combustão Estacionária'!$C$170:$C$269,B116,'Combustão Estacionária'!$D$170:$D$269)</f>
        <v>0</v>
      </c>
      <c r="D116" s="522" t="str">
        <f>FACE!D61</f>
        <v>kg</v>
      </c>
      <c r="F116" s="535">
        <f t="shared" si="7"/>
        <v>1.2197800000000001</v>
      </c>
      <c r="G116" s="536" t="e">
        <f>IF(FACE!$F$45='Fatores de Emissão'!$J$30,'Fatores de Emissão'!J44,IF(FACE!$F$45='Fatores de Emissão'!$K$30,'Fatores de Emissão'!K44,IF(FACE!$F$45='Fatores de Emissão'!$L$30,'Fatores de Emissão'!L44,IF(FACE!$F$45='Fatores de Emissão'!$M$30,'Fatores de Emissão'!M44,""))))*1000</f>
        <v>#VALUE!</v>
      </c>
      <c r="H116" s="536" t="e">
        <f>IF($F$100='Fatores de Emissão'!$N$30,'Fatores de Emissão'!N44,IF($F$100='Fatores de Emissão'!$O$30,'Fatores de Emissão'!O44,IF($F$100='Fatores de Emissão'!$P$30,'Fatores de Emissão'!P44,IF($F$100='Fatores de Emissão'!$Q$30,'Fatores de Emissão'!Q44,""))))*1000</f>
        <v>#VALUE!</v>
      </c>
      <c r="I116" s="457" t="str">
        <f t="shared" si="8"/>
        <v>-</v>
      </c>
      <c r="J116" s="457" t="str">
        <f t="shared" si="9"/>
        <v>-</v>
      </c>
      <c r="K116" s="457" t="str">
        <f t="shared" si="10"/>
        <v>-</v>
      </c>
      <c r="L116" s="524" t="str">
        <f>IF(C116=0,"-",I116*'Fatores de Emissão'!$E$252+FACE!J116*'Fatores de Emissão'!$E$248+FACE!K116*'Fatores de Emissão'!$E$249)</f>
        <v>-</v>
      </c>
      <c r="M116" s="366"/>
      <c r="N116" s="366">
        <f t="shared" si="11"/>
        <v>0</v>
      </c>
    </row>
    <row r="117" spans="1:14" s="314" customFormat="1" ht="31" outlineLevel="1" x14ac:dyDescent="0.35">
      <c r="A117" s="471">
        <v>17</v>
      </c>
      <c r="B117" s="470" t="str">
        <f>'Fatores de Emissão'!$B$45</f>
        <v>GPL - Gás de Petróleo Liquefeito</v>
      </c>
      <c r="C117" s="366">
        <f>SUMIF('Combustão Estacionária'!$C$170:$C$269,B117,'Combustão Estacionária'!$D$170:$D$269)</f>
        <v>0</v>
      </c>
      <c r="D117" s="522" t="str">
        <f>FACE!D62</f>
        <v>Litros</v>
      </c>
      <c r="F117" s="535">
        <f t="shared" si="7"/>
        <v>1.4753528999999999</v>
      </c>
      <c r="G117" s="536" t="e">
        <f>IF(FACE!$F$45='Fatores de Emissão'!$J$30,'Fatores de Emissão'!J45,IF(FACE!$F$45='Fatores de Emissão'!$K$30,'Fatores de Emissão'!K45,IF(FACE!$F$45='Fatores de Emissão'!$L$30,'Fatores de Emissão'!L45,IF(FACE!$F$45='Fatores de Emissão'!$M$30,'Fatores de Emissão'!M45,""))))*1000</f>
        <v>#VALUE!</v>
      </c>
      <c r="H117" s="536" t="e">
        <f>IF($F$100='Fatores de Emissão'!$N$30,'Fatores de Emissão'!N45,IF($F$100='Fatores de Emissão'!$O$30,'Fatores de Emissão'!O45,IF($F$100='Fatores de Emissão'!$P$30,'Fatores de Emissão'!P45,IF($F$100='Fatores de Emissão'!$Q$30,'Fatores de Emissão'!Q45,""))))*1000</f>
        <v>#VALUE!</v>
      </c>
      <c r="I117" s="457" t="str">
        <f t="shared" si="8"/>
        <v>-</v>
      </c>
      <c r="J117" s="457" t="str">
        <f t="shared" si="9"/>
        <v>-</v>
      </c>
      <c r="K117" s="457" t="str">
        <f t="shared" si="10"/>
        <v>-</v>
      </c>
      <c r="L117" s="524" t="str">
        <f>IF(C117=0,"-",I117*'Fatores de Emissão'!$E$252+FACE!J117*'Fatores de Emissão'!$E$248+FACE!K117*'Fatores de Emissão'!$E$249)</f>
        <v>-</v>
      </c>
      <c r="M117" s="366"/>
      <c r="N117" s="366">
        <f t="shared" si="11"/>
        <v>0</v>
      </c>
    </row>
    <row r="118" spans="1:14" s="314" customFormat="1" ht="31" outlineLevel="1" x14ac:dyDescent="0.35">
      <c r="A118" s="471">
        <v>18</v>
      </c>
      <c r="B118" s="470" t="str">
        <f>'Fatores de Emissão'!$B$46</f>
        <v>Gás de Refinaria (não liquefeito)</v>
      </c>
      <c r="C118" s="366">
        <f>SUMIF('Combustão Estacionária'!$C$170:$C$269,B118,'Combustão Estacionária'!$D$170:$D$269)</f>
        <v>0</v>
      </c>
      <c r="D118" s="522" t="str">
        <f>FACE!D63</f>
        <v>kg</v>
      </c>
      <c r="F118" s="535">
        <f t="shared" si="7"/>
        <v>2.5393500000000002</v>
      </c>
      <c r="G118" s="536" t="e">
        <f>IF(FACE!$F$45='Fatores de Emissão'!$J$30,'Fatores de Emissão'!J46,IF(FACE!$F$45='Fatores de Emissão'!$K$30,'Fatores de Emissão'!K46,IF(FACE!$F$45='Fatores de Emissão'!$L$30,'Fatores de Emissão'!L46,IF(FACE!$F$45='Fatores de Emissão'!$M$30,'Fatores de Emissão'!M46,""))))*1000</f>
        <v>#VALUE!</v>
      </c>
      <c r="H118" s="536" t="e">
        <f>IF($F$100='Fatores de Emissão'!$N$30,'Fatores de Emissão'!N46,IF($F$100='Fatores de Emissão'!$O$30,'Fatores de Emissão'!O46,IF($F$100='Fatores de Emissão'!$P$30,'Fatores de Emissão'!P46,IF($F$100='Fatores de Emissão'!$Q$30,'Fatores de Emissão'!Q46,""))))*1000</f>
        <v>#VALUE!</v>
      </c>
      <c r="I118" s="457" t="str">
        <f t="shared" si="8"/>
        <v>-</v>
      </c>
      <c r="J118" s="457" t="str">
        <f t="shared" si="9"/>
        <v>-</v>
      </c>
      <c r="K118" s="457" t="str">
        <f t="shared" si="10"/>
        <v>-</v>
      </c>
      <c r="L118" s="524" t="str">
        <f>IF(C118=0,"-",I118*'Fatores de Emissão'!$E$252+FACE!J118*'Fatores de Emissão'!$E$248+FACE!K118*'Fatores de Emissão'!$E$249)</f>
        <v>-</v>
      </c>
      <c r="M118" s="502">
        <f>'Categoria 3'!$B$12</f>
        <v>2.2411459459459466E-6</v>
      </c>
      <c r="N118" s="366">
        <f t="shared" si="11"/>
        <v>0</v>
      </c>
    </row>
    <row r="119" spans="1:14" s="314" customFormat="1" outlineLevel="1" x14ac:dyDescent="0.35">
      <c r="A119" s="471">
        <v>19</v>
      </c>
      <c r="B119" s="470" t="str">
        <f>'Fatores de Emissão'!$B$47</f>
        <v>Gás Natural</v>
      </c>
      <c r="C119" s="366">
        <f>SUMIF('Combustão Estacionária'!$C$170:$C$269,B119,'Combustão Estacionária'!$D$170:$D$269)</f>
        <v>0</v>
      </c>
      <c r="D119" s="522" t="str">
        <f>FACE!D64</f>
        <v>m3</v>
      </c>
      <c r="F119" s="535">
        <f t="shared" si="7"/>
        <v>2.4295207639999994</v>
      </c>
      <c r="G119" s="536" t="e">
        <f>IF(FACE!$F$45='Fatores de Emissão'!$J$30,'Fatores de Emissão'!J47,IF(FACE!$F$45='Fatores de Emissão'!$K$30,'Fatores de Emissão'!K47,IF(FACE!$F$45='Fatores de Emissão'!$L$30,'Fatores de Emissão'!L47,IF(FACE!$F$45='Fatores de Emissão'!$M$30,'Fatores de Emissão'!M47,""))))*1000</f>
        <v>#VALUE!</v>
      </c>
      <c r="H119" s="536" t="e">
        <f>IF($F$100='Fatores de Emissão'!$N$30,'Fatores de Emissão'!N47,IF($F$100='Fatores de Emissão'!$O$30,'Fatores de Emissão'!O47,IF($F$100='Fatores de Emissão'!$P$30,'Fatores de Emissão'!P47,IF($F$100='Fatores de Emissão'!$Q$30,'Fatores de Emissão'!Q47,""))))*1000</f>
        <v>#VALUE!</v>
      </c>
      <c r="I119" s="457" t="str">
        <f t="shared" si="8"/>
        <v>-</v>
      </c>
      <c r="J119" s="457" t="str">
        <f t="shared" si="9"/>
        <v>-</v>
      </c>
      <c r="K119" s="457" t="str">
        <f t="shared" si="10"/>
        <v>-</v>
      </c>
      <c r="L119" s="524" t="str">
        <f>IF(C119=0,"-",I119*'Fatores de Emissão'!$E$252+FACE!J119*'Fatores de Emissão'!$E$248+FACE!K119*'Fatores de Emissão'!$E$249)</f>
        <v>-</v>
      </c>
      <c r="M119" s="503">
        <v>1.759262433046875E-5</v>
      </c>
      <c r="N119" s="366">
        <f t="shared" si="11"/>
        <v>0</v>
      </c>
    </row>
    <row r="120" spans="1:14" s="314" customFormat="1" ht="31" outlineLevel="1" x14ac:dyDescent="0.35">
      <c r="A120" s="471">
        <v>20</v>
      </c>
      <c r="B120" s="470" t="str">
        <f>'Fatores de Emissão'!$B$48</f>
        <v>Gás Natural (superior a 93% de metano)</v>
      </c>
      <c r="C120" s="366">
        <f>SUMIF('Combustão Estacionária'!$C$170:$C$269,B120,'Combustão Estacionária'!$D$170:$D$269)</f>
        <v>0</v>
      </c>
      <c r="D120" s="522" t="str">
        <f>FACE!D65</f>
        <v>m³</v>
      </c>
      <c r="F120" s="535">
        <f t="shared" si="7"/>
        <v>2.2441705440000002</v>
      </c>
      <c r="G120" s="536" t="e">
        <f>IF(FACE!$F$45='Fatores de Emissão'!$J$30,'Fatores de Emissão'!J48,IF(FACE!$F$45='Fatores de Emissão'!$K$30,'Fatores de Emissão'!K48,IF(FACE!$F$45='Fatores de Emissão'!$L$30,'Fatores de Emissão'!L48,IF(FACE!$F$45='Fatores de Emissão'!$M$30,'Fatores de Emissão'!M48,""))))*1000</f>
        <v>#VALUE!</v>
      </c>
      <c r="H120" s="536" t="e">
        <f>IF($F$100='Fatores de Emissão'!$N$30,'Fatores de Emissão'!N48,IF($F$100='Fatores de Emissão'!$O$30,'Fatores de Emissão'!O48,IF($F$100='Fatores de Emissão'!$P$30,'Fatores de Emissão'!P48,IF($F$100='Fatores de Emissão'!$Q$30,'Fatores de Emissão'!Q48,""))))*1000</f>
        <v>#VALUE!</v>
      </c>
      <c r="I120" s="457" t="str">
        <f t="shared" si="8"/>
        <v>-</v>
      </c>
      <c r="J120" s="457" t="str">
        <f t="shared" si="9"/>
        <v>-</v>
      </c>
      <c r="K120" s="457" t="str">
        <f t="shared" si="10"/>
        <v>-</v>
      </c>
      <c r="L120" s="524" t="str">
        <f>IF(C120=0,"-",I120*'Fatores de Emissão'!$E$252+FACE!J120*'Fatores de Emissão'!$E$248+FACE!K120*'Fatores de Emissão'!$E$249)</f>
        <v>-</v>
      </c>
      <c r="M120" s="503">
        <v>1.759262433046875E-5</v>
      </c>
      <c r="N120" s="366">
        <f t="shared" si="11"/>
        <v>0</v>
      </c>
    </row>
    <row r="121" spans="1:14" s="314" customFormat="1" ht="31" outlineLevel="1" x14ac:dyDescent="0.35">
      <c r="A121" s="471">
        <v>21</v>
      </c>
      <c r="B121" s="470" t="str">
        <f>'Fatores de Emissão'!$B$49</f>
        <v>LGN - Gás Natural Liquefeito</v>
      </c>
      <c r="C121" s="366">
        <f>SUMIF('Combustão Estacionária'!$C$170:$C$269,B121,'Combustão Estacionária'!$D$170:$D$269)</f>
        <v>0</v>
      </c>
      <c r="D121" s="522" t="str">
        <f>FACE!D66</f>
        <v>kg</v>
      </c>
      <c r="F121" s="535">
        <f t="shared" si="7"/>
        <v>2.8652700000000002</v>
      </c>
      <c r="G121" s="536" t="e">
        <f>IF(FACE!$F$45='Fatores de Emissão'!$J$30,'Fatores de Emissão'!J49,IF(FACE!$F$45='Fatores de Emissão'!$K$30,'Fatores de Emissão'!K49,IF(FACE!$F$45='Fatores de Emissão'!$L$30,'Fatores de Emissão'!L49,IF(FACE!$F$45='Fatores de Emissão'!$M$30,'Fatores de Emissão'!M49,""))))*1000</f>
        <v>#VALUE!</v>
      </c>
      <c r="H121" s="536" t="e">
        <f>IF($F$100='Fatores de Emissão'!$N$30,'Fatores de Emissão'!N49,IF($F$100='Fatores de Emissão'!$O$30,'Fatores de Emissão'!O49,IF($F$100='Fatores de Emissão'!$P$30,'Fatores de Emissão'!P49,IF($F$100='Fatores de Emissão'!$Q$30,'Fatores de Emissão'!Q49,""))))*1000</f>
        <v>#VALUE!</v>
      </c>
      <c r="I121" s="457" t="str">
        <f t="shared" si="8"/>
        <v>-</v>
      </c>
      <c r="J121" s="457" t="str">
        <f t="shared" si="9"/>
        <v>-</v>
      </c>
      <c r="K121" s="457" t="str">
        <f t="shared" si="10"/>
        <v>-</v>
      </c>
      <c r="L121" s="524" t="str">
        <f>IF(C121=0,"-",I121*'Fatores de Emissão'!$E$252+FACE!J121*'Fatores de Emissão'!$E$248+FACE!K121*'Fatores de Emissão'!$E$249)</f>
        <v>-</v>
      </c>
      <c r="M121" s="504"/>
      <c r="N121" s="366">
        <f t="shared" si="11"/>
        <v>0</v>
      </c>
    </row>
    <row r="122" spans="1:14" s="314" customFormat="1" ht="31" outlineLevel="1" x14ac:dyDescent="0.35">
      <c r="A122" s="471">
        <v>22</v>
      </c>
      <c r="B122" s="470" t="str">
        <f>'Fatores de Emissão'!$B$50</f>
        <v>Gasóleo / óleo diesel (fuelóleo destilado)</v>
      </c>
      <c r="C122" s="366">
        <f>SUMIF('Combustão Estacionária'!$C$170:$C$269,B122,'Combustão Estacionária'!$D$170:$D$269)</f>
        <v>0</v>
      </c>
      <c r="D122" s="522" t="str">
        <f>FACE!D67</f>
        <v>Litros</v>
      </c>
      <c r="F122" s="535">
        <f t="shared" si="7"/>
        <v>2.6509464</v>
      </c>
      <c r="G122" s="536" t="e">
        <f>IF(FACE!$F$45='Fatores de Emissão'!$J$30,'Fatores de Emissão'!J50,IF(FACE!$F$45='Fatores de Emissão'!$K$30,'Fatores de Emissão'!K50,IF(FACE!$F$45='Fatores de Emissão'!$L$30,'Fatores de Emissão'!L50,IF(FACE!$F$45='Fatores de Emissão'!$M$30,'Fatores de Emissão'!M50,""))))*1000</f>
        <v>#VALUE!</v>
      </c>
      <c r="H122" s="536" t="e">
        <f>IF($F$100='Fatores de Emissão'!$N$30,'Fatores de Emissão'!N50,IF($F$100='Fatores de Emissão'!$O$30,'Fatores de Emissão'!O50,IF($F$100='Fatores de Emissão'!$P$30,'Fatores de Emissão'!P50,IF($F$100='Fatores de Emissão'!$Q$30,'Fatores de Emissão'!Q50,""))))*1000</f>
        <v>#VALUE!</v>
      </c>
      <c r="I122" s="457" t="str">
        <f t="shared" si="8"/>
        <v>-</v>
      </c>
      <c r="J122" s="457" t="str">
        <f t="shared" si="9"/>
        <v>-</v>
      </c>
      <c r="K122" s="457" t="str">
        <f t="shared" si="10"/>
        <v>-</v>
      </c>
      <c r="L122" s="524" t="str">
        <f>IF(C122=0,"-",I122*'Fatores de Emissão'!$E$252+FACE!J122*'Fatores de Emissão'!$E$248+FACE!K122*'Fatores de Emissão'!$E$249)</f>
        <v>-</v>
      </c>
      <c r="M122" s="502">
        <f>'Categoria 3'!$B$12</f>
        <v>2.2411459459459466E-6</v>
      </c>
      <c r="N122" s="366">
        <f t="shared" si="11"/>
        <v>0</v>
      </c>
    </row>
    <row r="123" spans="1:14" s="314" customFormat="1" outlineLevel="1" x14ac:dyDescent="0.35">
      <c r="A123" s="471">
        <v>23</v>
      </c>
      <c r="B123" s="470" t="str">
        <f>'Fatores de Emissão'!$B$52</f>
        <v>Gasolina de Aviação</v>
      </c>
      <c r="C123" s="366">
        <f>SUMIF('Combustão Estacionária'!$C$170:$C$269,B123,'Combustão Estacionária'!$D$170:$D$269)</f>
        <v>0</v>
      </c>
      <c r="D123" s="522" t="str">
        <f>FACE!D68</f>
        <v>Litros</v>
      </c>
      <c r="F123" s="535">
        <f t="shared" si="7"/>
        <v>2.3179975000000002</v>
      </c>
      <c r="G123" s="536" t="e">
        <f>IF(FACE!$F$45='Fatores de Emissão'!$J$30,'Fatores de Emissão'!J52,IF(FACE!$F$45='Fatores de Emissão'!$K$30,'Fatores de Emissão'!K52,IF(FACE!$F$45='Fatores de Emissão'!$L$30,'Fatores de Emissão'!L52,IF(FACE!$F$45='Fatores de Emissão'!$M$30,'Fatores de Emissão'!M52,""))))*1000</f>
        <v>#VALUE!</v>
      </c>
      <c r="H123" s="536" t="e">
        <f>IF($F$100='Fatores de Emissão'!$N$30,'Fatores de Emissão'!N52,IF($F$100='Fatores de Emissão'!$O$30,'Fatores de Emissão'!O52,IF($F$100='Fatores de Emissão'!$P$30,'Fatores de Emissão'!P52,IF($F$100='Fatores de Emissão'!$Q$30,'Fatores de Emissão'!Q52,""))))*1000</f>
        <v>#VALUE!</v>
      </c>
      <c r="I123" s="457" t="str">
        <f t="shared" si="8"/>
        <v>-</v>
      </c>
      <c r="J123" s="457" t="str">
        <f t="shared" si="9"/>
        <v>-</v>
      </c>
      <c r="K123" s="457" t="str">
        <f t="shared" si="10"/>
        <v>-</v>
      </c>
      <c r="L123" s="524" t="str">
        <f>IF(C123=0,"-",I123*'Fatores de Emissão'!$E$252+FACE!J123*'Fatores de Emissão'!$E$248+FACE!K123*'Fatores de Emissão'!$E$249)</f>
        <v>-</v>
      </c>
      <c r="M123" s="502">
        <f>'Categoria 3'!$B$12</f>
        <v>2.2411459459459466E-6</v>
      </c>
      <c r="N123" s="366">
        <f t="shared" si="11"/>
        <v>0</v>
      </c>
    </row>
    <row r="124" spans="1:14" s="314" customFormat="1" ht="46.5" outlineLevel="1" x14ac:dyDescent="0.35">
      <c r="A124" s="471">
        <v>24</v>
      </c>
      <c r="B124" s="470" t="str">
        <f>'Fatores de Emissão'!$B$53</f>
        <v>Gasolina tipo Jet Fuel (nafta tipo Jet Fuel ou JP4)</v>
      </c>
      <c r="C124" s="366">
        <f>SUMIF('Combustão Estacionária'!$C$170:$C$269,B124,'Combustão Estacionária'!$D$170:$D$269)</f>
        <v>0</v>
      </c>
      <c r="D124" s="522" t="str">
        <f>FACE!D69</f>
        <v>Litros</v>
      </c>
      <c r="F124" s="535">
        <f t="shared" si="7"/>
        <v>2.3179975000000002</v>
      </c>
      <c r="G124" s="536" t="e">
        <f>IF(FACE!$F$45='Fatores de Emissão'!$J$30,'Fatores de Emissão'!J53,IF(FACE!$F$45='Fatores de Emissão'!$K$30,'Fatores de Emissão'!K53,IF(FACE!$F$45='Fatores de Emissão'!$L$30,'Fatores de Emissão'!L53,IF(FACE!$F$45='Fatores de Emissão'!$M$30,'Fatores de Emissão'!M53,""))))*1000</f>
        <v>#VALUE!</v>
      </c>
      <c r="H124" s="536" t="e">
        <f>IF($F$100='Fatores de Emissão'!$N$30,'Fatores de Emissão'!N53,IF($F$100='Fatores de Emissão'!$O$30,'Fatores de Emissão'!O53,IF($F$100='Fatores de Emissão'!$P$30,'Fatores de Emissão'!P53,IF($F$100='Fatores de Emissão'!$Q$30,'Fatores de Emissão'!Q53,""))))*1000</f>
        <v>#VALUE!</v>
      </c>
      <c r="I124" s="457" t="str">
        <f t="shared" si="8"/>
        <v>-</v>
      </c>
      <c r="J124" s="457" t="str">
        <f t="shared" si="9"/>
        <v>-</v>
      </c>
      <c r="K124" s="457" t="str">
        <f t="shared" si="10"/>
        <v>-</v>
      </c>
      <c r="L124" s="524" t="str">
        <f>IF(C124=0,"-",I124*'Fatores de Emissão'!$E$252+FACE!J124*'Fatores de Emissão'!$E$248+FACE!K124*'Fatores de Emissão'!$E$249)</f>
        <v>-</v>
      </c>
      <c r="M124" s="366"/>
      <c r="N124" s="366">
        <f t="shared" si="11"/>
        <v>0</v>
      </c>
    </row>
    <row r="125" spans="1:14" s="314" customFormat="1" outlineLevel="1" x14ac:dyDescent="0.35">
      <c r="A125" s="471">
        <v>25</v>
      </c>
      <c r="B125" s="470" t="str">
        <f>'Fatores de Emissão'!$B$54</f>
        <v>Linhite castanha</v>
      </c>
      <c r="C125" s="366">
        <f>SUMIF('Combustão Estacionária'!$C$170:$C$269,B125,'Combustão Estacionária'!$D$170:$D$269)</f>
        <v>0</v>
      </c>
      <c r="D125" s="522" t="str">
        <f>FACE!D70</f>
        <v>kg</v>
      </c>
      <c r="F125" s="535">
        <f t="shared" si="7"/>
        <v>0.81385500000000011</v>
      </c>
      <c r="G125" s="536" t="e">
        <f>IF(FACE!$F$45='Fatores de Emissão'!$J$30,'Fatores de Emissão'!J54,IF(FACE!$F$45='Fatores de Emissão'!$K$30,'Fatores de Emissão'!K54,IF(FACE!$F$45='Fatores de Emissão'!$L$30,'Fatores de Emissão'!L54,IF(FACE!$F$45='Fatores de Emissão'!$M$30,'Fatores de Emissão'!M54,""))))*1000</f>
        <v>#VALUE!</v>
      </c>
      <c r="H125" s="536" t="e">
        <f>IF($F$100='Fatores de Emissão'!$N$30,'Fatores de Emissão'!N54,IF($F$100='Fatores de Emissão'!$O$30,'Fatores de Emissão'!O54,IF($F$100='Fatores de Emissão'!$P$30,'Fatores de Emissão'!P54,IF($F$100='Fatores de Emissão'!$Q$30,'Fatores de Emissão'!Q54,""))))*1000</f>
        <v>#VALUE!</v>
      </c>
      <c r="I125" s="457" t="str">
        <f t="shared" si="8"/>
        <v>-</v>
      </c>
      <c r="J125" s="457" t="str">
        <f t="shared" si="9"/>
        <v>-</v>
      </c>
      <c r="K125" s="457" t="str">
        <f t="shared" si="10"/>
        <v>-</v>
      </c>
      <c r="L125" s="524" t="str">
        <f>IF(C125=0,"-",I125*'Fatores de Emissão'!$E$252+FACE!J125*'Fatores de Emissão'!$E$248+FACE!K125*'Fatores de Emissão'!$E$249)</f>
        <v>-</v>
      </c>
      <c r="M125" s="366"/>
      <c r="N125" s="366">
        <f t="shared" si="11"/>
        <v>0</v>
      </c>
    </row>
    <row r="126" spans="1:14" s="314" customFormat="1" outlineLevel="1" x14ac:dyDescent="0.35">
      <c r="A126" s="471">
        <v>26</v>
      </c>
      <c r="B126" s="470" t="str">
        <f>'Fatores de Emissão'!$B$55</f>
        <v>Linhite preta</v>
      </c>
      <c r="C126" s="366">
        <f>SUMIF('Combustão Estacionária'!$C$170:$C$269,B126,'Combustão Estacionária'!$D$170:$D$269)</f>
        <v>0</v>
      </c>
      <c r="D126" s="522" t="str">
        <f>FACE!D71</f>
        <v>kg</v>
      </c>
      <c r="F126" s="535">
        <f t="shared" si="7"/>
        <v>1.5670500000000001</v>
      </c>
      <c r="G126" s="536" t="e">
        <f>IF(FACE!$F$45='Fatores de Emissão'!$J$30,'Fatores de Emissão'!J55,IF(FACE!$F$45='Fatores de Emissão'!$K$30,'Fatores de Emissão'!K55,IF(FACE!$F$45='Fatores de Emissão'!$L$30,'Fatores de Emissão'!L55,IF(FACE!$F$45='Fatores de Emissão'!$M$30,'Fatores de Emissão'!M55,""))))*1000</f>
        <v>#VALUE!</v>
      </c>
      <c r="H126" s="536" t="e">
        <f>IF($F$100='Fatores de Emissão'!$N$30,'Fatores de Emissão'!N55,IF($F$100='Fatores de Emissão'!$O$30,'Fatores de Emissão'!O55,IF($F$100='Fatores de Emissão'!$P$30,'Fatores de Emissão'!P55,IF($F$100='Fatores de Emissão'!$Q$30,'Fatores de Emissão'!Q55,""))))*1000</f>
        <v>#VALUE!</v>
      </c>
      <c r="I126" s="457" t="str">
        <f t="shared" si="8"/>
        <v>-</v>
      </c>
      <c r="J126" s="457" t="str">
        <f t="shared" si="9"/>
        <v>-</v>
      </c>
      <c r="K126" s="457" t="str">
        <f t="shared" si="10"/>
        <v>-</v>
      </c>
      <c r="L126" s="524" t="str">
        <f>IF(C126=0,"-",I126*'Fatores de Emissão'!$E$252+FACE!J126*'Fatores de Emissão'!$E$248+FACE!K126*'Fatores de Emissão'!$E$249)</f>
        <v>-</v>
      </c>
      <c r="M126" s="366"/>
      <c r="N126" s="366">
        <f t="shared" si="11"/>
        <v>0</v>
      </c>
    </row>
    <row r="127" spans="1:14" s="314" customFormat="1" outlineLevel="1" x14ac:dyDescent="0.35">
      <c r="A127" s="471">
        <v>27</v>
      </c>
      <c r="B127" s="470" t="str">
        <f>'Fatores de Emissão'!$B$56</f>
        <v>Lubrificantes</v>
      </c>
      <c r="C127" s="366">
        <f>SUMIF('Combustão Estacionária'!$C$170:$C$269,B127,'Combustão Estacionária'!$D$170:$D$269)</f>
        <v>0</v>
      </c>
      <c r="D127" s="522" t="str">
        <f>FACE!D72</f>
        <v>kg</v>
      </c>
      <c r="F127" s="535">
        <f t="shared" si="7"/>
        <v>2.9466600000000001</v>
      </c>
      <c r="G127" s="536" t="e">
        <f>IF(FACE!$F$45='Fatores de Emissão'!$J$30,'Fatores de Emissão'!J56,IF(FACE!$F$45='Fatores de Emissão'!$K$30,'Fatores de Emissão'!K56,IF(FACE!$F$45='Fatores de Emissão'!$L$30,'Fatores de Emissão'!L56,IF(FACE!$F$45='Fatores de Emissão'!$M$30,'Fatores de Emissão'!M56,""))))*1000</f>
        <v>#VALUE!</v>
      </c>
      <c r="H127" s="536" t="e">
        <f>IF($F$100='Fatores de Emissão'!$N$30,'Fatores de Emissão'!N56,IF($F$100='Fatores de Emissão'!$O$30,'Fatores de Emissão'!O56,IF($F$100='Fatores de Emissão'!$P$30,'Fatores de Emissão'!P56,IF($F$100='Fatores de Emissão'!$Q$30,'Fatores de Emissão'!Q56,""))))*1000</f>
        <v>#VALUE!</v>
      </c>
      <c r="I127" s="457" t="str">
        <f t="shared" si="8"/>
        <v>-</v>
      </c>
      <c r="J127" s="457" t="str">
        <f t="shared" si="9"/>
        <v>-</v>
      </c>
      <c r="K127" s="457" t="str">
        <f t="shared" si="10"/>
        <v>-</v>
      </c>
      <c r="L127" s="524" t="str">
        <f>IF(C127=0,"-",I127*'Fatores de Emissão'!$E$252+FACE!J127*'Fatores de Emissão'!$E$248+FACE!K127*'Fatores de Emissão'!$E$249)</f>
        <v>-</v>
      </c>
      <c r="M127" s="502">
        <f>'Categoria 3'!$B$12</f>
        <v>2.2411459459459466E-6</v>
      </c>
      <c r="N127" s="366">
        <f t="shared" si="11"/>
        <v>0</v>
      </c>
    </row>
    <row r="128" spans="1:14" s="314" customFormat="1" ht="31" outlineLevel="1" x14ac:dyDescent="0.35">
      <c r="A128" s="471">
        <v>28</v>
      </c>
      <c r="B128" s="470" t="str">
        <f>'Fatores de Emissão'!$B$57</f>
        <v>Matérias-primas para refinarias</v>
      </c>
      <c r="C128" s="366">
        <f>SUMIF('Combustão Estacionária'!$C$170:$C$269,B128,'Combustão Estacionária'!$D$170:$D$269)</f>
        <v>0</v>
      </c>
      <c r="D128" s="522" t="str">
        <f>FACE!D73</f>
        <v>kg</v>
      </c>
      <c r="F128" s="535">
        <f t="shared" si="7"/>
        <v>3.1518999999999999</v>
      </c>
      <c r="G128" s="536" t="e">
        <f>IF(FACE!$F$45='Fatores de Emissão'!$J$30,'Fatores de Emissão'!J57,IF(FACE!$F$45='Fatores de Emissão'!$K$30,'Fatores de Emissão'!K57,IF(FACE!$F$45='Fatores de Emissão'!$L$30,'Fatores de Emissão'!L57,IF(FACE!$F$45='Fatores de Emissão'!$M$30,'Fatores de Emissão'!M57,""))))*1000</f>
        <v>#VALUE!</v>
      </c>
      <c r="H128" s="536" t="e">
        <f>IF($F$100='Fatores de Emissão'!$N$30,'Fatores de Emissão'!N57,IF($F$100='Fatores de Emissão'!$O$30,'Fatores de Emissão'!O57,IF($F$100='Fatores de Emissão'!$P$30,'Fatores de Emissão'!P57,IF($F$100='Fatores de Emissão'!$Q$30,'Fatores de Emissão'!Q57,""))))*1000</f>
        <v>#VALUE!</v>
      </c>
      <c r="I128" s="457" t="str">
        <f t="shared" si="8"/>
        <v>-</v>
      </c>
      <c r="J128" s="457" t="str">
        <f t="shared" si="9"/>
        <v>-</v>
      </c>
      <c r="K128" s="457" t="str">
        <f t="shared" si="10"/>
        <v>-</v>
      </c>
      <c r="L128" s="524" t="str">
        <f>IF(C128=0,"-",I128*'Fatores de Emissão'!$E$252+FACE!J128*'Fatores de Emissão'!$E$248+FACE!K128*'Fatores de Emissão'!$E$249)</f>
        <v>-</v>
      </c>
      <c r="M128" s="502"/>
      <c r="N128" s="366">
        <f t="shared" si="11"/>
        <v>0</v>
      </c>
    </row>
    <row r="129" spans="1:14" s="314" customFormat="1" outlineLevel="1" x14ac:dyDescent="0.35">
      <c r="A129" s="471">
        <v>29</v>
      </c>
      <c r="B129" s="470" t="str">
        <f>'Fatores de Emissão'!$B$58</f>
        <v xml:space="preserve">Nafta </v>
      </c>
      <c r="C129" s="366">
        <f>SUMIF('Combustão Estacionária'!$C$170:$C$269,B129,'Combustão Estacionária'!$D$170:$D$269)</f>
        <v>0</v>
      </c>
      <c r="D129" s="522" t="str">
        <f>FACE!D74</f>
        <v>Litros</v>
      </c>
      <c r="F129" s="535">
        <f t="shared" si="7"/>
        <v>2.4463875000000002</v>
      </c>
      <c r="G129" s="536" t="e">
        <f>IF(FACE!$F$45='Fatores de Emissão'!$J$30,'Fatores de Emissão'!J58,IF(FACE!$F$45='Fatores de Emissão'!$K$30,'Fatores de Emissão'!K58,IF(FACE!$F$45='Fatores de Emissão'!$L$30,'Fatores de Emissão'!L58,IF(FACE!$F$45='Fatores de Emissão'!$M$30,'Fatores de Emissão'!M58,""))))*1000</f>
        <v>#VALUE!</v>
      </c>
      <c r="H129" s="536" t="e">
        <f>IF($F$100='Fatores de Emissão'!$N$30,'Fatores de Emissão'!N58,IF($F$100='Fatores de Emissão'!$O$30,'Fatores de Emissão'!O58,IF($F$100='Fatores de Emissão'!$P$30,'Fatores de Emissão'!P58,IF($F$100='Fatores de Emissão'!$Q$30,'Fatores de Emissão'!Q58,""))))*1000</f>
        <v>#VALUE!</v>
      </c>
      <c r="I129" s="457" t="str">
        <f t="shared" si="8"/>
        <v>-</v>
      </c>
      <c r="J129" s="457" t="str">
        <f t="shared" si="9"/>
        <v>-</v>
      </c>
      <c r="K129" s="457" t="str">
        <f t="shared" si="10"/>
        <v>-</v>
      </c>
      <c r="L129" s="524" t="str">
        <f>IF(C129=0,"-",I129*'Fatores de Emissão'!$E$252+FACE!J129*'Fatores de Emissão'!$E$248+FACE!K129*'Fatores de Emissão'!$E$249)</f>
        <v>-</v>
      </c>
      <c r="M129" s="502">
        <f>'Categoria 3'!$B$12</f>
        <v>2.2411459459459466E-6</v>
      </c>
      <c r="N129" s="366">
        <f t="shared" si="11"/>
        <v>0</v>
      </c>
    </row>
    <row r="130" spans="1:14" s="314" customFormat="1" outlineLevel="1" x14ac:dyDescent="0.35">
      <c r="A130" s="471">
        <v>30</v>
      </c>
      <c r="B130" s="470" t="str">
        <f>'Fatores de Emissão'!$B$59</f>
        <v>Óleo de Xisto</v>
      </c>
      <c r="C130" s="366">
        <f>SUMIF('Combustão Estacionária'!$C$170:$C$269,B130,'Combustão Estacionária'!$D$170:$D$269)</f>
        <v>0</v>
      </c>
      <c r="D130" s="522" t="str">
        <f>FACE!D75</f>
        <v>kg</v>
      </c>
      <c r="F130" s="535">
        <f t="shared" si="7"/>
        <v>2.7927300000000002</v>
      </c>
      <c r="G130" s="536" t="e">
        <f>IF(FACE!$F$45='Fatores de Emissão'!$J$30,'Fatores de Emissão'!J59,IF(FACE!$F$45='Fatores de Emissão'!$K$30,'Fatores de Emissão'!K59,IF(FACE!$F$45='Fatores de Emissão'!$L$30,'Fatores de Emissão'!L59,IF(FACE!$F$45='Fatores de Emissão'!$M$30,'Fatores de Emissão'!M59,""))))*1000</f>
        <v>#VALUE!</v>
      </c>
      <c r="H130" s="536" t="e">
        <f>IF($F$100='Fatores de Emissão'!$N$30,'Fatores de Emissão'!N59,IF($F$100='Fatores de Emissão'!$O$30,'Fatores de Emissão'!O59,IF($F$100='Fatores de Emissão'!$P$30,'Fatores de Emissão'!P59,IF($F$100='Fatores de Emissão'!$Q$30,'Fatores de Emissão'!Q59,""))))*1000</f>
        <v>#VALUE!</v>
      </c>
      <c r="I130" s="457" t="str">
        <f t="shared" si="8"/>
        <v>-</v>
      </c>
      <c r="J130" s="457" t="str">
        <f t="shared" si="9"/>
        <v>-</v>
      </c>
      <c r="K130" s="457" t="str">
        <f t="shared" si="10"/>
        <v>-</v>
      </c>
      <c r="L130" s="524" t="str">
        <f>IF(C130=0,"-",I130*'Fatores de Emissão'!$E$252+FACE!J130*'Fatores de Emissão'!$E$248+FACE!K130*'Fatores de Emissão'!$E$249)</f>
        <v>-</v>
      </c>
      <c r="M130" s="366"/>
      <c r="N130" s="366">
        <f t="shared" si="11"/>
        <v>0</v>
      </c>
    </row>
    <row r="131" spans="1:14" s="314" customFormat="1" outlineLevel="1" x14ac:dyDescent="0.35">
      <c r="A131" s="471">
        <v>31</v>
      </c>
      <c r="B131" s="470" t="str">
        <f>'Fatores de Emissão'!$B$60</f>
        <v>Óleos Usados</v>
      </c>
      <c r="C131" s="366">
        <f>SUMIF('Combustão Estacionária'!$C$170:$C$269,B131,'Combustão Estacionária'!$D$170:$D$269)</f>
        <v>0</v>
      </c>
      <c r="D131" s="522" t="str">
        <f>FACE!D76</f>
        <v>kg</v>
      </c>
      <c r="F131" s="535">
        <f t="shared" si="7"/>
        <v>2.9466600000000001</v>
      </c>
      <c r="G131" s="536" t="e">
        <f>IF(FACE!$F$45='Fatores de Emissão'!$J$30,'Fatores de Emissão'!J60,IF(FACE!$F$45='Fatores de Emissão'!$K$30,'Fatores de Emissão'!K60,IF(FACE!$F$45='Fatores de Emissão'!$L$30,'Fatores de Emissão'!L60,IF(FACE!$F$45='Fatores de Emissão'!$M$30,'Fatores de Emissão'!M60,""))))*1000</f>
        <v>#VALUE!</v>
      </c>
      <c r="H131" s="536" t="e">
        <f>IF($F$100='Fatores de Emissão'!$N$30,'Fatores de Emissão'!N60,IF($F$100='Fatores de Emissão'!$O$30,'Fatores de Emissão'!O60,IF($F$100='Fatores de Emissão'!$P$30,'Fatores de Emissão'!P60,IF($F$100='Fatores de Emissão'!$Q$30,'Fatores de Emissão'!Q60,""))))*1000</f>
        <v>#VALUE!</v>
      </c>
      <c r="I131" s="457" t="str">
        <f t="shared" si="8"/>
        <v>-</v>
      </c>
      <c r="J131" s="457" t="str">
        <f t="shared" si="9"/>
        <v>-</v>
      </c>
      <c r="K131" s="457" t="str">
        <f t="shared" si="10"/>
        <v>-</v>
      </c>
      <c r="L131" s="524" t="str">
        <f>IF(C131=0,"-",I131*'Fatores de Emissão'!$E$252+FACE!J131*'Fatores de Emissão'!$E$248+FACE!K131*'Fatores de Emissão'!$E$249)</f>
        <v>-</v>
      </c>
      <c r="M131" s="366"/>
      <c r="N131" s="366">
        <f t="shared" si="11"/>
        <v>0</v>
      </c>
    </row>
    <row r="132" spans="1:14" s="314" customFormat="1" outlineLevel="1" x14ac:dyDescent="0.35">
      <c r="A132" s="471">
        <v>32</v>
      </c>
      <c r="B132" s="470" t="str">
        <f>'Fatores de Emissão'!$B$61</f>
        <v>Orimulsão</v>
      </c>
      <c r="C132" s="366">
        <f>SUMIF('Combustão Estacionária'!$C$170:$C$269,B132,'Combustão Estacionária'!$D$170:$D$269)</f>
        <v>0</v>
      </c>
      <c r="D132" s="522" t="str">
        <f>FACE!D77</f>
        <v>kg</v>
      </c>
      <c r="F132" s="535">
        <f t="shared" si="7"/>
        <v>2.1147499999999999</v>
      </c>
      <c r="G132" s="536" t="e">
        <f>IF(FACE!$F$45='Fatores de Emissão'!$J$30,'Fatores de Emissão'!J61,IF(FACE!$F$45='Fatores de Emissão'!$K$30,'Fatores de Emissão'!K61,IF(FACE!$F$45='Fatores de Emissão'!$L$30,'Fatores de Emissão'!L61,IF(FACE!$F$45='Fatores de Emissão'!$M$30,'Fatores de Emissão'!M61,""))))*1000</f>
        <v>#VALUE!</v>
      </c>
      <c r="H132" s="536" t="e">
        <f>IF($F$100='Fatores de Emissão'!$N$30,'Fatores de Emissão'!N61,IF($F$100='Fatores de Emissão'!$O$30,'Fatores de Emissão'!O61,IF($F$100='Fatores de Emissão'!$P$30,'Fatores de Emissão'!P61,IF($F$100='Fatores de Emissão'!$Q$30,'Fatores de Emissão'!Q61,""))))*1000</f>
        <v>#VALUE!</v>
      </c>
      <c r="I132" s="457" t="str">
        <f t="shared" si="8"/>
        <v>-</v>
      </c>
      <c r="J132" s="457" t="str">
        <f t="shared" si="9"/>
        <v>-</v>
      </c>
      <c r="K132" s="457" t="str">
        <f t="shared" si="10"/>
        <v>-</v>
      </c>
      <c r="L132" s="524" t="str">
        <f>IF(C132=0,"-",I132*'Fatores de Emissão'!$E$252+FACE!J132*'Fatores de Emissão'!$E$248+FACE!K132*'Fatores de Emissão'!$E$249)</f>
        <v>-</v>
      </c>
      <c r="M132" s="366"/>
      <c r="N132" s="366">
        <f t="shared" si="11"/>
        <v>0</v>
      </c>
    </row>
    <row r="133" spans="1:14" s="314" customFormat="1" ht="31" outlineLevel="1" x14ac:dyDescent="0.35">
      <c r="A133" s="471">
        <v>33</v>
      </c>
      <c r="B133" s="470" t="str">
        <f>'Fatores de Emissão'!$B$62</f>
        <v>Outros Carvões Betuminosos</v>
      </c>
      <c r="C133" s="366">
        <f>SUMIF('Combustão Estacionária'!$C$170:$C$269,B133,'Combustão Estacionária'!$D$170:$D$269)</f>
        <v>0</v>
      </c>
      <c r="D133" s="522" t="str">
        <f>FACE!D78</f>
        <v>kg</v>
      </c>
      <c r="F133" s="535">
        <f t="shared" si="7"/>
        <v>2.44068</v>
      </c>
      <c r="G133" s="536" t="e">
        <f>IF(FACE!$F$45='Fatores de Emissão'!$J$30,'Fatores de Emissão'!J62,IF(FACE!$F$45='Fatores de Emissão'!$K$30,'Fatores de Emissão'!K62,IF(FACE!$F$45='Fatores de Emissão'!$L$30,'Fatores de Emissão'!L62,IF(FACE!$F$45='Fatores de Emissão'!$M$30,'Fatores de Emissão'!M62,""))))*1000</f>
        <v>#VALUE!</v>
      </c>
      <c r="H133" s="536" t="e">
        <f>IF($F$100='Fatores de Emissão'!$N$30,'Fatores de Emissão'!N62,IF($F$100='Fatores de Emissão'!$O$30,'Fatores de Emissão'!O62,IF($F$100='Fatores de Emissão'!$P$30,'Fatores de Emissão'!P62,IF($F$100='Fatores de Emissão'!$Q$30,'Fatores de Emissão'!Q62,""))))*1000</f>
        <v>#VALUE!</v>
      </c>
      <c r="I133" s="457" t="str">
        <f t="shared" si="8"/>
        <v>-</v>
      </c>
      <c r="J133" s="457" t="str">
        <f t="shared" si="9"/>
        <v>-</v>
      </c>
      <c r="K133" s="457" t="str">
        <f t="shared" si="10"/>
        <v>-</v>
      </c>
      <c r="L133" s="524" t="str">
        <f>IF(C133=0,"-",I133*'Fatores de Emissão'!$E$252+FACE!J133*'Fatores de Emissão'!$E$248+FACE!K133*'Fatores de Emissão'!$E$249)</f>
        <v>-</v>
      </c>
      <c r="M133" s="366"/>
      <c r="N133" s="366">
        <f t="shared" si="11"/>
        <v>0</v>
      </c>
    </row>
    <row r="134" spans="1:14" s="314" customFormat="1" outlineLevel="1" x14ac:dyDescent="0.35">
      <c r="A134" s="471">
        <v>34</v>
      </c>
      <c r="B134" s="470" t="str">
        <f>'Fatores de Emissão'!$B$63</f>
        <v>Petróleo Bruto</v>
      </c>
      <c r="C134" s="366">
        <f>SUMIF('Combustão Estacionária'!$C$170:$C$269,B134,'Combustão Estacionária'!$D$170:$D$269)</f>
        <v>0</v>
      </c>
      <c r="D134" s="522" t="str">
        <f>FACE!D79</f>
        <v>Litros</v>
      </c>
      <c r="F134" s="535">
        <f t="shared" si="7"/>
        <v>2.6355015000000002</v>
      </c>
      <c r="G134" s="536" t="e">
        <f>IF(FACE!$F$45='Fatores de Emissão'!$J$30,'Fatores de Emissão'!J63,IF(FACE!$F$45='Fatores de Emissão'!$K$30,'Fatores de Emissão'!K63,IF(FACE!$F$45='Fatores de Emissão'!$L$30,'Fatores de Emissão'!L63,IF(FACE!$F$45='Fatores de Emissão'!$M$30,'Fatores de Emissão'!M63,""))))*1000</f>
        <v>#VALUE!</v>
      </c>
      <c r="H134" s="536" t="e">
        <f>IF($F$100='Fatores de Emissão'!$N$30,'Fatores de Emissão'!N63,IF($F$100='Fatores de Emissão'!$O$30,'Fatores de Emissão'!O63,IF($F$100='Fatores de Emissão'!$P$30,'Fatores de Emissão'!P63,IF($F$100='Fatores de Emissão'!$Q$30,'Fatores de Emissão'!Q63,""))))*1000</f>
        <v>#VALUE!</v>
      </c>
      <c r="I134" s="457" t="str">
        <f t="shared" si="8"/>
        <v>-</v>
      </c>
      <c r="J134" s="457" t="str">
        <f t="shared" si="9"/>
        <v>-</v>
      </c>
      <c r="K134" s="457" t="str">
        <f t="shared" si="10"/>
        <v>-</v>
      </c>
      <c r="L134" s="524" t="str">
        <f>IF(C134=0,"-",I134*'Fatores de Emissão'!$E$252+FACE!J134*'Fatores de Emissão'!$E$248+FACE!K134*'Fatores de Emissão'!$E$249)</f>
        <v>-</v>
      </c>
      <c r="M134" s="502">
        <f>'Categoria 3'!$B$12</f>
        <v>2.2411459459459466E-6</v>
      </c>
      <c r="N134" s="366">
        <f t="shared" si="11"/>
        <v>0</v>
      </c>
    </row>
    <row r="135" spans="1:14" s="314" customFormat="1" ht="31" outlineLevel="1" x14ac:dyDescent="0.35">
      <c r="A135" s="471">
        <v>35</v>
      </c>
      <c r="B135" s="470" t="str">
        <f>'Fatores de Emissão'!$B$64</f>
        <v>Querosene tipo Jet Fuel</v>
      </c>
      <c r="C135" s="366">
        <f>SUMIF('Combustão Estacionária'!$C$170:$C$269,B135,'Combustão Estacionária'!$D$170:$D$269)</f>
        <v>0</v>
      </c>
      <c r="D135" s="522" t="str">
        <f>FACE!D80</f>
        <v>Litros</v>
      </c>
      <c r="F135" s="535">
        <f t="shared" si="7"/>
        <v>2.5394582999999997</v>
      </c>
      <c r="G135" s="536" t="e">
        <f>IF(FACE!$F$45='Fatores de Emissão'!$J$30,'Fatores de Emissão'!J64,IF(FACE!$F$45='Fatores de Emissão'!$K$30,'Fatores de Emissão'!K64,IF(FACE!$F$45='Fatores de Emissão'!$L$30,'Fatores de Emissão'!L64,IF(FACE!$F$45='Fatores de Emissão'!$M$30,'Fatores de Emissão'!M64,""))))*1000</f>
        <v>#VALUE!</v>
      </c>
      <c r="H135" s="536" t="e">
        <f>IF($F$100='Fatores de Emissão'!$N$30,'Fatores de Emissão'!N64,IF($F$100='Fatores de Emissão'!$O$30,'Fatores de Emissão'!O64,IF($F$100='Fatores de Emissão'!$P$30,'Fatores de Emissão'!P64,IF($F$100='Fatores de Emissão'!$Q$30,'Fatores de Emissão'!Q64,""))))*1000</f>
        <v>#VALUE!</v>
      </c>
      <c r="I135" s="457" t="str">
        <f t="shared" si="8"/>
        <v>-</v>
      </c>
      <c r="J135" s="457" t="str">
        <f t="shared" si="9"/>
        <v>-</v>
      </c>
      <c r="K135" s="457" t="str">
        <f t="shared" si="10"/>
        <v>-</v>
      </c>
      <c r="L135" s="524" t="str">
        <f>IF(C135=0,"-",I135*'Fatores de Emissão'!$E$252+FACE!J135*'Fatores de Emissão'!$E$248+FACE!K135*'Fatores de Emissão'!$E$249)</f>
        <v>-</v>
      </c>
      <c r="M135" s="502">
        <f>'Categoria 3'!$B$12</f>
        <v>2.2411459459459466E-6</v>
      </c>
      <c r="N135" s="366">
        <f t="shared" si="11"/>
        <v>0</v>
      </c>
    </row>
    <row r="136" spans="1:14" s="314" customFormat="1" ht="46.5" outlineLevel="1" x14ac:dyDescent="0.35">
      <c r="A136" s="471">
        <v>36</v>
      </c>
      <c r="B136" s="470" t="str">
        <f>'Fatores de Emissão'!$B$65</f>
        <v>Resíduos municipais (fração não biodegradável)</v>
      </c>
      <c r="C136" s="366">
        <f>SUMIF('Combustão Estacionária'!$C$170:$C$269,B136,'Combustão Estacionária'!$D$170:$D$269)</f>
        <v>0</v>
      </c>
      <c r="D136" s="522" t="str">
        <f>FACE!D81</f>
        <v>kg</v>
      </c>
      <c r="F136" s="535">
        <f t="shared" si="7"/>
        <v>0.91700000000000004</v>
      </c>
      <c r="G136" s="536" t="e">
        <f>IF(FACE!$F$45='Fatores de Emissão'!$J$30,'Fatores de Emissão'!J65,IF(FACE!$F$45='Fatores de Emissão'!$K$30,'Fatores de Emissão'!K65,IF(FACE!$F$45='Fatores de Emissão'!$L$30,'Fatores de Emissão'!L65,IF(FACE!$F$45='Fatores de Emissão'!$M$30,'Fatores de Emissão'!M65,""))))*1000</f>
        <v>#VALUE!</v>
      </c>
      <c r="H136" s="536" t="e">
        <f>IF($F$100='Fatores de Emissão'!$N$30,'Fatores de Emissão'!N65,IF($F$100='Fatores de Emissão'!$O$30,'Fatores de Emissão'!O65,IF($F$100='Fatores de Emissão'!$P$30,'Fatores de Emissão'!P65,IF($F$100='Fatores de Emissão'!$Q$30,'Fatores de Emissão'!Q65,""))))*1000</f>
        <v>#VALUE!</v>
      </c>
      <c r="I136" s="457" t="str">
        <f t="shared" si="8"/>
        <v>-</v>
      </c>
      <c r="J136" s="457" t="str">
        <f t="shared" si="9"/>
        <v>-</v>
      </c>
      <c r="K136" s="457" t="str">
        <f t="shared" si="10"/>
        <v>-</v>
      </c>
      <c r="L136" s="524" t="str">
        <f>IF(C136=0,"-",I136*'Fatores de Emissão'!$E$252+FACE!J136*'Fatores de Emissão'!$E$248+FACE!K136*'Fatores de Emissão'!$E$249)</f>
        <v>-</v>
      </c>
      <c r="M136" s="366"/>
      <c r="N136" s="366">
        <f t="shared" si="11"/>
        <v>0</v>
      </c>
    </row>
    <row r="137" spans="1:14" s="314" customFormat="1" ht="31" outlineLevel="1" x14ac:dyDescent="0.35">
      <c r="A137" s="471">
        <v>37</v>
      </c>
      <c r="B137" s="470" t="str">
        <f>'Fatores de Emissão'!$B$66</f>
        <v>Xisto Betuminoso e Areias Betuminosas</v>
      </c>
      <c r="C137" s="366">
        <f>SUMIF('Combustão Estacionária'!$C$170:$C$269,B137,'Combustão Estacionária'!$D$170:$D$269)</f>
        <v>0</v>
      </c>
      <c r="D137" s="522" t="str">
        <f>FACE!D82</f>
        <v>kg</v>
      </c>
      <c r="F137" s="535">
        <f t="shared" si="7"/>
        <v>0.90610000000000002</v>
      </c>
      <c r="G137" s="536" t="e">
        <f>IF(FACE!$F$45='Fatores de Emissão'!$J$30,'Fatores de Emissão'!J66,IF(FACE!$F$45='Fatores de Emissão'!$K$30,'Fatores de Emissão'!K66,IF(FACE!$F$45='Fatores de Emissão'!$L$30,'Fatores de Emissão'!L66,IF(FACE!$F$45='Fatores de Emissão'!$M$30,'Fatores de Emissão'!M66,""))))*1000</f>
        <v>#VALUE!</v>
      </c>
      <c r="H137" s="536" t="e">
        <f>IF($F$100='Fatores de Emissão'!$N$30,'Fatores de Emissão'!N66,IF($F$100='Fatores de Emissão'!$O$30,'Fatores de Emissão'!O66,IF($F$100='Fatores de Emissão'!$P$30,'Fatores de Emissão'!P66,IF($F$100='Fatores de Emissão'!$Q$30,'Fatores de Emissão'!Q66,""))))*1000</f>
        <v>#VALUE!</v>
      </c>
      <c r="I137" s="457" t="str">
        <f t="shared" si="8"/>
        <v>-</v>
      </c>
      <c r="J137" s="457" t="str">
        <f t="shared" si="9"/>
        <v>-</v>
      </c>
      <c r="K137" s="457" t="str">
        <f t="shared" si="10"/>
        <v>-</v>
      </c>
      <c r="L137" s="524" t="str">
        <f>IF(C137=0,"-",I137*'Fatores de Emissão'!$E$252+FACE!J137*'Fatores de Emissão'!$E$248+FACE!K137*'Fatores de Emissão'!$E$249)</f>
        <v>-</v>
      </c>
      <c r="M137" s="366"/>
      <c r="N137" s="366">
        <f t="shared" si="11"/>
        <v>0</v>
      </c>
    </row>
    <row r="138" spans="1:14" s="314" customFormat="1" ht="16.899999999999999" customHeight="1" outlineLevel="1" x14ac:dyDescent="0.35">
      <c r="A138" s="471"/>
      <c r="B138" s="525"/>
      <c r="C138" s="526" t="s">
        <v>471</v>
      </c>
      <c r="D138" s="527"/>
      <c r="F138" s="527"/>
      <c r="G138" s="527"/>
      <c r="H138" s="533"/>
      <c r="I138" s="529">
        <f>SUM(I102:I137)</f>
        <v>0</v>
      </c>
      <c r="J138" s="529">
        <f>SUM(J102:J137)</f>
        <v>0</v>
      </c>
      <c r="K138" s="529">
        <f>SUM(K102:K137)</f>
        <v>0</v>
      </c>
      <c r="L138" s="529">
        <f>SUM(L102:L137)</f>
        <v>0</v>
      </c>
      <c r="M138" s="366"/>
      <c r="N138" s="530">
        <f>SUM(N102:N137)</f>
        <v>0</v>
      </c>
    </row>
    <row r="139" spans="1:14" s="314" customFormat="1" outlineLevel="1" x14ac:dyDescent="0.35">
      <c r="A139" s="471">
        <v>43</v>
      </c>
      <c r="B139" s="393" t="str">
        <f>'Fatores de Emissão'!$B$67</f>
        <v>Biodiesel</v>
      </c>
      <c r="C139" s="366">
        <f>SUMIF('Combustão Estacionária'!$C$170:$C$269,B139,'Combustão Estacionária'!$D$170:$D$269)</f>
        <v>0</v>
      </c>
      <c r="D139" s="531" t="str">
        <f>FACE!D84</f>
        <v>kg</v>
      </c>
      <c r="F139" s="535">
        <f t="shared" ref="F139:F147" si="12">F84</f>
        <v>1.9116</v>
      </c>
      <c r="G139" s="536" t="e">
        <f>IF($F$100='Fatores de Emissão'!$J$30,'Fatores de Emissão'!J67,IF($F$100='Fatores de Emissão'!$K$30,'Fatores de Emissão'!K67,IF($F$100='Fatores de Emissão'!$L$30,'Fatores de Emissão'!L67,IF($F$100='Fatores de Emissão'!$M$30,'Fatores de Emissão'!M67,""))))*1000</f>
        <v>#VALUE!</v>
      </c>
      <c r="H139" s="536" t="e">
        <f>IF($F$100='Fatores de Emissão'!$N$30,'Fatores de Emissão'!N67,IF($F$100='Fatores de Emissão'!$O$30,'Fatores de Emissão'!O67,IF($F$100='Fatores de Emissão'!$P$30,'Fatores de Emissão'!P67,IF($F$100='Fatores de Emissão'!$Q$30,'Fatores de Emissão'!Q67,""))))*1000</f>
        <v>#VALUE!</v>
      </c>
      <c r="I139" s="457" t="str">
        <f t="shared" ref="I139:I147" si="13">IF($C139=0,"-",F139*$C139)</f>
        <v>-</v>
      </c>
      <c r="J139" s="457" t="str">
        <f t="shared" ref="J139:J147" si="14">IF($C139=0,"-",G139*$C139)</f>
        <v>-</v>
      </c>
      <c r="K139" s="457" t="str">
        <f t="shared" ref="K139:K147" si="15">IF($C139=0,"-",H139*$C139)</f>
        <v>-</v>
      </c>
      <c r="L139" s="524" t="str">
        <f>IF(C139=0,"-",I139*'Fatores de Emissão'!$E$252+FACE!J139*'Fatores de Emissão'!$E$248+FACE!K139*'Fatores de Emissão'!$E$249)</f>
        <v>-</v>
      </c>
    </row>
    <row r="140" spans="1:14" s="314" customFormat="1" outlineLevel="1" x14ac:dyDescent="0.35">
      <c r="A140" s="471">
        <v>44</v>
      </c>
      <c r="B140" s="393" t="str">
        <f>'Fatores de Emissão'!$B$68</f>
        <v>Biogasolina</v>
      </c>
      <c r="C140" s="366">
        <f>SUMIF('Combustão Estacionária'!$C$170:$C$269,B140,'Combustão Estacionária'!$D$170:$D$269)</f>
        <v>0</v>
      </c>
      <c r="D140" s="531" t="str">
        <f>FACE!D85</f>
        <v>kg</v>
      </c>
      <c r="F140" s="535">
        <f t="shared" si="12"/>
        <v>1.9116</v>
      </c>
      <c r="G140" s="536" t="e">
        <f>IF($F$100='Fatores de Emissão'!$J$30,'Fatores de Emissão'!J68,IF($F$100='Fatores de Emissão'!$K$30,'Fatores de Emissão'!K68,IF($F$100='Fatores de Emissão'!$L$30,'Fatores de Emissão'!L68,IF($F$100='Fatores de Emissão'!$M$30,'Fatores de Emissão'!M68,""))))*1000</f>
        <v>#VALUE!</v>
      </c>
      <c r="H140" s="536" t="e">
        <f>IF($F$100='Fatores de Emissão'!$N$30,'Fatores de Emissão'!N68,IF($F$100='Fatores de Emissão'!$O$30,'Fatores de Emissão'!O68,IF($F$100='Fatores de Emissão'!$P$30,'Fatores de Emissão'!P68,IF($F$100='Fatores de Emissão'!$Q$30,'Fatores de Emissão'!Q68,""))))*1000</f>
        <v>#VALUE!</v>
      </c>
      <c r="I140" s="457" t="str">
        <f t="shared" si="13"/>
        <v>-</v>
      </c>
      <c r="J140" s="457" t="str">
        <f t="shared" si="14"/>
        <v>-</v>
      </c>
      <c r="K140" s="457" t="str">
        <f t="shared" si="15"/>
        <v>-</v>
      </c>
      <c r="L140" s="524" t="str">
        <f>IF(C140=0,"-",I140*'Fatores de Emissão'!$E$252+FACE!J140*'Fatores de Emissão'!$E$248+FACE!K140*'Fatores de Emissão'!$E$249)</f>
        <v>-</v>
      </c>
    </row>
    <row r="141" spans="1:14" s="314" customFormat="1" outlineLevel="1" x14ac:dyDescent="0.35">
      <c r="A141" s="471">
        <v>45</v>
      </c>
      <c r="B141" s="393" t="str">
        <f>'Fatores de Emissão'!$B$69</f>
        <v>Carvão Vegetal</v>
      </c>
      <c r="C141" s="366">
        <f>SUMIF('Combustão Estacionária'!$C$170:$C$269,B141,'Combustão Estacionária'!$D$170:$D$269)</f>
        <v>0</v>
      </c>
      <c r="D141" s="531" t="str">
        <f>FACE!D86</f>
        <v>kg</v>
      </c>
      <c r="F141" s="535">
        <f t="shared" si="12"/>
        <v>3.3039999999999998</v>
      </c>
      <c r="G141" s="536" t="e">
        <f>IF($F$100='Fatores de Emissão'!$J$30,'Fatores de Emissão'!J69,IF($F$100='Fatores de Emissão'!$K$30,'Fatores de Emissão'!K69,IF($F$100='Fatores de Emissão'!$L$30,'Fatores de Emissão'!L69,IF($F$100='Fatores de Emissão'!$M$30,'Fatores de Emissão'!M69,""))))*1000</f>
        <v>#VALUE!</v>
      </c>
      <c r="H141" s="536" t="e">
        <f>IF($F$100='Fatores de Emissão'!$N$30,'Fatores de Emissão'!N69,IF($F$100='Fatores de Emissão'!$O$30,'Fatores de Emissão'!O69,IF($F$100='Fatores de Emissão'!$P$30,'Fatores de Emissão'!P69,IF($F$100='Fatores de Emissão'!$Q$30,'Fatores de Emissão'!Q69,""))))*1000</f>
        <v>#VALUE!</v>
      </c>
      <c r="I141" s="457" t="str">
        <f t="shared" si="13"/>
        <v>-</v>
      </c>
      <c r="J141" s="457" t="str">
        <f t="shared" si="14"/>
        <v>-</v>
      </c>
      <c r="K141" s="457" t="str">
        <f t="shared" si="15"/>
        <v>-</v>
      </c>
      <c r="L141" s="524" t="str">
        <f>IF(C141=0,"-",I141*'Fatores de Emissão'!$E$252+FACE!J141*'Fatores de Emissão'!$E$248+FACE!K141*'Fatores de Emissão'!$E$249)</f>
        <v>-</v>
      </c>
    </row>
    <row r="142" spans="1:14" s="314" customFormat="1" ht="31" outlineLevel="1" x14ac:dyDescent="0.35">
      <c r="A142" s="471">
        <v>47</v>
      </c>
      <c r="B142" s="393" t="str">
        <f>'Fatores de Emissão'!$B$70</f>
        <v>Gases de Lamas de Depuração</v>
      </c>
      <c r="C142" s="366">
        <f>SUMIF('Combustão Estacionária'!$C$170:$C$269,B142,'Combustão Estacionária'!$D$170:$D$269)</f>
        <v>0</v>
      </c>
      <c r="D142" s="531" t="str">
        <f>FACE!D87</f>
        <v>kg</v>
      </c>
      <c r="F142" s="535">
        <f t="shared" si="12"/>
        <v>2.7518400000000001</v>
      </c>
      <c r="G142" s="536" t="e">
        <f>IF($F$100='Fatores de Emissão'!$J$30,'Fatores de Emissão'!J70,IF($F$100='Fatores de Emissão'!$K$30,'Fatores de Emissão'!K70,IF($F$100='Fatores de Emissão'!$L$30,'Fatores de Emissão'!L70,IF($F$100='Fatores de Emissão'!$M$30,'Fatores de Emissão'!M70,""))))*1000</f>
        <v>#VALUE!</v>
      </c>
      <c r="H142" s="536" t="e">
        <f>IF($F$100='Fatores de Emissão'!$N$30,'Fatores de Emissão'!N70,IF($F$100='Fatores de Emissão'!$O$30,'Fatores de Emissão'!O70,IF($F$100='Fatores de Emissão'!$P$30,'Fatores de Emissão'!P70,IF($F$100='Fatores de Emissão'!$Q$30,'Fatores de Emissão'!Q70,""))))*1000</f>
        <v>#VALUE!</v>
      </c>
      <c r="I142" s="457" t="str">
        <f t="shared" si="13"/>
        <v>-</v>
      </c>
      <c r="J142" s="457" t="str">
        <f t="shared" si="14"/>
        <v>-</v>
      </c>
      <c r="K142" s="457" t="str">
        <f t="shared" si="15"/>
        <v>-</v>
      </c>
      <c r="L142" s="524" t="str">
        <f>IF(C142=0,"-",I142*'Fatores de Emissão'!$E$252+FACE!J142*'Fatores de Emissão'!$E$248+FACE!K142*'Fatores de Emissão'!$E$249)</f>
        <v>-</v>
      </c>
    </row>
    <row r="143" spans="1:14" s="314" customFormat="1" ht="46.5" outlineLevel="1" x14ac:dyDescent="0.35">
      <c r="A143" s="471">
        <v>49</v>
      </c>
      <c r="B143" s="393" t="str">
        <f>'Fatores de Emissão'!$B$71</f>
        <v>Madeira, resíduos de madeira e outros resíduos sólidos</v>
      </c>
      <c r="C143" s="366">
        <f>SUMIF('Combustão Estacionária'!$C$170:$C$269,B143,'Combustão Estacionária'!$D$170:$D$269)</f>
        <v>0</v>
      </c>
      <c r="D143" s="531" t="str">
        <f>FACE!D88</f>
        <v>kg</v>
      </c>
      <c r="F143" s="535">
        <f t="shared" si="12"/>
        <v>1.7472000000000001</v>
      </c>
      <c r="G143" s="536" t="e">
        <f>IF($F$100='Fatores de Emissão'!$J$30,'Fatores de Emissão'!J71,IF($F$100='Fatores de Emissão'!$K$30,'Fatores de Emissão'!K71,IF($F$100='Fatores de Emissão'!$L$30,'Fatores de Emissão'!L71,IF($F$100='Fatores de Emissão'!$M$30,'Fatores de Emissão'!M71,""))))*1000</f>
        <v>#VALUE!</v>
      </c>
      <c r="H143" s="536" t="e">
        <f>IF($F$100='Fatores de Emissão'!$N$30,'Fatores de Emissão'!N71,IF($F$100='Fatores de Emissão'!$O$30,'Fatores de Emissão'!O71,IF($F$100='Fatores de Emissão'!$P$30,'Fatores de Emissão'!P71,IF($F$100='Fatores de Emissão'!$Q$30,'Fatores de Emissão'!Q71,""))))*1000</f>
        <v>#VALUE!</v>
      </c>
      <c r="I143" s="457" t="str">
        <f t="shared" si="13"/>
        <v>-</v>
      </c>
      <c r="J143" s="457" t="str">
        <f t="shared" si="14"/>
        <v>-</v>
      </c>
      <c r="K143" s="457" t="str">
        <f t="shared" si="15"/>
        <v>-</v>
      </c>
      <c r="L143" s="524" t="str">
        <f>IF(C143=0,"-",I143*'Fatores de Emissão'!$E$252+FACE!J143*'Fatores de Emissão'!$E$248+FACE!K143*'Fatores de Emissão'!$E$249)</f>
        <v>-</v>
      </c>
    </row>
    <row r="144" spans="1:14" s="314" customFormat="1" ht="31" outlineLevel="1" x14ac:dyDescent="0.35">
      <c r="A144" s="471">
        <v>50</v>
      </c>
      <c r="B144" s="393" t="str">
        <f>'Fatores de Emissão'!$B$72</f>
        <v>Outra Biomassa Primária Sólida</v>
      </c>
      <c r="C144" s="366">
        <f>SUMIF('Combustão Estacionária'!$C$170:$C$269,B144,'Combustão Estacionária'!$D$170:$D$269)</f>
        <v>0</v>
      </c>
      <c r="D144" s="531" t="str">
        <f>FACE!D89</f>
        <v>kg</v>
      </c>
      <c r="F144" s="535">
        <f t="shared" si="12"/>
        <v>1.1599999999999999</v>
      </c>
      <c r="G144" s="536" t="e">
        <f>IF($F$100='Fatores de Emissão'!$J$30,'Fatores de Emissão'!J72,IF($F$100='Fatores de Emissão'!$K$30,'Fatores de Emissão'!K72,IF($F$100='Fatores de Emissão'!$L$30,'Fatores de Emissão'!L72,IF($F$100='Fatores de Emissão'!$M$30,'Fatores de Emissão'!M72,""))))*1000</f>
        <v>#VALUE!</v>
      </c>
      <c r="H144" s="536" t="e">
        <f>IF($F$100='Fatores de Emissão'!$N$30,'Fatores de Emissão'!N72,IF($F$100='Fatores de Emissão'!$O$30,'Fatores de Emissão'!O72,IF($F$100='Fatores de Emissão'!$P$30,'Fatores de Emissão'!P72,IF($F$100='Fatores de Emissão'!$Q$30,'Fatores de Emissão'!Q72,""))))*1000</f>
        <v>#VALUE!</v>
      </c>
      <c r="I144" s="457" t="str">
        <f t="shared" si="13"/>
        <v>-</v>
      </c>
      <c r="J144" s="457" t="str">
        <f t="shared" si="14"/>
        <v>-</v>
      </c>
      <c r="K144" s="457" t="str">
        <f t="shared" si="15"/>
        <v>-</v>
      </c>
      <c r="L144" s="524" t="str">
        <f>IF(C144=0,"-",I144*'Fatores de Emissão'!$E$252+FACE!J144*'Fatores de Emissão'!$E$248+FACE!K144*'Fatores de Emissão'!$E$249)</f>
        <v>-</v>
      </c>
    </row>
    <row r="145" spans="1:14" s="314" customFormat="1" ht="46.5" outlineLevel="1" x14ac:dyDescent="0.35">
      <c r="A145" s="471">
        <v>51</v>
      </c>
      <c r="B145" s="393" t="str">
        <f>'Fatores de Emissão'!$B$73</f>
        <v>Outros Biocombustíveis Líquidos</v>
      </c>
      <c r="C145" s="366">
        <f>SUMIF('Combustão Estacionária'!$C$170:$C$269,B145,'Combustão Estacionária'!$D$170:$D$269)</f>
        <v>0</v>
      </c>
      <c r="D145" s="531" t="str">
        <f>FACE!D90</f>
        <v>kg</v>
      </c>
      <c r="F145" s="535">
        <f t="shared" si="12"/>
        <v>2.1810399999999999</v>
      </c>
      <c r="G145" s="536" t="e">
        <f>IF($F$100='Fatores de Emissão'!$J$30,'Fatores de Emissão'!J73,IF($F$100='Fatores de Emissão'!$K$30,'Fatores de Emissão'!K73,IF($F$100='Fatores de Emissão'!$L$30,'Fatores de Emissão'!L73,IF($F$100='Fatores de Emissão'!$M$30,'Fatores de Emissão'!M73,""))))*1000</f>
        <v>#VALUE!</v>
      </c>
      <c r="H145" s="536" t="e">
        <f>IF($F$100='Fatores de Emissão'!$N$30,'Fatores de Emissão'!N73,IF($F$100='Fatores de Emissão'!$O$30,'Fatores de Emissão'!O73,IF($F$100='Fatores de Emissão'!$P$30,'Fatores de Emissão'!P73,IF($F$100='Fatores de Emissão'!$Q$30,'Fatores de Emissão'!Q73,""))))*1000</f>
        <v>#VALUE!</v>
      </c>
      <c r="I145" s="457" t="str">
        <f t="shared" si="13"/>
        <v>-</v>
      </c>
      <c r="J145" s="457" t="str">
        <f t="shared" si="14"/>
        <v>-</v>
      </c>
      <c r="K145" s="457" t="str">
        <f t="shared" si="15"/>
        <v>-</v>
      </c>
      <c r="L145" s="524" t="str">
        <f>IF(C145=0,"-",I145*'Fatores de Emissão'!$E$252+FACE!J145*'Fatores de Emissão'!$E$248+FACE!K145*'Fatores de Emissão'!$E$249)</f>
        <v>-</v>
      </c>
    </row>
    <row r="146" spans="1:14" s="314" customFormat="1" ht="31" outlineLevel="1" x14ac:dyDescent="0.35">
      <c r="A146" s="471">
        <v>53</v>
      </c>
      <c r="B146" s="393" t="str">
        <f>'Fatores de Emissão'!$B$74</f>
        <v>Resíduos Municipais (fração biodegradável)</v>
      </c>
      <c r="C146" s="366">
        <f>SUMIF('Combustão Estacionária'!$C$170:$C$269,B146,'Combustão Estacionária'!$D$170:$D$269)</f>
        <v>0</v>
      </c>
      <c r="D146" s="531" t="str">
        <f>FACE!D91</f>
        <v>kg</v>
      </c>
      <c r="F146" s="535">
        <f t="shared" si="12"/>
        <v>1.1599999999999999</v>
      </c>
      <c r="G146" s="536" t="e">
        <f>IF($F$100='Fatores de Emissão'!$J$30,'Fatores de Emissão'!J74,IF($F$100='Fatores de Emissão'!$K$30,'Fatores de Emissão'!K74,IF($F$100='Fatores de Emissão'!$L$30,'Fatores de Emissão'!L74,IF($F$100='Fatores de Emissão'!$M$30,'Fatores de Emissão'!M74,""))))*1000</f>
        <v>#VALUE!</v>
      </c>
      <c r="H146" s="536" t="e">
        <f>IF($F$100='Fatores de Emissão'!$N$30,'Fatores de Emissão'!N74,IF($F$100='Fatores de Emissão'!$O$30,'Fatores de Emissão'!O74,IF($F$100='Fatores de Emissão'!$P$30,'Fatores de Emissão'!P74,IF($F$100='Fatores de Emissão'!$Q$30,'Fatores de Emissão'!Q74,""))))*1000</f>
        <v>#VALUE!</v>
      </c>
      <c r="I146" s="457" t="str">
        <f t="shared" si="13"/>
        <v>-</v>
      </c>
      <c r="J146" s="457" t="str">
        <f t="shared" si="14"/>
        <v>-</v>
      </c>
      <c r="K146" s="457" t="str">
        <f t="shared" si="15"/>
        <v>-</v>
      </c>
      <c r="L146" s="524" t="str">
        <f>IF(C146=0,"-",I146*'Fatores de Emissão'!$E$252+FACE!J146*'Fatores de Emissão'!$E$248+FACE!K146*'Fatores de Emissão'!$E$249)</f>
        <v>-</v>
      </c>
    </row>
    <row r="147" spans="1:14" s="314" customFormat="1" outlineLevel="1" x14ac:dyDescent="0.35">
      <c r="A147" s="471">
        <v>54</v>
      </c>
      <c r="B147" s="393" t="str">
        <f>'Fatores de Emissão'!$B$75</f>
        <v>Turfa</v>
      </c>
      <c r="C147" s="366">
        <f>SUMIF('Combustão Estacionária'!$C$170:$C$269,B147,'Combustão Estacionária'!$D$170:$D$269)</f>
        <v>0</v>
      </c>
      <c r="D147" s="531" t="str">
        <f>FACE!D92</f>
        <v>kg</v>
      </c>
      <c r="F147" s="535">
        <f t="shared" si="12"/>
        <v>1.0345599999999999</v>
      </c>
      <c r="G147" s="536" t="e">
        <f>IF($F$100='Fatores de Emissão'!$J$30,'Fatores de Emissão'!J75,IF($F$100='Fatores de Emissão'!$K$30,'Fatores de Emissão'!K75,IF($F$100='Fatores de Emissão'!$L$30,'Fatores de Emissão'!L75,IF($F$100='Fatores de Emissão'!$M$30,'Fatores de Emissão'!M75,""))))*1000</f>
        <v>#VALUE!</v>
      </c>
      <c r="H147" s="536" t="e">
        <f>IF($F$100='Fatores de Emissão'!$N$30,'Fatores de Emissão'!N75,IF($F$100='Fatores de Emissão'!$O$30,'Fatores de Emissão'!O75,IF($F$100='Fatores de Emissão'!$P$30,'Fatores de Emissão'!P75,IF($F$100='Fatores de Emissão'!$Q$30,'Fatores de Emissão'!Q75,""))))*1000</f>
        <v>#VALUE!</v>
      </c>
      <c r="I147" s="457" t="str">
        <f t="shared" si="13"/>
        <v>-</v>
      </c>
      <c r="J147" s="457" t="str">
        <f t="shared" si="14"/>
        <v>-</v>
      </c>
      <c r="K147" s="457" t="str">
        <f t="shared" si="15"/>
        <v>-</v>
      </c>
      <c r="L147" s="524" t="str">
        <f>IF(C147=0,"-",I147*'Fatores de Emissão'!$E$252+FACE!J147*'Fatores de Emissão'!$E$248+FACE!K147*'Fatores de Emissão'!$E$249)</f>
        <v>-</v>
      </c>
    </row>
    <row r="148" spans="1:14" ht="16.899999999999999" customHeight="1" outlineLevel="1" x14ac:dyDescent="0.35">
      <c r="B148" s="525"/>
      <c r="C148" s="532" t="s">
        <v>472</v>
      </c>
      <c r="D148" s="527"/>
      <c r="F148" s="527"/>
      <c r="G148" s="527"/>
      <c r="H148" s="533"/>
      <c r="I148" s="534">
        <f>SUM(I139:I147)</f>
        <v>0</v>
      </c>
      <c r="J148" s="534">
        <f>SUM(J139:J147)</f>
        <v>0</v>
      </c>
      <c r="K148" s="534">
        <f>SUM(K139:K147)</f>
        <v>0</v>
      </c>
      <c r="L148" s="534">
        <f>SUM(L139:L147)</f>
        <v>0</v>
      </c>
      <c r="M148" s="169"/>
    </row>
    <row r="149" spans="1:14" outlineLevel="1" x14ac:dyDescent="0.35">
      <c r="B149" s="169"/>
      <c r="D149" s="169"/>
      <c r="J149" s="169"/>
      <c r="M149" s="169"/>
    </row>
    <row r="150" spans="1:14" x14ac:dyDescent="0.35">
      <c r="F150" s="316"/>
      <c r="J150" s="169"/>
      <c r="K150" s="314"/>
      <c r="M150" s="169"/>
      <c r="N150" s="428"/>
    </row>
    <row r="151" spans="1:14" x14ac:dyDescent="0.35">
      <c r="F151" s="316"/>
      <c r="J151" s="169"/>
      <c r="K151" s="314"/>
      <c r="M151" s="169"/>
      <c r="N151" s="428"/>
    </row>
    <row r="152" spans="1:14" x14ac:dyDescent="0.35">
      <c r="F152" s="316"/>
      <c r="J152" s="169"/>
      <c r="K152" s="314"/>
      <c r="M152" s="169"/>
      <c r="N152" s="428"/>
    </row>
    <row r="153" spans="1:14" outlineLevel="1" x14ac:dyDescent="0.35">
      <c r="B153" s="169" t="s">
        <v>668</v>
      </c>
      <c r="D153" s="169"/>
      <c r="I153" s="175"/>
      <c r="J153" s="169"/>
      <c r="M153" s="169"/>
    </row>
    <row r="154" spans="1:14" s="314" customFormat="1" ht="16.899999999999999" customHeight="1" outlineLevel="1" x14ac:dyDescent="0.35">
      <c r="B154" s="1109" t="s">
        <v>41</v>
      </c>
      <c r="C154" s="1109" t="s">
        <v>470</v>
      </c>
      <c r="D154" s="1112" t="s">
        <v>32</v>
      </c>
      <c r="F154" s="512" t="s">
        <v>469</v>
      </c>
      <c r="G154" s="513"/>
      <c r="H154" s="514"/>
      <c r="I154" s="207" t="s">
        <v>1434</v>
      </c>
      <c r="J154" s="207" t="s">
        <v>1435</v>
      </c>
      <c r="K154" s="207" t="s">
        <v>1436</v>
      </c>
      <c r="L154" s="207" t="s">
        <v>1437</v>
      </c>
      <c r="M154" s="207" t="s">
        <v>612</v>
      </c>
      <c r="N154" s="207" t="s">
        <v>613</v>
      </c>
    </row>
    <row r="155" spans="1:14" s="314" customFormat="1" ht="16.899999999999999" customHeight="1" outlineLevel="1" x14ac:dyDescent="0.35">
      <c r="B155" s="1110"/>
      <c r="C155" s="1110"/>
      <c r="D155" s="1113"/>
      <c r="F155" s="517">
        <f>'Combustão Estacionária'!D37</f>
        <v>0</v>
      </c>
      <c r="G155" s="518"/>
      <c r="H155" s="519"/>
      <c r="I155" s="484"/>
      <c r="J155" s="484"/>
      <c r="K155" s="484"/>
      <c r="L155" s="484"/>
      <c r="M155" s="484"/>
      <c r="N155" s="484"/>
    </row>
    <row r="156" spans="1:14" s="314" customFormat="1" ht="16.899999999999999" customHeight="1" outlineLevel="1" x14ac:dyDescent="0.35">
      <c r="B156" s="1111"/>
      <c r="C156" s="1111"/>
      <c r="D156" s="1114"/>
      <c r="F156" s="207" t="s">
        <v>1438</v>
      </c>
      <c r="G156" s="207" t="s">
        <v>1439</v>
      </c>
      <c r="H156" s="283" t="s">
        <v>1440</v>
      </c>
      <c r="I156" s="283" t="s">
        <v>180</v>
      </c>
      <c r="J156" s="283" t="s">
        <v>180</v>
      </c>
      <c r="K156" s="283" t="s">
        <v>180</v>
      </c>
      <c r="L156" s="283" t="s">
        <v>180</v>
      </c>
      <c r="M156" s="283" t="s">
        <v>648</v>
      </c>
      <c r="N156" s="283" t="s">
        <v>649</v>
      </c>
    </row>
    <row r="157" spans="1:14" s="314" customFormat="1" outlineLevel="1" x14ac:dyDescent="0.35">
      <c r="A157" s="471">
        <v>1</v>
      </c>
      <c r="B157" s="470" t="str">
        <f>'Fatores de Emissão'!$B$31</f>
        <v>Antracite</v>
      </c>
      <c r="C157" s="366">
        <f>SUMIF('Combustão Estacionária'!$C$287:$C$386,B157,'Combustão Estacionária'!$D$287:$D$386)</f>
        <v>0</v>
      </c>
      <c r="D157" s="522" t="str">
        <f>FACE!D102</f>
        <v>Toneladas</v>
      </c>
      <c r="F157" s="535">
        <f t="shared" ref="F157:F192" si="16">F102</f>
        <v>2621.94</v>
      </c>
      <c r="G157" s="536" t="e">
        <f>IF($F$155='Fatores de Emissão'!$J$30,'Fatores de Emissão'!J31,IF($F$155='Fatores de Emissão'!$K$30,'Fatores de Emissão'!K31,IF($F$155='Fatores de Emissão'!$L$30,'Fatores de Emissão'!L31,IF($F$155='Fatores de Emissão'!$M$30,'Fatores de Emissão'!M31,""))))*1000</f>
        <v>#VALUE!</v>
      </c>
      <c r="H157" s="536" t="e">
        <f>IF($F$155='Fatores de Emissão'!$N$30,'Fatores de Emissão'!N31,IF($F$155='Fatores de Emissão'!$O$30,'Fatores de Emissão'!O31,IF($F$155='Fatores de Emissão'!$P$30,'Fatores de Emissão'!P31,IF($F$155='Fatores de Emissão'!$Q$30,'Fatores de Emissão'!Q31,""))))*1000</f>
        <v>#VALUE!</v>
      </c>
      <c r="I157" s="457" t="str">
        <f t="shared" ref="I157:I192" si="17">IF($C157=0,"-",F157*$C157)</f>
        <v>-</v>
      </c>
      <c r="J157" s="457" t="str">
        <f t="shared" ref="J157:J192" si="18">IF($C157=0,"-",G157*$C157)</f>
        <v>-</v>
      </c>
      <c r="K157" s="457" t="str">
        <f t="shared" ref="K157:K192" si="19">IF($C157=0,"-",H157*$C157)</f>
        <v>-</v>
      </c>
      <c r="L157" s="524" t="str">
        <f>IF(C157=0,"-",I157*'Fatores de Emissão'!$E$252+FACE!J157*'Fatores de Emissão'!$E$248+FACE!K157*'Fatores de Emissão'!$E$249)</f>
        <v>-</v>
      </c>
      <c r="M157" s="366"/>
      <c r="N157" s="366">
        <f t="shared" ref="N157:N192" si="20">IF(M157="",0,M157*C157)</f>
        <v>0</v>
      </c>
    </row>
    <row r="158" spans="1:14" s="314" customFormat="1" outlineLevel="1" x14ac:dyDescent="0.35">
      <c r="A158" s="471">
        <v>2</v>
      </c>
      <c r="B158" s="470" t="str">
        <f>'Fatores de Emissão'!$B$32</f>
        <v>Alcatrão de hulha</v>
      </c>
      <c r="C158" s="366">
        <f>SUMIF('Combustão Estacionária'!$C$287:$C$386,B158,'Combustão Estacionária'!$D$287:$D$386)</f>
        <v>0</v>
      </c>
      <c r="D158" s="522" t="str">
        <f>FACE!D103</f>
        <v>Toneladas</v>
      </c>
      <c r="F158" s="535">
        <f t="shared" si="16"/>
        <v>32401.200000000001</v>
      </c>
      <c r="G158" s="536" t="e">
        <f>IF($F$155='Fatores de Emissão'!$J$30,'Fatores de Emissão'!J32,IF($F$155='Fatores de Emissão'!$K$30,'Fatores de Emissão'!K32,IF($F$155='Fatores de Emissão'!$L$30,'Fatores de Emissão'!L32,IF($F$155='Fatores de Emissão'!$M$30,'Fatores de Emissão'!M32,""))))*1000</f>
        <v>#VALUE!</v>
      </c>
      <c r="H158" s="536" t="e">
        <f>IF($F$155='Fatores de Emissão'!$N$30,'Fatores de Emissão'!N32,IF($F$155='Fatores de Emissão'!$O$30,'Fatores de Emissão'!O32,IF($F$155='Fatores de Emissão'!$P$30,'Fatores de Emissão'!P32,IF($F$155='Fatores de Emissão'!$Q$30,'Fatores de Emissão'!Q32,""))))*1000</f>
        <v>#VALUE!</v>
      </c>
      <c r="I158" s="457" t="str">
        <f t="shared" si="17"/>
        <v>-</v>
      </c>
      <c r="J158" s="457" t="str">
        <f t="shared" si="18"/>
        <v>-</v>
      </c>
      <c r="K158" s="457" t="str">
        <f t="shared" si="19"/>
        <v>-</v>
      </c>
      <c r="L158" s="524" t="str">
        <f>IF(C158=0,"-",I158*'Fatores de Emissão'!$E$252+FACE!J158*'Fatores de Emissão'!$E$248+FACE!K158*'Fatores de Emissão'!$E$249)</f>
        <v>-</v>
      </c>
      <c r="M158" s="366"/>
      <c r="N158" s="366">
        <f t="shared" si="20"/>
        <v>0</v>
      </c>
    </row>
    <row r="159" spans="1:14" s="314" customFormat="1" outlineLevel="1" x14ac:dyDescent="0.35">
      <c r="A159" s="471">
        <v>3</v>
      </c>
      <c r="B159" s="470" t="str">
        <f>'Fatores de Emissão'!$B$33</f>
        <v>Betume</v>
      </c>
      <c r="C159" s="366">
        <f>SUMIF('Combustão Estacionária'!$C$287:$C$386,B159,'Combustão Estacionária'!$D$287:$D$386)</f>
        <v>0</v>
      </c>
      <c r="D159" s="522" t="str">
        <f>FACE!D104</f>
        <v>Toneladas</v>
      </c>
      <c r="F159" s="535">
        <f t="shared" si="16"/>
        <v>32401.200000000001</v>
      </c>
      <c r="G159" s="536" t="e">
        <f>IF($F$155='Fatores de Emissão'!$J$30,'Fatores de Emissão'!J33,IF($F$155='Fatores de Emissão'!$K$30,'Fatores de Emissão'!K33,IF($F$155='Fatores de Emissão'!$L$30,'Fatores de Emissão'!L33,IF($F$155='Fatores de Emissão'!$M$30,'Fatores de Emissão'!M33,""))))*1000</f>
        <v>#VALUE!</v>
      </c>
      <c r="H159" s="536" t="e">
        <f>IF($F$155='Fatores de Emissão'!$N$30,'Fatores de Emissão'!N33,IF($F$155='Fatores de Emissão'!$O$30,'Fatores de Emissão'!O33,IF($F$155='Fatores de Emissão'!$P$30,'Fatores de Emissão'!P33,IF($F$155='Fatores de Emissão'!$Q$30,'Fatores de Emissão'!Q33,""))))*1000</f>
        <v>#VALUE!</v>
      </c>
      <c r="I159" s="457" t="str">
        <f t="shared" si="17"/>
        <v>-</v>
      </c>
      <c r="J159" s="457" t="str">
        <f t="shared" si="18"/>
        <v>-</v>
      </c>
      <c r="K159" s="457" t="str">
        <f t="shared" si="19"/>
        <v>-</v>
      </c>
      <c r="L159" s="524" t="str">
        <f>IF(C159=0,"-",I159*'Fatores de Emissão'!$E$252+FACE!J159*'Fatores de Emissão'!$E$248+FACE!K159*'Fatores de Emissão'!$E$249)</f>
        <v>-</v>
      </c>
      <c r="M159" s="366"/>
      <c r="N159" s="366">
        <f t="shared" si="20"/>
        <v>0</v>
      </c>
    </row>
    <row r="160" spans="1:14" s="314" customFormat="1" outlineLevel="1" x14ac:dyDescent="0.35">
      <c r="A160" s="471">
        <v>4</v>
      </c>
      <c r="B160" s="470" t="str">
        <f>'Fatores de Emissão'!$B$34</f>
        <v>Briquetes de linhite</v>
      </c>
      <c r="C160" s="366">
        <f>SUMIF('Combustão Estacionária'!$C$287:$C$386,B160,'Combustão Estacionária'!$D$287:$D$386)</f>
        <v>0</v>
      </c>
      <c r="D160" s="522" t="str">
        <f>FACE!D105</f>
        <v>Toneladas</v>
      </c>
      <c r="F160" s="535">
        <f t="shared" si="16"/>
        <v>2022</v>
      </c>
      <c r="G160" s="536" t="e">
        <f>IF($F$155='Fatores de Emissão'!$J$30,'Fatores de Emissão'!J34,IF($F$155='Fatores de Emissão'!$K$30,'Fatores de Emissão'!K34,IF($F$155='Fatores de Emissão'!$L$30,'Fatores de Emissão'!L34,IF($F$155='Fatores de Emissão'!$M$30,'Fatores de Emissão'!M34,""))))*1000</f>
        <v>#VALUE!</v>
      </c>
      <c r="H160" s="536" t="e">
        <f>IF($F$155='Fatores de Emissão'!$N$30,'Fatores de Emissão'!N34,IF($F$155='Fatores de Emissão'!$O$30,'Fatores de Emissão'!O34,IF($F$155='Fatores de Emissão'!$P$30,'Fatores de Emissão'!P34,IF($F$155='Fatores de Emissão'!$Q$30,'Fatores de Emissão'!Q34,""))))*1000</f>
        <v>#VALUE!</v>
      </c>
      <c r="I160" s="457" t="str">
        <f t="shared" si="17"/>
        <v>-</v>
      </c>
      <c r="J160" s="457" t="str">
        <f t="shared" si="18"/>
        <v>-</v>
      </c>
      <c r="K160" s="457" t="str">
        <f t="shared" si="19"/>
        <v>-</v>
      </c>
      <c r="L160" s="524" t="str">
        <f>IF(C160=0,"-",I160*'Fatores de Emissão'!$E$252+FACE!J160*'Fatores de Emissão'!$E$248+FACE!K160*'Fatores de Emissão'!$E$249)</f>
        <v>-</v>
      </c>
      <c r="M160" s="366"/>
      <c r="N160" s="366">
        <f t="shared" si="20"/>
        <v>0</v>
      </c>
    </row>
    <row r="161" spans="1:14" s="314" customFormat="1" outlineLevel="1" x14ac:dyDescent="0.35">
      <c r="A161" s="471">
        <v>6</v>
      </c>
      <c r="B161" s="470" t="str">
        <f>'Fatores de Emissão'!$B$35</f>
        <v>Ceras Parafínicas</v>
      </c>
      <c r="C161" s="366">
        <f>SUMIF('Combustão Estacionária'!$C$287:$C$386,B161,'Combustão Estacionária'!$D$287:$D$386)</f>
        <v>0</v>
      </c>
      <c r="D161" s="522" t="str">
        <f>FACE!D106</f>
        <v>Toneladas</v>
      </c>
      <c r="F161" s="535">
        <f t="shared" si="16"/>
        <v>2946.66</v>
      </c>
      <c r="G161" s="536" t="e">
        <f>IF($F$155='Fatores de Emissão'!$J$30,'Fatores de Emissão'!J35,IF($F$155='Fatores de Emissão'!$K$30,'Fatores de Emissão'!K35,IF($F$155='Fatores de Emissão'!$L$30,'Fatores de Emissão'!L35,IF($F$155='Fatores de Emissão'!$M$30,'Fatores de Emissão'!M35,""))))*1000</f>
        <v>#VALUE!</v>
      </c>
      <c r="H161" s="536" t="e">
        <f>IF($F$155='Fatores de Emissão'!$N$30,'Fatores de Emissão'!N35,IF($F$155='Fatores de Emissão'!$O$30,'Fatores de Emissão'!O35,IF($F$155='Fatores de Emissão'!$P$30,'Fatores de Emissão'!P35,IF($F$155='Fatores de Emissão'!$Q$30,'Fatores de Emissão'!Q35,""))))*1000</f>
        <v>#VALUE!</v>
      </c>
      <c r="I161" s="457" t="str">
        <f t="shared" si="17"/>
        <v>-</v>
      </c>
      <c r="J161" s="457" t="str">
        <f t="shared" si="18"/>
        <v>-</v>
      </c>
      <c r="K161" s="457" t="str">
        <f t="shared" si="19"/>
        <v>-</v>
      </c>
      <c r="L161" s="524" t="str">
        <f>IF(C161=0,"-",I161*'Fatores de Emissão'!$E$252+FACE!J161*'Fatores de Emissão'!$E$248+FACE!K161*'Fatores de Emissão'!$E$249)</f>
        <v>-</v>
      </c>
      <c r="M161" s="366"/>
      <c r="N161" s="366">
        <f t="shared" si="20"/>
        <v>0</v>
      </c>
    </row>
    <row r="162" spans="1:14" s="314" customFormat="1" outlineLevel="1" x14ac:dyDescent="0.35">
      <c r="A162" s="471">
        <v>7</v>
      </c>
      <c r="B162" s="470" t="str">
        <f>'Fatores de Emissão'!$B$51</f>
        <v>Gasolina para motores</v>
      </c>
      <c r="C162" s="366">
        <f>SUMIF('Combustão Estacionária'!$C$287:$C$386,B162,'Combustão Estacionária'!$D$287:$D$386)</f>
        <v>0</v>
      </c>
      <c r="D162" s="522" t="str">
        <f>FACE!D107</f>
        <v>Litros</v>
      </c>
      <c r="F162" s="535">
        <f t="shared" si="16"/>
        <v>2.3018515000000002</v>
      </c>
      <c r="G162" s="536" t="e">
        <f>IF($F$155='Fatores de Emissão'!$J$30,'Fatores de Emissão'!J51,IF($F$155='Fatores de Emissão'!$K$30,'Fatores de Emissão'!K51,IF($F$155='Fatores de Emissão'!$L$30,'Fatores de Emissão'!L51,IF($F$155='Fatores de Emissão'!$M$30,'Fatores de Emissão'!M51,""))))*1000</f>
        <v>#VALUE!</v>
      </c>
      <c r="H162" s="536" t="e">
        <f>IF($F$155='Fatores de Emissão'!$N$30,'Fatores de Emissão'!N51,IF($F$155='Fatores de Emissão'!$O$30,'Fatores de Emissão'!O51,IF($F$155='Fatores de Emissão'!$P$30,'Fatores de Emissão'!P51,IF($F$155='Fatores de Emissão'!$Q$30,'Fatores de Emissão'!Q51,""))))*1000</f>
        <v>#VALUE!</v>
      </c>
      <c r="I162" s="457" t="str">
        <f t="shared" si="17"/>
        <v>-</v>
      </c>
      <c r="J162" s="457" t="str">
        <f t="shared" si="18"/>
        <v>-</v>
      </c>
      <c r="K162" s="457" t="str">
        <f t="shared" si="19"/>
        <v>-</v>
      </c>
      <c r="L162" s="524" t="str">
        <f>IF(C162=0,"-",I162*'Fatores de Emissão'!$E$252+FACE!J162*'Fatores de Emissão'!$E$248+FACE!K162*'Fatores de Emissão'!$E$249)</f>
        <v>-</v>
      </c>
      <c r="M162" s="502">
        <f>'Categoria 3'!$B$12</f>
        <v>2.2411459459459466E-6</v>
      </c>
      <c r="N162" s="366">
        <f t="shared" si="20"/>
        <v>0</v>
      </c>
    </row>
    <row r="163" spans="1:14" s="314" customFormat="1" outlineLevel="1" x14ac:dyDescent="0.35">
      <c r="A163" s="471">
        <v>8</v>
      </c>
      <c r="B163" s="470" t="str">
        <f>'Fatores de Emissão'!$B$36</f>
        <v>Carvão de coque</v>
      </c>
      <c r="C163" s="366">
        <f>SUMIF('Combustão Estacionária'!$C$287:$C$386,B163,'Combustão Estacionária'!$D$287:$D$386)</f>
        <v>0</v>
      </c>
      <c r="D163" s="522" t="str">
        <f>FACE!D108</f>
        <v>kg</v>
      </c>
      <c r="F163" s="535">
        <f t="shared" si="16"/>
        <v>0.26649</v>
      </c>
      <c r="G163" s="536" t="e">
        <f>IF($F$155='Fatores de Emissão'!$J$30,'Fatores de Emissão'!J36,IF($F$155='Fatores de Emissão'!$K$30,'Fatores de Emissão'!K36,IF($F$155='Fatores de Emissão'!$L$30,'Fatores de Emissão'!L36,IF($F$155='Fatores de Emissão'!$M$30,'Fatores de Emissão'!M36,""))))*1000</f>
        <v>#VALUE!</v>
      </c>
      <c r="H163" s="536" t="e">
        <f>IF($F$155='Fatores de Emissão'!$N$30,'Fatores de Emissão'!N36,IF($F$155='Fatores de Emissão'!$O$30,'Fatores de Emissão'!O36,IF($F$155='Fatores de Emissão'!$P$30,'Fatores de Emissão'!P36,IF($F$155='Fatores de Emissão'!$Q$30,'Fatores de Emissão'!Q36,""))))*1000</f>
        <v>#VALUE!</v>
      </c>
      <c r="I163" s="457" t="str">
        <f t="shared" si="17"/>
        <v>-</v>
      </c>
      <c r="J163" s="457" t="str">
        <f t="shared" si="18"/>
        <v>-</v>
      </c>
      <c r="K163" s="457" t="str">
        <f t="shared" si="19"/>
        <v>-</v>
      </c>
      <c r="L163" s="524" t="str">
        <f>IF(C163=0,"-",I163*'Fatores de Emissão'!$E$252+FACE!J163*'Fatores de Emissão'!$E$248+FACE!K163*'Fatores de Emissão'!$E$249)</f>
        <v>-</v>
      </c>
      <c r="M163" s="366"/>
      <c r="N163" s="366">
        <f t="shared" si="20"/>
        <v>0</v>
      </c>
    </row>
    <row r="164" spans="1:14" s="314" customFormat="1" ht="46.5" outlineLevel="1" x14ac:dyDescent="0.35">
      <c r="A164" s="471">
        <v>9</v>
      </c>
      <c r="B164" s="470" t="str">
        <f>'Fatores de Emissão'!$B$37</f>
        <v>Coque de forno de coque e coque de linhite</v>
      </c>
      <c r="C164" s="366">
        <f>SUMIF('Combustão Estacionária'!$C$287:$C$386,B164,'Combustão Estacionária'!$D$287:$D$386)</f>
        <v>0</v>
      </c>
      <c r="D164" s="522" t="str">
        <f>FACE!D109</f>
        <v>kg</v>
      </c>
      <c r="F164" s="535">
        <f t="shared" si="16"/>
        <v>3.0334500000000002</v>
      </c>
      <c r="G164" s="536" t="e">
        <f>IF($F$155='Fatores de Emissão'!$J$30,'Fatores de Emissão'!J37,IF($F$155='Fatores de Emissão'!$K$30,'Fatores de Emissão'!K37,IF($F$155='Fatores de Emissão'!$L$30,'Fatores de Emissão'!L37,IF($F$155='Fatores de Emissão'!$M$30,'Fatores de Emissão'!M37,""))))*1000</f>
        <v>#VALUE!</v>
      </c>
      <c r="H164" s="536" t="e">
        <f>IF($F$155='Fatores de Emissão'!$N$30,'Fatores de Emissão'!N37,IF($F$155='Fatores de Emissão'!$O$30,'Fatores de Emissão'!O37,IF($F$155='Fatores de Emissão'!$P$30,'Fatores de Emissão'!P37,IF($F$155='Fatores de Emissão'!$Q$30,'Fatores de Emissão'!Q37,""))))*1000</f>
        <v>#VALUE!</v>
      </c>
      <c r="I164" s="457" t="str">
        <f t="shared" si="17"/>
        <v>-</v>
      </c>
      <c r="J164" s="457" t="str">
        <f t="shared" si="18"/>
        <v>-</v>
      </c>
      <c r="K164" s="457" t="str">
        <f t="shared" si="19"/>
        <v>-</v>
      </c>
      <c r="L164" s="524" t="str">
        <f>IF(C164=0,"-",I164*'Fatores de Emissão'!$E$252+FACE!J164*'Fatores de Emissão'!$E$248+FACE!K164*'Fatores de Emissão'!$E$249)</f>
        <v>-</v>
      </c>
      <c r="M164" s="366"/>
      <c r="N164" s="366">
        <f t="shared" si="20"/>
        <v>0</v>
      </c>
    </row>
    <row r="165" spans="1:14" s="314" customFormat="1" outlineLevel="1" x14ac:dyDescent="0.35">
      <c r="A165" s="471">
        <v>10</v>
      </c>
      <c r="B165" s="470" t="str">
        <f>'Fatores de Emissão'!$B$38</f>
        <v>Coque de Petróleo</v>
      </c>
      <c r="C165" s="366">
        <f>SUMIF('Combustão Estacionária'!$C$287:$C$386,B165,'Combustão Estacionária'!$D$287:$D$386)</f>
        <v>0</v>
      </c>
      <c r="D165" s="522" t="str">
        <f>FACE!D110</f>
        <v>kg</v>
      </c>
      <c r="F165" s="535">
        <f t="shared" si="16"/>
        <v>3.0956250000000001</v>
      </c>
      <c r="G165" s="536" t="e">
        <f>IF($F$155='Fatores de Emissão'!$J$30,'Fatores de Emissão'!J38,IF($F$155='Fatores de Emissão'!$K$30,'Fatores de Emissão'!K38,IF($F$155='Fatores de Emissão'!$L$30,'Fatores de Emissão'!L38,IF($F$155='Fatores de Emissão'!$M$30,'Fatores de Emissão'!M38,""))))*1000</f>
        <v>#VALUE!</v>
      </c>
      <c r="H165" s="536" t="e">
        <f>IF($F$155='Fatores de Emissão'!$N$30,'Fatores de Emissão'!N38,IF($F$155='Fatores de Emissão'!$O$30,'Fatores de Emissão'!O38,IF($F$155='Fatores de Emissão'!$P$30,'Fatores de Emissão'!P38,IF($F$155='Fatores de Emissão'!$Q$30,'Fatores de Emissão'!Q38,""))))*1000</f>
        <v>#VALUE!</v>
      </c>
      <c r="I165" s="457" t="str">
        <f t="shared" si="17"/>
        <v>-</v>
      </c>
      <c r="J165" s="457" t="str">
        <f t="shared" si="18"/>
        <v>-</v>
      </c>
      <c r="K165" s="457" t="str">
        <f t="shared" si="19"/>
        <v>-</v>
      </c>
      <c r="L165" s="524" t="str">
        <f>IF(C165=0,"-",I165*'Fatores de Emissão'!$E$252+FACE!J165*'Fatores de Emissão'!$E$248+FACE!K165*'Fatores de Emissão'!$E$249)</f>
        <v>-</v>
      </c>
      <c r="M165" s="366"/>
      <c r="N165" s="366">
        <f t="shared" si="20"/>
        <v>0</v>
      </c>
    </row>
    <row r="166" spans="1:14" s="314" customFormat="1" outlineLevel="1" x14ac:dyDescent="0.35">
      <c r="A166" s="471">
        <v>11</v>
      </c>
      <c r="B166" s="470" t="str">
        <f>'Fatores de Emissão'!$B$39</f>
        <v>Etano</v>
      </c>
      <c r="C166" s="366">
        <f>SUMIF('Combustão Estacionária'!$C$287:$C$386,B166,'Combustão Estacionária'!$D$287:$D$386)</f>
        <v>0</v>
      </c>
      <c r="D166" s="522" t="str">
        <f>FACE!D111</f>
        <v>kg</v>
      </c>
      <c r="F166" s="535">
        <f t="shared" si="16"/>
        <v>2.8582399999999999</v>
      </c>
      <c r="G166" s="536" t="e">
        <f>IF($F$155='Fatores de Emissão'!$J$30,'Fatores de Emissão'!J39,IF($F$155='Fatores de Emissão'!$K$30,'Fatores de Emissão'!K39,IF($F$155='Fatores de Emissão'!$L$30,'Fatores de Emissão'!L39,IF($F$155='Fatores de Emissão'!$M$30,'Fatores de Emissão'!M39,""))))*1000</f>
        <v>#VALUE!</v>
      </c>
      <c r="H166" s="536" t="e">
        <f>IF($F$155='Fatores de Emissão'!$N$30,'Fatores de Emissão'!N39,IF($F$155='Fatores de Emissão'!$O$30,'Fatores de Emissão'!O39,IF($F$155='Fatores de Emissão'!$P$30,'Fatores de Emissão'!P39,IF($F$155='Fatores de Emissão'!$Q$30,'Fatores de Emissão'!Q39,""))))*1000</f>
        <v>#VALUE!</v>
      </c>
      <c r="I166" s="457" t="str">
        <f t="shared" si="17"/>
        <v>-</v>
      </c>
      <c r="J166" s="457" t="str">
        <f t="shared" si="18"/>
        <v>-</v>
      </c>
      <c r="K166" s="457" t="str">
        <f t="shared" si="19"/>
        <v>-</v>
      </c>
      <c r="L166" s="524" t="str">
        <f>IF(C166=0,"-",I166*'Fatores de Emissão'!$E$252+FACE!J166*'Fatores de Emissão'!$E$248+FACE!K166*'Fatores de Emissão'!$E$249)</f>
        <v>-</v>
      </c>
      <c r="M166" s="366"/>
      <c r="N166" s="366">
        <f t="shared" si="20"/>
        <v>0</v>
      </c>
    </row>
    <row r="167" spans="1:14" s="314" customFormat="1" outlineLevel="1" x14ac:dyDescent="0.35">
      <c r="A167" s="471">
        <v>12</v>
      </c>
      <c r="B167" s="470" t="str">
        <f>'Fatores de Emissão'!$B$40</f>
        <v>Fuelóleo</v>
      </c>
      <c r="C167" s="366">
        <f>SUMIF('Combustão Estacionária'!$C$287:$C$386,B167,'Combustão Estacionária'!$D$287:$D$386)</f>
        <v>0</v>
      </c>
      <c r="D167" s="522" t="str">
        <f>FACE!D112</f>
        <v>Litros</v>
      </c>
      <c r="F167" s="535">
        <f t="shared" si="16"/>
        <v>3.0064134399999998</v>
      </c>
      <c r="G167" s="536" t="e">
        <f>IF($F$155='Fatores de Emissão'!$J$30,'Fatores de Emissão'!J40,IF($F$155='Fatores de Emissão'!$K$30,'Fatores de Emissão'!K40,IF($F$155='Fatores de Emissão'!$L$30,'Fatores de Emissão'!L40,IF($F$155='Fatores de Emissão'!$M$30,'Fatores de Emissão'!M40,""))))*1000</f>
        <v>#VALUE!</v>
      </c>
      <c r="H167" s="536" t="e">
        <f>IF($F$155='Fatores de Emissão'!$N$30,'Fatores de Emissão'!N40,IF($F$155='Fatores de Emissão'!$O$30,'Fatores de Emissão'!O40,IF($F$155='Fatores de Emissão'!$P$30,'Fatores de Emissão'!P40,IF($F$155='Fatores de Emissão'!$Q$30,'Fatores de Emissão'!Q40,""))))*1000</f>
        <v>#VALUE!</v>
      </c>
      <c r="I167" s="457" t="str">
        <f t="shared" si="17"/>
        <v>-</v>
      </c>
      <c r="J167" s="457" t="str">
        <f t="shared" si="18"/>
        <v>-</v>
      </c>
      <c r="K167" s="457" t="str">
        <f t="shared" si="19"/>
        <v>-</v>
      </c>
      <c r="L167" s="524" t="str">
        <f>IF(C167=0,"-",I167*'Fatores de Emissão'!$E$252+FACE!J167*'Fatores de Emissão'!$E$248+FACE!K167*'Fatores de Emissão'!$E$249)</f>
        <v>-</v>
      </c>
      <c r="M167" s="502">
        <f>'Categoria 3'!$B$12</f>
        <v>2.2411459459459466E-6</v>
      </c>
      <c r="N167" s="366">
        <f t="shared" si="20"/>
        <v>0</v>
      </c>
    </row>
    <row r="168" spans="1:14" s="314" customFormat="1" outlineLevel="1" x14ac:dyDescent="0.35">
      <c r="A168" s="471">
        <v>13</v>
      </c>
      <c r="B168" s="470" t="str">
        <f>'Fatores de Emissão'!$B$41</f>
        <v>Gás de Alto Forno</v>
      </c>
      <c r="C168" s="366">
        <f>SUMIF('Combustão Estacionária'!$C$287:$C$386,B168,'Combustão Estacionária'!$D$287:$D$386)</f>
        <v>0</v>
      </c>
      <c r="D168" s="522" t="str">
        <f>FACE!D113</f>
        <v>kg</v>
      </c>
      <c r="F168" s="535">
        <f t="shared" si="16"/>
        <v>0.64849999999999985</v>
      </c>
      <c r="G168" s="536" t="e">
        <f>IF($F$155='Fatores de Emissão'!$J$30,'Fatores de Emissão'!J41,IF($F$155='Fatores de Emissão'!$K$30,'Fatores de Emissão'!K41,IF($F$155='Fatores de Emissão'!$L$30,'Fatores de Emissão'!L41,IF($F$155='Fatores de Emissão'!$M$30,'Fatores de Emissão'!M41,""))))*1000</f>
        <v>#VALUE!</v>
      </c>
      <c r="H168" s="536" t="e">
        <f>IF($F$155='Fatores de Emissão'!$N$30,'Fatores de Emissão'!N41,IF($F$155='Fatores de Emissão'!$O$30,'Fatores de Emissão'!O41,IF($F$155='Fatores de Emissão'!$P$30,'Fatores de Emissão'!P41,IF($F$155='Fatores de Emissão'!$Q$30,'Fatores de Emissão'!Q41,""))))*1000</f>
        <v>#VALUE!</v>
      </c>
      <c r="I168" s="457" t="str">
        <f t="shared" si="17"/>
        <v>-</v>
      </c>
      <c r="J168" s="457" t="str">
        <f t="shared" si="18"/>
        <v>-</v>
      </c>
      <c r="K168" s="457" t="str">
        <f t="shared" si="19"/>
        <v>-</v>
      </c>
      <c r="L168" s="524" t="str">
        <f>IF(C168=0,"-",I168*'Fatores de Emissão'!$E$252+FACE!J168*'Fatores de Emissão'!$E$248+FACE!K168*'Fatores de Emissão'!$E$249)</f>
        <v>-</v>
      </c>
      <c r="M168" s="366"/>
      <c r="N168" s="366">
        <f t="shared" si="20"/>
        <v>0</v>
      </c>
    </row>
    <row r="169" spans="1:14" s="314" customFormat="1" outlineLevel="1" x14ac:dyDescent="0.35">
      <c r="A169" s="471">
        <v>14</v>
      </c>
      <c r="B169" s="470" t="str">
        <f>'Fatores de Emissão'!$B$42</f>
        <v xml:space="preserve">Gás de Coqueria </v>
      </c>
      <c r="C169" s="366">
        <f>SUMIF('Combustão Estacionária'!$C$287:$C$386,B169,'Combustão Estacionária'!$D$287:$D$386)</f>
        <v>0</v>
      </c>
      <c r="D169" s="522" t="str">
        <f>FACE!D114</f>
        <v>kg</v>
      </c>
      <c r="F169" s="535">
        <f t="shared" si="16"/>
        <v>1.7298900000000001</v>
      </c>
      <c r="G169" s="536" t="e">
        <f>IF($F$155='Fatores de Emissão'!$J$30,'Fatores de Emissão'!J42,IF($F$155='Fatores de Emissão'!$K$30,'Fatores de Emissão'!K42,IF($F$155='Fatores de Emissão'!$L$30,'Fatores de Emissão'!L42,IF($F$155='Fatores de Emissão'!$M$30,'Fatores de Emissão'!M42,""))))*1000</f>
        <v>#VALUE!</v>
      </c>
      <c r="H169" s="536" t="e">
        <f>IF($F$155='Fatores de Emissão'!$N$30,'Fatores de Emissão'!N42,IF($F$155='Fatores de Emissão'!$O$30,'Fatores de Emissão'!O42,IF($F$155='Fatores de Emissão'!$P$30,'Fatores de Emissão'!P42,IF($F$155='Fatores de Emissão'!$Q$30,'Fatores de Emissão'!Q42,""))))*1000</f>
        <v>#VALUE!</v>
      </c>
      <c r="I169" s="457" t="str">
        <f t="shared" si="17"/>
        <v>-</v>
      </c>
      <c r="J169" s="457" t="str">
        <f t="shared" si="18"/>
        <v>-</v>
      </c>
      <c r="K169" s="457" t="str">
        <f t="shared" si="19"/>
        <v>-</v>
      </c>
      <c r="L169" s="524" t="str">
        <f>IF(C169=0,"-",I169*'Fatores de Emissão'!$E$252+FACE!J169*'Fatores de Emissão'!$E$248+FACE!K169*'Fatores de Emissão'!$E$249)</f>
        <v>-</v>
      </c>
      <c r="M169" s="366"/>
      <c r="N169" s="366">
        <f t="shared" si="20"/>
        <v>0</v>
      </c>
    </row>
    <row r="170" spans="1:14" s="314" customFormat="1" ht="31" outlineLevel="1" x14ac:dyDescent="0.35">
      <c r="A170" s="471">
        <v>15</v>
      </c>
      <c r="B170" s="470" t="str">
        <f>'Fatores de Emissão'!$B$43</f>
        <v>Gás produzido em fábricas</v>
      </c>
      <c r="C170" s="366">
        <f>SUMIF('Combustão Estacionária'!$C$287:$C$386,B170,'Combustão Estacionária'!$D$287:$D$386)</f>
        <v>0</v>
      </c>
      <c r="D170" s="522" t="str">
        <f>FACE!D115</f>
        <v>kg</v>
      </c>
      <c r="F170" s="535">
        <f t="shared" si="16"/>
        <v>1.7298900000000001</v>
      </c>
      <c r="G170" s="536" t="e">
        <f>IF($F$155='Fatores de Emissão'!$J$30,'Fatores de Emissão'!J43,IF($F$155='Fatores de Emissão'!$K$30,'Fatores de Emissão'!K43,IF($F$155='Fatores de Emissão'!$L$30,'Fatores de Emissão'!L43,IF($F$155='Fatores de Emissão'!$M$30,'Fatores de Emissão'!M43,""))))*1000</f>
        <v>#VALUE!</v>
      </c>
      <c r="H170" s="536" t="e">
        <f>IF($F$155='Fatores de Emissão'!$N$30,'Fatores de Emissão'!N43,IF($F$155='Fatores de Emissão'!$O$30,'Fatores de Emissão'!O43,IF($F$155='Fatores de Emissão'!$P$30,'Fatores de Emissão'!P43,IF($F$155='Fatores de Emissão'!$Q$30,'Fatores de Emissão'!Q43,""))))*1000</f>
        <v>#VALUE!</v>
      </c>
      <c r="I170" s="457" t="str">
        <f t="shared" si="17"/>
        <v>-</v>
      </c>
      <c r="J170" s="457" t="str">
        <f t="shared" si="18"/>
        <v>-</v>
      </c>
      <c r="K170" s="457" t="str">
        <f t="shared" si="19"/>
        <v>-</v>
      </c>
      <c r="L170" s="524" t="str">
        <f>IF(C170=0,"-",I170*'Fatores de Emissão'!$E$252+FACE!J170*'Fatores de Emissão'!$E$248+FACE!K170*'Fatores de Emissão'!$E$249)</f>
        <v>-</v>
      </c>
      <c r="M170" s="366"/>
      <c r="N170" s="366">
        <f t="shared" si="20"/>
        <v>0</v>
      </c>
    </row>
    <row r="171" spans="1:14" s="314" customFormat="1" ht="31" outlineLevel="1" x14ac:dyDescent="0.35">
      <c r="A171" s="471">
        <v>16</v>
      </c>
      <c r="B171" s="470" t="str">
        <f>'Fatores de Emissão'!$B$44</f>
        <v>Gás de forno de aciaria de oxigénio</v>
      </c>
      <c r="C171" s="366">
        <f>SUMIF('Combustão Estacionária'!$C$287:$C$386,B171,'Combustão Estacionária'!$D$287:$D$386)</f>
        <v>0</v>
      </c>
      <c r="D171" s="522" t="str">
        <f>FACE!D116</f>
        <v>kg</v>
      </c>
      <c r="F171" s="535">
        <f t="shared" si="16"/>
        <v>1.2197800000000001</v>
      </c>
      <c r="G171" s="536" t="e">
        <f>IF($F$155='Fatores de Emissão'!$J$30,'Fatores de Emissão'!J44,IF($F$155='Fatores de Emissão'!$K$30,'Fatores de Emissão'!K44,IF($F$155='Fatores de Emissão'!$L$30,'Fatores de Emissão'!L44,IF($F$155='Fatores de Emissão'!$M$30,'Fatores de Emissão'!M44,""))))*1000</f>
        <v>#VALUE!</v>
      </c>
      <c r="H171" s="536" t="e">
        <f>IF($F$155='Fatores de Emissão'!$N$30,'Fatores de Emissão'!N44,IF($F$155='Fatores de Emissão'!$O$30,'Fatores de Emissão'!O44,IF($F$155='Fatores de Emissão'!$P$30,'Fatores de Emissão'!P44,IF($F$155='Fatores de Emissão'!$Q$30,'Fatores de Emissão'!Q44,""))))*1000</f>
        <v>#VALUE!</v>
      </c>
      <c r="I171" s="457" t="str">
        <f t="shared" si="17"/>
        <v>-</v>
      </c>
      <c r="J171" s="457" t="str">
        <f t="shared" si="18"/>
        <v>-</v>
      </c>
      <c r="K171" s="457" t="str">
        <f t="shared" si="19"/>
        <v>-</v>
      </c>
      <c r="L171" s="524" t="str">
        <f>IF(C171=0,"-",I171*'Fatores de Emissão'!$E$252+FACE!J171*'Fatores de Emissão'!$E$248+FACE!K171*'Fatores de Emissão'!$E$249)</f>
        <v>-</v>
      </c>
      <c r="M171" s="366"/>
      <c r="N171" s="366">
        <f t="shared" si="20"/>
        <v>0</v>
      </c>
    </row>
    <row r="172" spans="1:14" s="314" customFormat="1" ht="31" outlineLevel="1" x14ac:dyDescent="0.35">
      <c r="A172" s="471">
        <v>17</v>
      </c>
      <c r="B172" s="470" t="str">
        <f>'Fatores de Emissão'!$B$45</f>
        <v>GPL - Gás de Petróleo Liquefeito</v>
      </c>
      <c r="C172" s="366">
        <f>SUMIF('Combustão Estacionária'!$C$287:$C$386,B172,'Combustão Estacionária'!$D$287:$D$386)</f>
        <v>0</v>
      </c>
      <c r="D172" s="522" t="str">
        <f>FACE!D117</f>
        <v>Litros</v>
      </c>
      <c r="F172" s="535">
        <f t="shared" si="16"/>
        <v>1.4753528999999999</v>
      </c>
      <c r="G172" s="536" t="e">
        <f>IF($F$155='Fatores de Emissão'!$J$30,'Fatores de Emissão'!J45,IF($F$155='Fatores de Emissão'!$K$30,'Fatores de Emissão'!K45,IF($F$155='Fatores de Emissão'!$L$30,'Fatores de Emissão'!L45,IF($F$155='Fatores de Emissão'!$M$30,'Fatores de Emissão'!M45,""))))*1000</f>
        <v>#VALUE!</v>
      </c>
      <c r="H172" s="536" t="e">
        <f>IF($F$155='Fatores de Emissão'!$N$30,'Fatores de Emissão'!N45,IF($F$155='Fatores de Emissão'!$O$30,'Fatores de Emissão'!O45,IF($F$155='Fatores de Emissão'!$P$30,'Fatores de Emissão'!P45,IF($F$155='Fatores de Emissão'!$Q$30,'Fatores de Emissão'!Q45,""))))*1000</f>
        <v>#VALUE!</v>
      </c>
      <c r="I172" s="457" t="str">
        <f t="shared" si="17"/>
        <v>-</v>
      </c>
      <c r="J172" s="457" t="str">
        <f t="shared" si="18"/>
        <v>-</v>
      </c>
      <c r="K172" s="457" t="str">
        <f t="shared" si="19"/>
        <v>-</v>
      </c>
      <c r="L172" s="524" t="str">
        <f>IF(C172=0,"-",I172*'Fatores de Emissão'!$E$252+FACE!J172*'Fatores de Emissão'!$E$248+FACE!K172*'Fatores de Emissão'!$E$249)</f>
        <v>-</v>
      </c>
      <c r="M172" s="366"/>
      <c r="N172" s="366">
        <f t="shared" si="20"/>
        <v>0</v>
      </c>
    </row>
    <row r="173" spans="1:14" s="314" customFormat="1" ht="31" outlineLevel="1" x14ac:dyDescent="0.35">
      <c r="A173" s="471">
        <v>18</v>
      </c>
      <c r="B173" s="470" t="str">
        <f>'Fatores de Emissão'!$B$46</f>
        <v>Gás de Refinaria (não liquefeito)</v>
      </c>
      <c r="C173" s="366">
        <f>SUMIF('Combustão Estacionária'!$C$287:$C$386,B173,'Combustão Estacionária'!$D$287:$D$386)</f>
        <v>0</v>
      </c>
      <c r="D173" s="522" t="str">
        <f>FACE!D118</f>
        <v>kg</v>
      </c>
      <c r="F173" s="535">
        <f t="shared" si="16"/>
        <v>2.5393500000000002</v>
      </c>
      <c r="G173" s="536" t="e">
        <f>IF($F$155='Fatores de Emissão'!$J$30,'Fatores de Emissão'!J46,IF($F$155='Fatores de Emissão'!$K$30,'Fatores de Emissão'!K46,IF($F$155='Fatores de Emissão'!$L$30,'Fatores de Emissão'!L46,IF($F$155='Fatores de Emissão'!$M$30,'Fatores de Emissão'!M46,""))))*1000</f>
        <v>#VALUE!</v>
      </c>
      <c r="H173" s="536" t="e">
        <f>IF($F$155='Fatores de Emissão'!$N$30,'Fatores de Emissão'!N46,IF($F$155='Fatores de Emissão'!$O$30,'Fatores de Emissão'!O46,IF($F$155='Fatores de Emissão'!$P$30,'Fatores de Emissão'!P46,IF($F$155='Fatores de Emissão'!$Q$30,'Fatores de Emissão'!Q46,""))))*1000</f>
        <v>#VALUE!</v>
      </c>
      <c r="I173" s="457" t="str">
        <f t="shared" si="17"/>
        <v>-</v>
      </c>
      <c r="J173" s="457" t="str">
        <f t="shared" si="18"/>
        <v>-</v>
      </c>
      <c r="K173" s="457" t="str">
        <f t="shared" si="19"/>
        <v>-</v>
      </c>
      <c r="L173" s="524" t="str">
        <f>IF(C173=0,"-",I173*'Fatores de Emissão'!$E$252+FACE!J173*'Fatores de Emissão'!$E$248+FACE!K173*'Fatores de Emissão'!$E$249)</f>
        <v>-</v>
      </c>
      <c r="M173" s="502">
        <f>'Categoria 3'!$B$12</f>
        <v>2.2411459459459466E-6</v>
      </c>
      <c r="N173" s="366">
        <f t="shared" si="20"/>
        <v>0</v>
      </c>
    </row>
    <row r="174" spans="1:14" s="314" customFormat="1" outlineLevel="1" x14ac:dyDescent="0.35">
      <c r="A174" s="471">
        <v>19</v>
      </c>
      <c r="B174" s="470" t="str">
        <f>'Fatores de Emissão'!$B$47</f>
        <v>Gás Natural</v>
      </c>
      <c r="C174" s="366">
        <f>SUMIF('Combustão Estacionária'!$C$287:$C$386,B174,'Combustão Estacionária'!$D$287:$D$386)</f>
        <v>0</v>
      </c>
      <c r="D174" s="522" t="str">
        <f>FACE!D119</f>
        <v>m3</v>
      </c>
      <c r="F174" s="535">
        <f t="shared" si="16"/>
        <v>2.4295207639999994</v>
      </c>
      <c r="G174" s="536" t="e">
        <f>IF($F$155='Fatores de Emissão'!$J$30,'Fatores de Emissão'!J47,IF($F$155='Fatores de Emissão'!$K$30,'Fatores de Emissão'!K47,IF($F$155='Fatores de Emissão'!$L$30,'Fatores de Emissão'!L47,IF($F$155='Fatores de Emissão'!$M$30,'Fatores de Emissão'!M47,""))))*1000</f>
        <v>#VALUE!</v>
      </c>
      <c r="H174" s="536" t="e">
        <f>IF($F$155='Fatores de Emissão'!$N$30,'Fatores de Emissão'!N47,IF($F$155='Fatores de Emissão'!$O$30,'Fatores de Emissão'!O47,IF($F$155='Fatores de Emissão'!$P$30,'Fatores de Emissão'!P47,IF($F$155='Fatores de Emissão'!$Q$30,'Fatores de Emissão'!Q47,""))))*1000</f>
        <v>#VALUE!</v>
      </c>
      <c r="I174" s="457" t="str">
        <f t="shared" si="17"/>
        <v>-</v>
      </c>
      <c r="J174" s="457" t="str">
        <f t="shared" si="18"/>
        <v>-</v>
      </c>
      <c r="K174" s="457" t="str">
        <f t="shared" si="19"/>
        <v>-</v>
      </c>
      <c r="L174" s="524" t="str">
        <f>IF(C174=0,"-",I174*'Fatores de Emissão'!$E$252+FACE!J174*'Fatores de Emissão'!$E$248+FACE!K174*'Fatores de Emissão'!$E$249)</f>
        <v>-</v>
      </c>
      <c r="M174" s="503">
        <v>1.759262433046875E-5</v>
      </c>
      <c r="N174" s="366">
        <f t="shared" si="20"/>
        <v>0</v>
      </c>
    </row>
    <row r="175" spans="1:14" s="314" customFormat="1" ht="31" outlineLevel="1" x14ac:dyDescent="0.35">
      <c r="A175" s="471">
        <v>20</v>
      </c>
      <c r="B175" s="470" t="str">
        <f>'Fatores de Emissão'!$B$48</f>
        <v>Gás Natural (superior a 93% de metano)</v>
      </c>
      <c r="C175" s="366">
        <f>SUMIF('Combustão Estacionária'!$C$287:$C$386,B175,'Combustão Estacionária'!$D$287:$D$386)</f>
        <v>0</v>
      </c>
      <c r="D175" s="522" t="str">
        <f>FACE!D120</f>
        <v>m³</v>
      </c>
      <c r="F175" s="535">
        <f t="shared" si="16"/>
        <v>2.2441705440000002</v>
      </c>
      <c r="G175" s="536" t="e">
        <f>IF($F$155='Fatores de Emissão'!$J$30,'Fatores de Emissão'!J48,IF($F$155='Fatores de Emissão'!$K$30,'Fatores de Emissão'!K48,IF($F$155='Fatores de Emissão'!$L$30,'Fatores de Emissão'!L48,IF($F$155='Fatores de Emissão'!$M$30,'Fatores de Emissão'!M48,""))))*1000</f>
        <v>#VALUE!</v>
      </c>
      <c r="H175" s="536" t="e">
        <f>IF($F$155='Fatores de Emissão'!$N$30,'Fatores de Emissão'!N48,IF($F$155='Fatores de Emissão'!$O$30,'Fatores de Emissão'!O48,IF($F$155='Fatores de Emissão'!$P$30,'Fatores de Emissão'!P48,IF($F$155='Fatores de Emissão'!$Q$30,'Fatores de Emissão'!Q48,""))))*1000</f>
        <v>#VALUE!</v>
      </c>
      <c r="I175" s="457" t="str">
        <f t="shared" si="17"/>
        <v>-</v>
      </c>
      <c r="J175" s="457" t="str">
        <f t="shared" si="18"/>
        <v>-</v>
      </c>
      <c r="K175" s="457" t="str">
        <f t="shared" si="19"/>
        <v>-</v>
      </c>
      <c r="L175" s="524" t="str">
        <f>IF(C175=0,"-",I175*'Fatores de Emissão'!$E$252+FACE!J175*'Fatores de Emissão'!$E$248+FACE!K175*'Fatores de Emissão'!$E$249)</f>
        <v>-</v>
      </c>
      <c r="M175" s="503">
        <v>1.759262433046875E-5</v>
      </c>
      <c r="N175" s="366">
        <f t="shared" si="20"/>
        <v>0</v>
      </c>
    </row>
    <row r="176" spans="1:14" s="314" customFormat="1" ht="31" outlineLevel="1" x14ac:dyDescent="0.35">
      <c r="A176" s="471">
        <v>21</v>
      </c>
      <c r="B176" s="470" t="str">
        <f>'Fatores de Emissão'!$B$49</f>
        <v>LGN - Gás Natural Liquefeito</v>
      </c>
      <c r="C176" s="366">
        <f>SUMIF('Combustão Estacionária'!$C$287:$C$386,B176,'Combustão Estacionária'!$D$287:$D$386)</f>
        <v>0</v>
      </c>
      <c r="D176" s="522" t="str">
        <f>FACE!D121</f>
        <v>kg</v>
      </c>
      <c r="F176" s="535">
        <f t="shared" si="16"/>
        <v>2.8652700000000002</v>
      </c>
      <c r="G176" s="536" t="e">
        <f>IF($F$155='Fatores de Emissão'!$J$30,'Fatores de Emissão'!J49,IF($F$155='Fatores de Emissão'!$K$30,'Fatores de Emissão'!K49,IF($F$155='Fatores de Emissão'!$L$30,'Fatores de Emissão'!L49,IF($F$155='Fatores de Emissão'!$M$30,'Fatores de Emissão'!M49,""))))*1000</f>
        <v>#VALUE!</v>
      </c>
      <c r="H176" s="536" t="e">
        <f>IF($F$155='Fatores de Emissão'!$N$30,'Fatores de Emissão'!N49,IF($F$155='Fatores de Emissão'!$O$30,'Fatores de Emissão'!O49,IF($F$155='Fatores de Emissão'!$P$30,'Fatores de Emissão'!P49,IF($F$155='Fatores de Emissão'!$Q$30,'Fatores de Emissão'!Q49,""))))*1000</f>
        <v>#VALUE!</v>
      </c>
      <c r="I176" s="457" t="str">
        <f t="shared" si="17"/>
        <v>-</v>
      </c>
      <c r="J176" s="457" t="str">
        <f t="shared" si="18"/>
        <v>-</v>
      </c>
      <c r="K176" s="457" t="str">
        <f t="shared" si="19"/>
        <v>-</v>
      </c>
      <c r="L176" s="524" t="str">
        <f>IF(C176=0,"-",I176*'Fatores de Emissão'!$E$252+FACE!J176*'Fatores de Emissão'!$E$248+FACE!K176*'Fatores de Emissão'!$E$249)</f>
        <v>-</v>
      </c>
      <c r="M176" s="504"/>
      <c r="N176" s="366">
        <f t="shared" si="20"/>
        <v>0</v>
      </c>
    </row>
    <row r="177" spans="1:14" s="314" customFormat="1" ht="31" outlineLevel="1" x14ac:dyDescent="0.35">
      <c r="A177" s="471">
        <v>22</v>
      </c>
      <c r="B177" s="470" t="str">
        <f>'Fatores de Emissão'!$B$50</f>
        <v>Gasóleo / óleo diesel (fuelóleo destilado)</v>
      </c>
      <c r="C177" s="366">
        <f>SUMIF('Combustão Estacionária'!$C$287:$C$386,B177,'Combustão Estacionária'!$D$287:$D$386)</f>
        <v>0</v>
      </c>
      <c r="D177" s="522" t="str">
        <f>FACE!D122</f>
        <v>Litros</v>
      </c>
      <c r="F177" s="535">
        <f t="shared" si="16"/>
        <v>2.6509464</v>
      </c>
      <c r="G177" s="536" t="e">
        <f>IF($F$155='Fatores de Emissão'!$J$30,'Fatores de Emissão'!J50,IF($F$155='Fatores de Emissão'!$K$30,'Fatores de Emissão'!K50,IF($F$155='Fatores de Emissão'!$L$30,'Fatores de Emissão'!L50,IF($F$155='Fatores de Emissão'!$M$30,'Fatores de Emissão'!M50,""))))*1000</f>
        <v>#VALUE!</v>
      </c>
      <c r="H177" s="536" t="e">
        <f>IF($F$155='Fatores de Emissão'!$N$30,'Fatores de Emissão'!N50,IF($F$155='Fatores de Emissão'!$O$30,'Fatores de Emissão'!O50,IF($F$155='Fatores de Emissão'!$P$30,'Fatores de Emissão'!P50,IF($F$155='Fatores de Emissão'!$Q$30,'Fatores de Emissão'!Q50,""))))*1000</f>
        <v>#VALUE!</v>
      </c>
      <c r="I177" s="457" t="str">
        <f t="shared" si="17"/>
        <v>-</v>
      </c>
      <c r="J177" s="457" t="str">
        <f t="shared" si="18"/>
        <v>-</v>
      </c>
      <c r="K177" s="457" t="str">
        <f t="shared" si="19"/>
        <v>-</v>
      </c>
      <c r="L177" s="524" t="str">
        <f>IF(C177=0,"-",I177*'Fatores de Emissão'!$E$252+FACE!J177*'Fatores de Emissão'!$E$248+FACE!K177*'Fatores de Emissão'!$E$249)</f>
        <v>-</v>
      </c>
      <c r="M177" s="502">
        <f>'Categoria 3'!$B$12</f>
        <v>2.2411459459459466E-6</v>
      </c>
      <c r="N177" s="366">
        <f t="shared" si="20"/>
        <v>0</v>
      </c>
    </row>
    <row r="178" spans="1:14" s="314" customFormat="1" outlineLevel="1" x14ac:dyDescent="0.35">
      <c r="A178" s="471">
        <v>23</v>
      </c>
      <c r="B178" s="470" t="str">
        <f>'Fatores de Emissão'!$B$52</f>
        <v>Gasolina de Aviação</v>
      </c>
      <c r="C178" s="366">
        <f>SUMIF('Combustão Estacionária'!$C$287:$C$386,B178,'Combustão Estacionária'!$D$287:$D$386)</f>
        <v>0</v>
      </c>
      <c r="D178" s="522" t="str">
        <f>FACE!D123</f>
        <v>Litros</v>
      </c>
      <c r="F178" s="535">
        <f t="shared" si="16"/>
        <v>2.3179975000000002</v>
      </c>
      <c r="G178" s="536" t="e">
        <f>IF($F$155='Fatores de Emissão'!$J$30,'Fatores de Emissão'!J52,IF($F$155='Fatores de Emissão'!$K$30,'Fatores de Emissão'!K52,IF($F$155='Fatores de Emissão'!$L$30,'Fatores de Emissão'!L52,IF($F$155='Fatores de Emissão'!$M$30,'Fatores de Emissão'!M52,""))))*1000</f>
        <v>#VALUE!</v>
      </c>
      <c r="H178" s="536" t="e">
        <f>IF($F$155='Fatores de Emissão'!$N$30,'Fatores de Emissão'!N52,IF($F$155='Fatores de Emissão'!$O$30,'Fatores de Emissão'!O52,IF($F$155='Fatores de Emissão'!$P$30,'Fatores de Emissão'!P52,IF($F$155='Fatores de Emissão'!$Q$30,'Fatores de Emissão'!Q52,""))))*1000</f>
        <v>#VALUE!</v>
      </c>
      <c r="I178" s="457" t="str">
        <f t="shared" si="17"/>
        <v>-</v>
      </c>
      <c r="J178" s="457" t="str">
        <f t="shared" si="18"/>
        <v>-</v>
      </c>
      <c r="K178" s="457" t="str">
        <f t="shared" si="19"/>
        <v>-</v>
      </c>
      <c r="L178" s="524" t="str">
        <f>IF(C178=0,"-",I178*'Fatores de Emissão'!$E$252+FACE!J178*'Fatores de Emissão'!$E$248+FACE!K178*'Fatores de Emissão'!$E$249)</f>
        <v>-</v>
      </c>
      <c r="M178" s="502">
        <f>'Categoria 3'!$B$12</f>
        <v>2.2411459459459466E-6</v>
      </c>
      <c r="N178" s="366">
        <f t="shared" si="20"/>
        <v>0</v>
      </c>
    </row>
    <row r="179" spans="1:14" s="314" customFormat="1" ht="46.5" outlineLevel="1" x14ac:dyDescent="0.35">
      <c r="A179" s="471">
        <v>24</v>
      </c>
      <c r="B179" s="470" t="str">
        <f>'Fatores de Emissão'!$B$53</f>
        <v>Gasolina tipo Jet Fuel (nafta tipo Jet Fuel ou JP4)</v>
      </c>
      <c r="C179" s="366">
        <f>SUMIF('Combustão Estacionária'!$C$287:$C$386,B179,'Combustão Estacionária'!$D$287:$D$386)</f>
        <v>0</v>
      </c>
      <c r="D179" s="522" t="str">
        <f>FACE!D124</f>
        <v>Litros</v>
      </c>
      <c r="F179" s="535">
        <f t="shared" si="16"/>
        <v>2.3179975000000002</v>
      </c>
      <c r="G179" s="536" t="e">
        <f>IF($F$155='Fatores de Emissão'!$J$30,'Fatores de Emissão'!J53,IF($F$155='Fatores de Emissão'!$K$30,'Fatores de Emissão'!K53,IF($F$155='Fatores de Emissão'!$L$30,'Fatores de Emissão'!L53,IF($F$155='Fatores de Emissão'!$M$30,'Fatores de Emissão'!M53,""))))*1000</f>
        <v>#VALUE!</v>
      </c>
      <c r="H179" s="536" t="e">
        <f>IF($F$155='Fatores de Emissão'!$N$30,'Fatores de Emissão'!N53,IF($F$155='Fatores de Emissão'!$O$30,'Fatores de Emissão'!O53,IF($F$155='Fatores de Emissão'!$P$30,'Fatores de Emissão'!P53,IF($F$155='Fatores de Emissão'!$Q$30,'Fatores de Emissão'!Q53,""))))*1000</f>
        <v>#VALUE!</v>
      </c>
      <c r="I179" s="457" t="str">
        <f t="shared" si="17"/>
        <v>-</v>
      </c>
      <c r="J179" s="457" t="str">
        <f t="shared" si="18"/>
        <v>-</v>
      </c>
      <c r="K179" s="457" t="str">
        <f t="shared" si="19"/>
        <v>-</v>
      </c>
      <c r="L179" s="524" t="str">
        <f>IF(C179=0,"-",I179*'Fatores de Emissão'!$E$252+FACE!J179*'Fatores de Emissão'!$E$248+FACE!K179*'Fatores de Emissão'!$E$249)</f>
        <v>-</v>
      </c>
      <c r="M179" s="366"/>
      <c r="N179" s="366">
        <f t="shared" si="20"/>
        <v>0</v>
      </c>
    </row>
    <row r="180" spans="1:14" s="314" customFormat="1" outlineLevel="1" x14ac:dyDescent="0.35">
      <c r="A180" s="471">
        <v>25</v>
      </c>
      <c r="B180" s="470" t="str">
        <f>'Fatores de Emissão'!$B$54</f>
        <v>Linhite castanha</v>
      </c>
      <c r="C180" s="366">
        <f>SUMIF('Combustão Estacionária'!$C$287:$C$386,B180,'Combustão Estacionária'!$D$287:$D$386)</f>
        <v>0</v>
      </c>
      <c r="D180" s="522" t="str">
        <f>FACE!D125</f>
        <v>kg</v>
      </c>
      <c r="F180" s="535">
        <f t="shared" si="16"/>
        <v>0.81385500000000011</v>
      </c>
      <c r="G180" s="536" t="e">
        <f>IF($F$155='Fatores de Emissão'!$J$30,'Fatores de Emissão'!J54,IF($F$155='Fatores de Emissão'!$K$30,'Fatores de Emissão'!K54,IF($F$155='Fatores de Emissão'!$L$30,'Fatores de Emissão'!L54,IF($F$155='Fatores de Emissão'!$M$30,'Fatores de Emissão'!M54,""))))*1000</f>
        <v>#VALUE!</v>
      </c>
      <c r="H180" s="536" t="e">
        <f>IF($F$155='Fatores de Emissão'!$N$30,'Fatores de Emissão'!N54,IF($F$155='Fatores de Emissão'!$O$30,'Fatores de Emissão'!O54,IF($F$155='Fatores de Emissão'!$P$30,'Fatores de Emissão'!P54,IF($F$155='Fatores de Emissão'!$Q$30,'Fatores de Emissão'!Q54,""))))*1000</f>
        <v>#VALUE!</v>
      </c>
      <c r="I180" s="457" t="str">
        <f t="shared" si="17"/>
        <v>-</v>
      </c>
      <c r="J180" s="457" t="str">
        <f t="shared" si="18"/>
        <v>-</v>
      </c>
      <c r="K180" s="457" t="str">
        <f t="shared" si="19"/>
        <v>-</v>
      </c>
      <c r="L180" s="524" t="str">
        <f>IF(C180=0,"-",I180*'Fatores de Emissão'!$E$252+FACE!J180*'Fatores de Emissão'!$E$248+FACE!K180*'Fatores de Emissão'!$E$249)</f>
        <v>-</v>
      </c>
      <c r="M180" s="366"/>
      <c r="N180" s="366">
        <f t="shared" si="20"/>
        <v>0</v>
      </c>
    </row>
    <row r="181" spans="1:14" s="314" customFormat="1" outlineLevel="1" x14ac:dyDescent="0.35">
      <c r="A181" s="471">
        <v>26</v>
      </c>
      <c r="B181" s="470" t="str">
        <f>'Fatores de Emissão'!$B$55</f>
        <v>Linhite preta</v>
      </c>
      <c r="C181" s="366">
        <f>SUMIF('Combustão Estacionária'!$C$287:$C$386,B181,'Combustão Estacionária'!$D$287:$D$386)</f>
        <v>0</v>
      </c>
      <c r="D181" s="522" t="str">
        <f>FACE!D126</f>
        <v>kg</v>
      </c>
      <c r="F181" s="535">
        <f t="shared" si="16"/>
        <v>1.5670500000000001</v>
      </c>
      <c r="G181" s="536" t="e">
        <f>IF($F$155='Fatores de Emissão'!$J$30,'Fatores de Emissão'!J55,IF($F$155='Fatores de Emissão'!$K$30,'Fatores de Emissão'!K55,IF($F$155='Fatores de Emissão'!$L$30,'Fatores de Emissão'!L55,IF($F$155='Fatores de Emissão'!$M$30,'Fatores de Emissão'!M55,""))))*1000</f>
        <v>#VALUE!</v>
      </c>
      <c r="H181" s="536" t="e">
        <f>IF($F$155='Fatores de Emissão'!$N$30,'Fatores de Emissão'!N55,IF($F$155='Fatores de Emissão'!$O$30,'Fatores de Emissão'!O55,IF($F$155='Fatores de Emissão'!$P$30,'Fatores de Emissão'!P55,IF($F$155='Fatores de Emissão'!$Q$30,'Fatores de Emissão'!Q55,""))))*1000</f>
        <v>#VALUE!</v>
      </c>
      <c r="I181" s="457" t="str">
        <f t="shared" si="17"/>
        <v>-</v>
      </c>
      <c r="J181" s="457" t="str">
        <f t="shared" si="18"/>
        <v>-</v>
      </c>
      <c r="K181" s="457" t="str">
        <f t="shared" si="19"/>
        <v>-</v>
      </c>
      <c r="L181" s="524" t="str">
        <f>IF(C181=0,"-",I181*'Fatores de Emissão'!$E$252+FACE!J181*'Fatores de Emissão'!$E$248+FACE!K181*'Fatores de Emissão'!$E$249)</f>
        <v>-</v>
      </c>
      <c r="M181" s="366"/>
      <c r="N181" s="366">
        <f t="shared" si="20"/>
        <v>0</v>
      </c>
    </row>
    <row r="182" spans="1:14" s="314" customFormat="1" outlineLevel="1" x14ac:dyDescent="0.35">
      <c r="A182" s="471">
        <v>27</v>
      </c>
      <c r="B182" s="470" t="str">
        <f>'Fatores de Emissão'!$B$56</f>
        <v>Lubrificantes</v>
      </c>
      <c r="C182" s="366">
        <f>SUMIF('Combustão Estacionária'!$C$287:$C$386,B182,'Combustão Estacionária'!$D$287:$D$386)</f>
        <v>0</v>
      </c>
      <c r="D182" s="522" t="str">
        <f>FACE!D127</f>
        <v>kg</v>
      </c>
      <c r="F182" s="535">
        <f t="shared" si="16"/>
        <v>2.9466600000000001</v>
      </c>
      <c r="G182" s="536" t="e">
        <f>IF($F$155='Fatores de Emissão'!$J$30,'Fatores de Emissão'!J56,IF($F$155='Fatores de Emissão'!$K$30,'Fatores de Emissão'!K56,IF($F$155='Fatores de Emissão'!$L$30,'Fatores de Emissão'!L56,IF($F$155='Fatores de Emissão'!$M$30,'Fatores de Emissão'!M56,""))))*1000</f>
        <v>#VALUE!</v>
      </c>
      <c r="H182" s="536" t="e">
        <f>IF($F$155='Fatores de Emissão'!$N$30,'Fatores de Emissão'!N56,IF($F$155='Fatores de Emissão'!$O$30,'Fatores de Emissão'!O56,IF($F$155='Fatores de Emissão'!$P$30,'Fatores de Emissão'!P56,IF($F$155='Fatores de Emissão'!$Q$30,'Fatores de Emissão'!Q56,""))))*1000</f>
        <v>#VALUE!</v>
      </c>
      <c r="I182" s="457" t="str">
        <f t="shared" si="17"/>
        <v>-</v>
      </c>
      <c r="J182" s="457" t="str">
        <f t="shared" si="18"/>
        <v>-</v>
      </c>
      <c r="K182" s="457" t="str">
        <f t="shared" si="19"/>
        <v>-</v>
      </c>
      <c r="L182" s="524" t="str">
        <f>IF(C182=0,"-",I182*'Fatores de Emissão'!$E$252+FACE!J182*'Fatores de Emissão'!$E$248+FACE!K182*'Fatores de Emissão'!$E$249)</f>
        <v>-</v>
      </c>
      <c r="M182" s="502">
        <f>'Categoria 3'!$B$12</f>
        <v>2.2411459459459466E-6</v>
      </c>
      <c r="N182" s="366">
        <f t="shared" si="20"/>
        <v>0</v>
      </c>
    </row>
    <row r="183" spans="1:14" s="314" customFormat="1" ht="31" outlineLevel="1" x14ac:dyDescent="0.35">
      <c r="A183" s="471">
        <v>28</v>
      </c>
      <c r="B183" s="470" t="str">
        <f>'Fatores de Emissão'!$B$57</f>
        <v>Matérias-primas para refinarias</v>
      </c>
      <c r="C183" s="366">
        <f>SUMIF('Combustão Estacionária'!$C$287:$C$386,B183,'Combustão Estacionária'!$D$287:$D$386)</f>
        <v>0</v>
      </c>
      <c r="D183" s="522" t="str">
        <f>FACE!D128</f>
        <v>kg</v>
      </c>
      <c r="F183" s="535">
        <f t="shared" si="16"/>
        <v>3.1518999999999999</v>
      </c>
      <c r="G183" s="536" t="e">
        <f>IF($F$155='Fatores de Emissão'!$J$30,'Fatores de Emissão'!J57,IF($F$155='Fatores de Emissão'!$K$30,'Fatores de Emissão'!K57,IF($F$155='Fatores de Emissão'!$L$30,'Fatores de Emissão'!L57,IF($F$155='Fatores de Emissão'!$M$30,'Fatores de Emissão'!M57,""))))*1000</f>
        <v>#VALUE!</v>
      </c>
      <c r="H183" s="536" t="e">
        <f>IF($F$155='Fatores de Emissão'!$N$30,'Fatores de Emissão'!N57,IF($F$155='Fatores de Emissão'!$O$30,'Fatores de Emissão'!O57,IF($F$155='Fatores de Emissão'!$P$30,'Fatores de Emissão'!P57,IF($F$155='Fatores de Emissão'!$Q$30,'Fatores de Emissão'!Q57,""))))*1000</f>
        <v>#VALUE!</v>
      </c>
      <c r="I183" s="457" t="str">
        <f t="shared" si="17"/>
        <v>-</v>
      </c>
      <c r="J183" s="457" t="str">
        <f t="shared" si="18"/>
        <v>-</v>
      </c>
      <c r="K183" s="457" t="str">
        <f t="shared" si="19"/>
        <v>-</v>
      </c>
      <c r="L183" s="524" t="str">
        <f>IF(C183=0,"-",I183*'Fatores de Emissão'!$E$252+FACE!J183*'Fatores de Emissão'!$E$248+FACE!K183*'Fatores de Emissão'!$E$249)</f>
        <v>-</v>
      </c>
      <c r="M183" s="502"/>
      <c r="N183" s="366">
        <f t="shared" si="20"/>
        <v>0</v>
      </c>
    </row>
    <row r="184" spans="1:14" s="314" customFormat="1" outlineLevel="1" x14ac:dyDescent="0.35">
      <c r="A184" s="471">
        <v>29</v>
      </c>
      <c r="B184" s="470" t="str">
        <f>'Fatores de Emissão'!$B$58</f>
        <v xml:space="preserve">Nafta </v>
      </c>
      <c r="C184" s="366">
        <f>SUMIF('Combustão Estacionária'!$C$287:$C$386,B184,'Combustão Estacionária'!$D$287:$D$386)</f>
        <v>0</v>
      </c>
      <c r="D184" s="522" t="str">
        <f>FACE!D129</f>
        <v>Litros</v>
      </c>
      <c r="F184" s="535">
        <f t="shared" si="16"/>
        <v>2.4463875000000002</v>
      </c>
      <c r="G184" s="536" t="e">
        <f>IF($F$155='Fatores de Emissão'!$J$30,'Fatores de Emissão'!J58,IF($F$155='Fatores de Emissão'!$K$30,'Fatores de Emissão'!K58,IF($F$155='Fatores de Emissão'!$L$30,'Fatores de Emissão'!L58,IF($F$155='Fatores de Emissão'!$M$30,'Fatores de Emissão'!M58,""))))*1000</f>
        <v>#VALUE!</v>
      </c>
      <c r="H184" s="536" t="e">
        <f>IF($F$155='Fatores de Emissão'!$N$30,'Fatores de Emissão'!N58,IF($F$155='Fatores de Emissão'!$O$30,'Fatores de Emissão'!O58,IF($F$155='Fatores de Emissão'!$P$30,'Fatores de Emissão'!P58,IF($F$155='Fatores de Emissão'!$Q$30,'Fatores de Emissão'!Q58,""))))*1000</f>
        <v>#VALUE!</v>
      </c>
      <c r="I184" s="457" t="str">
        <f t="shared" si="17"/>
        <v>-</v>
      </c>
      <c r="J184" s="457" t="str">
        <f t="shared" si="18"/>
        <v>-</v>
      </c>
      <c r="K184" s="457" t="str">
        <f t="shared" si="19"/>
        <v>-</v>
      </c>
      <c r="L184" s="524" t="str">
        <f>IF(C184=0,"-",I184*'Fatores de Emissão'!$E$252+FACE!J184*'Fatores de Emissão'!$E$248+FACE!K184*'Fatores de Emissão'!$E$249)</f>
        <v>-</v>
      </c>
      <c r="M184" s="502">
        <f>'Categoria 3'!$B$12</f>
        <v>2.2411459459459466E-6</v>
      </c>
      <c r="N184" s="366">
        <f t="shared" si="20"/>
        <v>0</v>
      </c>
    </row>
    <row r="185" spans="1:14" s="314" customFormat="1" outlineLevel="1" x14ac:dyDescent="0.35">
      <c r="A185" s="471">
        <v>30</v>
      </c>
      <c r="B185" s="470" t="str">
        <f>'Fatores de Emissão'!$B$59</f>
        <v>Óleo de Xisto</v>
      </c>
      <c r="C185" s="366">
        <f>SUMIF('Combustão Estacionária'!$C$287:$C$386,B185,'Combustão Estacionária'!$D$287:$D$386)</f>
        <v>0</v>
      </c>
      <c r="D185" s="522" t="str">
        <f>FACE!D130</f>
        <v>kg</v>
      </c>
      <c r="F185" s="535">
        <f t="shared" si="16"/>
        <v>2.7927300000000002</v>
      </c>
      <c r="G185" s="536" t="e">
        <f>IF($F$155='Fatores de Emissão'!$J$30,'Fatores de Emissão'!J59,IF($F$155='Fatores de Emissão'!$K$30,'Fatores de Emissão'!K59,IF($F$155='Fatores de Emissão'!$L$30,'Fatores de Emissão'!L59,IF($F$155='Fatores de Emissão'!$M$30,'Fatores de Emissão'!M59,""))))*1000</f>
        <v>#VALUE!</v>
      </c>
      <c r="H185" s="536" t="e">
        <f>IF($F$155='Fatores de Emissão'!$N$30,'Fatores de Emissão'!N59,IF($F$155='Fatores de Emissão'!$O$30,'Fatores de Emissão'!O59,IF($F$155='Fatores de Emissão'!$P$30,'Fatores de Emissão'!P59,IF($F$155='Fatores de Emissão'!$Q$30,'Fatores de Emissão'!Q59,""))))*1000</f>
        <v>#VALUE!</v>
      </c>
      <c r="I185" s="457" t="str">
        <f t="shared" si="17"/>
        <v>-</v>
      </c>
      <c r="J185" s="457" t="str">
        <f t="shared" si="18"/>
        <v>-</v>
      </c>
      <c r="K185" s="457" t="str">
        <f t="shared" si="19"/>
        <v>-</v>
      </c>
      <c r="L185" s="524" t="str">
        <f>IF(C185=0,"-",I185*'Fatores de Emissão'!$E$252+FACE!J185*'Fatores de Emissão'!$E$248+FACE!K185*'Fatores de Emissão'!$E$249)</f>
        <v>-</v>
      </c>
      <c r="M185" s="366"/>
      <c r="N185" s="366">
        <f t="shared" si="20"/>
        <v>0</v>
      </c>
    </row>
    <row r="186" spans="1:14" s="314" customFormat="1" outlineLevel="1" x14ac:dyDescent="0.35">
      <c r="A186" s="471">
        <v>31</v>
      </c>
      <c r="B186" s="470" t="str">
        <f>'Fatores de Emissão'!$B$60</f>
        <v>Óleos Usados</v>
      </c>
      <c r="C186" s="366">
        <f>SUMIF('Combustão Estacionária'!$C$287:$C$386,B186,'Combustão Estacionária'!$D$287:$D$386)</f>
        <v>0</v>
      </c>
      <c r="D186" s="522" t="str">
        <f>FACE!D131</f>
        <v>kg</v>
      </c>
      <c r="F186" s="535">
        <f t="shared" si="16"/>
        <v>2.9466600000000001</v>
      </c>
      <c r="G186" s="536" t="e">
        <f>IF($F$155='Fatores de Emissão'!$J$30,'Fatores de Emissão'!J60,IF($F$155='Fatores de Emissão'!$K$30,'Fatores de Emissão'!K60,IF($F$155='Fatores de Emissão'!$L$30,'Fatores de Emissão'!L60,IF($F$155='Fatores de Emissão'!$M$30,'Fatores de Emissão'!M60,""))))*1000</f>
        <v>#VALUE!</v>
      </c>
      <c r="H186" s="536" t="e">
        <f>IF($F$155='Fatores de Emissão'!$N$30,'Fatores de Emissão'!N60,IF($F$155='Fatores de Emissão'!$O$30,'Fatores de Emissão'!O60,IF($F$155='Fatores de Emissão'!$P$30,'Fatores de Emissão'!P60,IF($F$155='Fatores de Emissão'!$Q$30,'Fatores de Emissão'!Q60,""))))*1000</f>
        <v>#VALUE!</v>
      </c>
      <c r="I186" s="457" t="str">
        <f t="shared" si="17"/>
        <v>-</v>
      </c>
      <c r="J186" s="457" t="str">
        <f t="shared" si="18"/>
        <v>-</v>
      </c>
      <c r="K186" s="457" t="str">
        <f t="shared" si="19"/>
        <v>-</v>
      </c>
      <c r="L186" s="524" t="str">
        <f>IF(C186=0,"-",I186*'Fatores de Emissão'!$E$252+FACE!J186*'Fatores de Emissão'!$E$248+FACE!K186*'Fatores de Emissão'!$E$249)</f>
        <v>-</v>
      </c>
      <c r="M186" s="366"/>
      <c r="N186" s="366">
        <f t="shared" si="20"/>
        <v>0</v>
      </c>
    </row>
    <row r="187" spans="1:14" s="314" customFormat="1" outlineLevel="1" x14ac:dyDescent="0.35">
      <c r="A187" s="471">
        <v>32</v>
      </c>
      <c r="B187" s="470" t="str">
        <f>'Fatores de Emissão'!$B$61</f>
        <v>Orimulsão</v>
      </c>
      <c r="C187" s="366">
        <f>SUMIF('Combustão Estacionária'!$C$287:$C$386,B187,'Combustão Estacionária'!$D$287:$D$386)</f>
        <v>0</v>
      </c>
      <c r="D187" s="522" t="str">
        <f>FACE!D132</f>
        <v>kg</v>
      </c>
      <c r="F187" s="535">
        <f t="shared" si="16"/>
        <v>2.1147499999999999</v>
      </c>
      <c r="G187" s="536" t="e">
        <f>IF($F$155='Fatores de Emissão'!$J$30,'Fatores de Emissão'!J61,IF($F$155='Fatores de Emissão'!$K$30,'Fatores de Emissão'!K61,IF($F$155='Fatores de Emissão'!$L$30,'Fatores de Emissão'!L61,IF($F$155='Fatores de Emissão'!$M$30,'Fatores de Emissão'!M61,""))))*1000</f>
        <v>#VALUE!</v>
      </c>
      <c r="H187" s="536" t="e">
        <f>IF($F$155='Fatores de Emissão'!$N$30,'Fatores de Emissão'!N61,IF($F$155='Fatores de Emissão'!$O$30,'Fatores de Emissão'!O61,IF($F$155='Fatores de Emissão'!$P$30,'Fatores de Emissão'!P61,IF($F$155='Fatores de Emissão'!$Q$30,'Fatores de Emissão'!Q61,""))))*1000</f>
        <v>#VALUE!</v>
      </c>
      <c r="I187" s="457" t="str">
        <f t="shared" si="17"/>
        <v>-</v>
      </c>
      <c r="J187" s="457" t="str">
        <f t="shared" si="18"/>
        <v>-</v>
      </c>
      <c r="K187" s="457" t="str">
        <f t="shared" si="19"/>
        <v>-</v>
      </c>
      <c r="L187" s="524" t="str">
        <f>IF(C187=0,"-",I187*'Fatores de Emissão'!$E$252+FACE!J187*'Fatores de Emissão'!$E$248+FACE!K187*'Fatores de Emissão'!$E$249)</f>
        <v>-</v>
      </c>
      <c r="M187" s="366"/>
      <c r="N187" s="366">
        <f t="shared" si="20"/>
        <v>0</v>
      </c>
    </row>
    <row r="188" spans="1:14" s="314" customFormat="1" ht="31" outlineLevel="1" x14ac:dyDescent="0.35">
      <c r="A188" s="471">
        <v>33</v>
      </c>
      <c r="B188" s="470" t="str">
        <f>'Fatores de Emissão'!$B$62</f>
        <v>Outros Carvões Betuminosos</v>
      </c>
      <c r="C188" s="366">
        <f>SUMIF('Combustão Estacionária'!$C$287:$C$386,B188,'Combustão Estacionária'!$D$287:$D$386)</f>
        <v>0</v>
      </c>
      <c r="D188" s="522" t="str">
        <f>FACE!D133</f>
        <v>kg</v>
      </c>
      <c r="F188" s="535">
        <f t="shared" si="16"/>
        <v>2.44068</v>
      </c>
      <c r="G188" s="536" t="e">
        <f>IF($F$155='Fatores de Emissão'!$J$30,'Fatores de Emissão'!J62,IF($F$155='Fatores de Emissão'!$K$30,'Fatores de Emissão'!K62,IF($F$155='Fatores de Emissão'!$L$30,'Fatores de Emissão'!L62,IF($F$155='Fatores de Emissão'!$M$30,'Fatores de Emissão'!M62,""))))*1000</f>
        <v>#VALUE!</v>
      </c>
      <c r="H188" s="536" t="e">
        <f>IF($F$155='Fatores de Emissão'!$N$30,'Fatores de Emissão'!N62,IF($F$155='Fatores de Emissão'!$O$30,'Fatores de Emissão'!O62,IF($F$155='Fatores de Emissão'!$P$30,'Fatores de Emissão'!P62,IF($F$155='Fatores de Emissão'!$Q$30,'Fatores de Emissão'!Q62,""))))*1000</f>
        <v>#VALUE!</v>
      </c>
      <c r="I188" s="457" t="str">
        <f t="shared" si="17"/>
        <v>-</v>
      </c>
      <c r="J188" s="457" t="str">
        <f t="shared" si="18"/>
        <v>-</v>
      </c>
      <c r="K188" s="457" t="str">
        <f t="shared" si="19"/>
        <v>-</v>
      </c>
      <c r="L188" s="524" t="str">
        <f>IF(C188=0,"-",I188*'Fatores de Emissão'!$E$252+FACE!J188*'Fatores de Emissão'!$E$248+FACE!K188*'Fatores de Emissão'!$E$249)</f>
        <v>-</v>
      </c>
      <c r="M188" s="366"/>
      <c r="N188" s="366">
        <f t="shared" si="20"/>
        <v>0</v>
      </c>
    </row>
    <row r="189" spans="1:14" s="314" customFormat="1" outlineLevel="1" x14ac:dyDescent="0.35">
      <c r="A189" s="471">
        <v>34</v>
      </c>
      <c r="B189" s="470" t="str">
        <f>'Fatores de Emissão'!$B$63</f>
        <v>Petróleo Bruto</v>
      </c>
      <c r="C189" s="366">
        <f>SUMIF('Combustão Estacionária'!$C$287:$C$386,B189,'Combustão Estacionária'!$D$287:$D$386)</f>
        <v>0</v>
      </c>
      <c r="D189" s="522" t="str">
        <f>FACE!D134</f>
        <v>Litros</v>
      </c>
      <c r="F189" s="535">
        <f t="shared" si="16"/>
        <v>2.6355015000000002</v>
      </c>
      <c r="G189" s="536" t="e">
        <f>IF($F$155='Fatores de Emissão'!$J$30,'Fatores de Emissão'!J63,IF($F$155='Fatores de Emissão'!$K$30,'Fatores de Emissão'!K63,IF($F$155='Fatores de Emissão'!$L$30,'Fatores de Emissão'!L63,IF($F$155='Fatores de Emissão'!$M$30,'Fatores de Emissão'!M63,""))))*1000</f>
        <v>#VALUE!</v>
      </c>
      <c r="H189" s="536" t="e">
        <f>IF($F$155='Fatores de Emissão'!$N$30,'Fatores de Emissão'!N63,IF($F$155='Fatores de Emissão'!$O$30,'Fatores de Emissão'!O63,IF($F$155='Fatores de Emissão'!$P$30,'Fatores de Emissão'!P63,IF($F$155='Fatores de Emissão'!$Q$30,'Fatores de Emissão'!Q63,""))))*1000</f>
        <v>#VALUE!</v>
      </c>
      <c r="I189" s="457" t="str">
        <f t="shared" si="17"/>
        <v>-</v>
      </c>
      <c r="J189" s="457" t="str">
        <f t="shared" si="18"/>
        <v>-</v>
      </c>
      <c r="K189" s="457" t="str">
        <f t="shared" si="19"/>
        <v>-</v>
      </c>
      <c r="L189" s="524" t="str">
        <f>IF(C189=0,"-",I189*'Fatores de Emissão'!$E$252+FACE!J189*'Fatores de Emissão'!$E$248+FACE!K189*'Fatores de Emissão'!$E$249)</f>
        <v>-</v>
      </c>
      <c r="M189" s="502">
        <f>'Categoria 3'!$B$12</f>
        <v>2.2411459459459466E-6</v>
      </c>
      <c r="N189" s="366">
        <f t="shared" si="20"/>
        <v>0</v>
      </c>
    </row>
    <row r="190" spans="1:14" s="314" customFormat="1" ht="31" outlineLevel="1" x14ac:dyDescent="0.35">
      <c r="A190" s="471">
        <v>35</v>
      </c>
      <c r="B190" s="470" t="str">
        <f>'Fatores de Emissão'!$B$64</f>
        <v>Querosene tipo Jet Fuel</v>
      </c>
      <c r="C190" s="366">
        <f>SUMIF('Combustão Estacionária'!$C$287:$C$386,B190,'Combustão Estacionária'!$D$287:$D$386)</f>
        <v>0</v>
      </c>
      <c r="D190" s="522" t="str">
        <f>FACE!D135</f>
        <v>Litros</v>
      </c>
      <c r="F190" s="535">
        <f t="shared" si="16"/>
        <v>2.5394582999999997</v>
      </c>
      <c r="G190" s="536" t="e">
        <f>IF($F$155='Fatores de Emissão'!$J$30,'Fatores de Emissão'!J64,IF($F$155='Fatores de Emissão'!$K$30,'Fatores de Emissão'!K64,IF($F$155='Fatores de Emissão'!$L$30,'Fatores de Emissão'!L64,IF($F$155='Fatores de Emissão'!$M$30,'Fatores de Emissão'!M64,""))))*1000</f>
        <v>#VALUE!</v>
      </c>
      <c r="H190" s="536" t="e">
        <f>IF($F$155='Fatores de Emissão'!$N$30,'Fatores de Emissão'!N64,IF($F$155='Fatores de Emissão'!$O$30,'Fatores de Emissão'!O64,IF($F$155='Fatores de Emissão'!$P$30,'Fatores de Emissão'!P64,IF($F$155='Fatores de Emissão'!$Q$30,'Fatores de Emissão'!Q64,""))))*1000</f>
        <v>#VALUE!</v>
      </c>
      <c r="I190" s="457" t="str">
        <f t="shared" si="17"/>
        <v>-</v>
      </c>
      <c r="J190" s="457" t="str">
        <f t="shared" si="18"/>
        <v>-</v>
      </c>
      <c r="K190" s="457" t="str">
        <f t="shared" si="19"/>
        <v>-</v>
      </c>
      <c r="L190" s="524" t="str">
        <f>IF(C190=0,"-",I190*'Fatores de Emissão'!$E$252+FACE!J190*'Fatores de Emissão'!$E$248+FACE!K190*'Fatores de Emissão'!$E$249)</f>
        <v>-</v>
      </c>
      <c r="M190" s="502">
        <f>'Categoria 3'!$B$12</f>
        <v>2.2411459459459466E-6</v>
      </c>
      <c r="N190" s="366">
        <f t="shared" si="20"/>
        <v>0</v>
      </c>
    </row>
    <row r="191" spans="1:14" s="314" customFormat="1" ht="46.5" outlineLevel="1" x14ac:dyDescent="0.35">
      <c r="A191" s="471">
        <v>36</v>
      </c>
      <c r="B191" s="470" t="str">
        <f>'Fatores de Emissão'!$B$65</f>
        <v>Resíduos municipais (fração não biodegradável)</v>
      </c>
      <c r="C191" s="366">
        <f>SUMIF('Combustão Estacionária'!$C$287:$C$386,B191,'Combustão Estacionária'!$D$287:$D$386)</f>
        <v>0</v>
      </c>
      <c r="D191" s="522" t="str">
        <f>FACE!D136</f>
        <v>kg</v>
      </c>
      <c r="F191" s="535">
        <f t="shared" si="16"/>
        <v>0.91700000000000004</v>
      </c>
      <c r="G191" s="536" t="e">
        <f>IF($F$155='Fatores de Emissão'!$J$30,'Fatores de Emissão'!J65,IF($F$155='Fatores de Emissão'!$K$30,'Fatores de Emissão'!K65,IF($F$155='Fatores de Emissão'!$L$30,'Fatores de Emissão'!L65,IF($F$155='Fatores de Emissão'!$M$30,'Fatores de Emissão'!M65,""))))*1000</f>
        <v>#VALUE!</v>
      </c>
      <c r="H191" s="536" t="e">
        <f>IF($F$155='Fatores de Emissão'!$N$30,'Fatores de Emissão'!N65,IF($F$155='Fatores de Emissão'!$O$30,'Fatores de Emissão'!O65,IF($F$155='Fatores de Emissão'!$P$30,'Fatores de Emissão'!P65,IF($F$155='Fatores de Emissão'!$Q$30,'Fatores de Emissão'!Q65,""))))*1000</f>
        <v>#VALUE!</v>
      </c>
      <c r="I191" s="457" t="str">
        <f t="shared" si="17"/>
        <v>-</v>
      </c>
      <c r="J191" s="457" t="str">
        <f t="shared" si="18"/>
        <v>-</v>
      </c>
      <c r="K191" s="457" t="str">
        <f t="shared" si="19"/>
        <v>-</v>
      </c>
      <c r="L191" s="524" t="str">
        <f>IF(C191=0,"-",I191*'Fatores de Emissão'!$E$252+FACE!J191*'Fatores de Emissão'!$E$248+FACE!K191*'Fatores de Emissão'!$E$249)</f>
        <v>-</v>
      </c>
      <c r="M191" s="366"/>
      <c r="N191" s="366">
        <f t="shared" si="20"/>
        <v>0</v>
      </c>
    </row>
    <row r="192" spans="1:14" s="314" customFormat="1" ht="31" outlineLevel="1" x14ac:dyDescent="0.35">
      <c r="A192" s="471">
        <v>37</v>
      </c>
      <c r="B192" s="470" t="str">
        <f>'Fatores de Emissão'!$B$66</f>
        <v>Xisto Betuminoso e Areias Betuminosas</v>
      </c>
      <c r="C192" s="366">
        <f>SUMIF('Combustão Estacionária'!$C$287:$C$386,B192,'Combustão Estacionária'!$D$287:$D$386)</f>
        <v>0</v>
      </c>
      <c r="D192" s="522" t="str">
        <f>FACE!D137</f>
        <v>kg</v>
      </c>
      <c r="F192" s="535">
        <f t="shared" si="16"/>
        <v>0.90610000000000002</v>
      </c>
      <c r="G192" s="536" t="e">
        <f>IF($F$155='Fatores de Emissão'!$J$30,'Fatores de Emissão'!J66,IF($F$155='Fatores de Emissão'!$K$30,'Fatores de Emissão'!K66,IF($F$155='Fatores de Emissão'!$L$30,'Fatores de Emissão'!L66,IF($F$155='Fatores de Emissão'!$M$30,'Fatores de Emissão'!M66,""))))*1000</f>
        <v>#VALUE!</v>
      </c>
      <c r="H192" s="536" t="e">
        <f>IF($F$155='Fatores de Emissão'!$N$30,'Fatores de Emissão'!N66,IF($F$155='Fatores de Emissão'!$O$30,'Fatores de Emissão'!O66,IF($F$155='Fatores de Emissão'!$P$30,'Fatores de Emissão'!P66,IF($F$155='Fatores de Emissão'!$Q$30,'Fatores de Emissão'!Q66,""))))*1000</f>
        <v>#VALUE!</v>
      </c>
      <c r="I192" s="457" t="str">
        <f t="shared" si="17"/>
        <v>-</v>
      </c>
      <c r="J192" s="457" t="str">
        <f t="shared" si="18"/>
        <v>-</v>
      </c>
      <c r="K192" s="457" t="str">
        <f t="shared" si="19"/>
        <v>-</v>
      </c>
      <c r="L192" s="524" t="str">
        <f>IF(C192=0,"-",I192*'Fatores de Emissão'!$E$252+FACE!J192*'Fatores de Emissão'!$E$248+FACE!K192*'Fatores de Emissão'!$E$249)</f>
        <v>-</v>
      </c>
      <c r="M192" s="366"/>
      <c r="N192" s="366">
        <f t="shared" si="20"/>
        <v>0</v>
      </c>
    </row>
    <row r="193" spans="1:14" s="314" customFormat="1" ht="16.899999999999999" customHeight="1" outlineLevel="1" x14ac:dyDescent="0.35">
      <c r="A193" s="471"/>
      <c r="B193" s="525"/>
      <c r="C193" s="526" t="s">
        <v>471</v>
      </c>
      <c r="D193" s="527"/>
      <c r="F193" s="527"/>
      <c r="G193" s="527"/>
      <c r="H193" s="533"/>
      <c r="I193" s="529">
        <f>SUM(I157:I192)</f>
        <v>0</v>
      </c>
      <c r="J193" s="529">
        <f>SUM(J157:J192)</f>
        <v>0</v>
      </c>
      <c r="K193" s="529">
        <f>SUM(K157:K192)</f>
        <v>0</v>
      </c>
      <c r="L193" s="529">
        <f>SUM(L157:L192)</f>
        <v>0</v>
      </c>
      <c r="M193" s="366"/>
      <c r="N193" s="530">
        <f>SUM(N157:N192)</f>
        <v>0</v>
      </c>
    </row>
    <row r="194" spans="1:14" s="314" customFormat="1" outlineLevel="1" x14ac:dyDescent="0.35">
      <c r="A194" s="471">
        <v>43</v>
      </c>
      <c r="B194" s="393" t="str">
        <f>'Fatores de Emissão'!$B$67</f>
        <v>Biodiesel</v>
      </c>
      <c r="C194" s="366">
        <f>SUMIF('Combustão Estacionária'!$C$287:$C$386,B194,'Combustão Estacionária'!$D$287:$D$386)</f>
        <v>0</v>
      </c>
      <c r="D194" s="531" t="str">
        <f>FACE!D139</f>
        <v>kg</v>
      </c>
      <c r="F194" s="535">
        <f>F139</f>
        <v>1.9116</v>
      </c>
      <c r="G194" s="536" t="e">
        <f>IF($F$155='Fatores de Emissão'!$J$30,'Fatores de Emissão'!J67,IF($F$155='Fatores de Emissão'!$K$30,'Fatores de Emissão'!K67,IF($F$155='Fatores de Emissão'!$L$30,'Fatores de Emissão'!L67,IF($F$155='Fatores de Emissão'!$M$30,'Fatores de Emissão'!M67,""))))*1000</f>
        <v>#VALUE!</v>
      </c>
      <c r="H194" s="536" t="e">
        <f>IF($F$155='Fatores de Emissão'!$N$30,'Fatores de Emissão'!N67,IF($F$155='Fatores de Emissão'!$O$30,'Fatores de Emissão'!O67,IF($F$155='Fatores de Emissão'!$P$30,'Fatores de Emissão'!P67,IF($F$155='Fatores de Emissão'!$Q$30,'Fatores de Emissão'!Q67,""))))*1000</f>
        <v>#VALUE!</v>
      </c>
      <c r="I194" s="457" t="str">
        <f t="shared" ref="I194:I202" si="21">IF($C194=0,"-",F194*$C194)</f>
        <v>-</v>
      </c>
      <c r="J194" s="457" t="str">
        <f t="shared" ref="J194:J202" si="22">IF($C194=0,"-",G194*$C194)</f>
        <v>-</v>
      </c>
      <c r="K194" s="457" t="str">
        <f t="shared" ref="K194:K202" si="23">IF($C194=0,"-",H194*$C194)</f>
        <v>-</v>
      </c>
      <c r="L194" s="524" t="str">
        <f>IF(C194=0,"-",I194*'Fatores de Emissão'!$E$252+FACE!J194*'Fatores de Emissão'!$E$248+FACE!K194*'Fatores de Emissão'!$E$249)</f>
        <v>-</v>
      </c>
    </row>
    <row r="195" spans="1:14" s="314" customFormat="1" outlineLevel="1" x14ac:dyDescent="0.35">
      <c r="A195" s="471">
        <v>44</v>
      </c>
      <c r="B195" s="393" t="str">
        <f>'Fatores de Emissão'!$B$68</f>
        <v>Biogasolina</v>
      </c>
      <c r="C195" s="366">
        <f>SUMIF('Combustão Estacionária'!$C$287:$C$386,B195,'Combustão Estacionária'!$D$287:$D$386)</f>
        <v>0</v>
      </c>
      <c r="D195" s="531" t="str">
        <f>FACE!D140</f>
        <v>kg</v>
      </c>
      <c r="F195" s="535">
        <f t="shared" ref="F195:F202" si="24">F140</f>
        <v>1.9116</v>
      </c>
      <c r="G195" s="536" t="e">
        <f>IF($F$155='Fatores de Emissão'!$J$30,'Fatores de Emissão'!J68,IF($F$155='Fatores de Emissão'!$K$30,'Fatores de Emissão'!K68,IF($F$155='Fatores de Emissão'!$L$30,'Fatores de Emissão'!L68,IF($F$155='Fatores de Emissão'!$M$30,'Fatores de Emissão'!M68,""))))*1000</f>
        <v>#VALUE!</v>
      </c>
      <c r="H195" s="536" t="e">
        <f>IF($F$155='Fatores de Emissão'!$N$30,'Fatores de Emissão'!N68,IF($F$155='Fatores de Emissão'!$O$30,'Fatores de Emissão'!O68,IF($F$155='Fatores de Emissão'!$P$30,'Fatores de Emissão'!P68,IF($F$155='Fatores de Emissão'!$Q$30,'Fatores de Emissão'!Q68,""))))*1000</f>
        <v>#VALUE!</v>
      </c>
      <c r="I195" s="457" t="str">
        <f t="shared" si="21"/>
        <v>-</v>
      </c>
      <c r="J195" s="457" t="str">
        <f t="shared" si="22"/>
        <v>-</v>
      </c>
      <c r="K195" s="457" t="str">
        <f t="shared" si="23"/>
        <v>-</v>
      </c>
      <c r="L195" s="524" t="str">
        <f>IF(C195=0,"-",I195*'Fatores de Emissão'!$E$252+FACE!J195*'Fatores de Emissão'!$E$248+FACE!K195*'Fatores de Emissão'!$E$249)</f>
        <v>-</v>
      </c>
    </row>
    <row r="196" spans="1:14" s="314" customFormat="1" outlineLevel="1" x14ac:dyDescent="0.35">
      <c r="A196" s="471">
        <v>45</v>
      </c>
      <c r="B196" s="393" t="str">
        <f>'Fatores de Emissão'!$B$69</f>
        <v>Carvão Vegetal</v>
      </c>
      <c r="C196" s="366">
        <f>SUMIF('Combustão Estacionária'!$C$287:$C$386,B196,'Combustão Estacionária'!$D$287:$D$386)</f>
        <v>0</v>
      </c>
      <c r="D196" s="531" t="str">
        <f>FACE!D141</f>
        <v>kg</v>
      </c>
      <c r="F196" s="535">
        <f t="shared" si="24"/>
        <v>3.3039999999999998</v>
      </c>
      <c r="G196" s="536" t="e">
        <f>IF($F$155='Fatores de Emissão'!$J$30,'Fatores de Emissão'!J69,IF($F$155='Fatores de Emissão'!$K$30,'Fatores de Emissão'!K69,IF($F$155='Fatores de Emissão'!$L$30,'Fatores de Emissão'!L69,IF($F$155='Fatores de Emissão'!$M$30,'Fatores de Emissão'!M69,""))))*1000</f>
        <v>#VALUE!</v>
      </c>
      <c r="H196" s="536" t="e">
        <f>IF($F$155='Fatores de Emissão'!$N$30,'Fatores de Emissão'!N69,IF($F$155='Fatores de Emissão'!$O$30,'Fatores de Emissão'!O69,IF($F$155='Fatores de Emissão'!$P$30,'Fatores de Emissão'!P69,IF($F$155='Fatores de Emissão'!$Q$30,'Fatores de Emissão'!Q69,""))))*1000</f>
        <v>#VALUE!</v>
      </c>
      <c r="I196" s="457" t="str">
        <f t="shared" si="21"/>
        <v>-</v>
      </c>
      <c r="J196" s="457" t="str">
        <f t="shared" si="22"/>
        <v>-</v>
      </c>
      <c r="K196" s="457" t="str">
        <f t="shared" si="23"/>
        <v>-</v>
      </c>
      <c r="L196" s="524" t="str">
        <f>IF(C196=0,"-",I196*'Fatores de Emissão'!$E$252+FACE!J196*'Fatores de Emissão'!$E$248+FACE!K196*'Fatores de Emissão'!$E$249)</f>
        <v>-</v>
      </c>
    </row>
    <row r="197" spans="1:14" s="314" customFormat="1" ht="31" outlineLevel="1" x14ac:dyDescent="0.35">
      <c r="A197" s="471">
        <v>47</v>
      </c>
      <c r="B197" s="393" t="str">
        <f>'Fatores de Emissão'!$B$70</f>
        <v>Gases de Lamas de Depuração</v>
      </c>
      <c r="C197" s="366">
        <f>SUMIF('Combustão Estacionária'!$C$287:$C$386,B197,'Combustão Estacionária'!$D$287:$D$386)</f>
        <v>0</v>
      </c>
      <c r="D197" s="531" t="str">
        <f>FACE!D142</f>
        <v>kg</v>
      </c>
      <c r="F197" s="535">
        <f t="shared" si="24"/>
        <v>2.7518400000000001</v>
      </c>
      <c r="G197" s="536" t="e">
        <f>IF($F$155='Fatores de Emissão'!$J$30,'Fatores de Emissão'!J70,IF($F$155='Fatores de Emissão'!$K$30,'Fatores de Emissão'!K70,IF($F$155='Fatores de Emissão'!$L$30,'Fatores de Emissão'!L70,IF($F$155='Fatores de Emissão'!$M$30,'Fatores de Emissão'!M70,""))))*1000</f>
        <v>#VALUE!</v>
      </c>
      <c r="H197" s="536" t="e">
        <f>IF($F$155='Fatores de Emissão'!$N$30,'Fatores de Emissão'!N70,IF($F$155='Fatores de Emissão'!$O$30,'Fatores de Emissão'!O70,IF($F$155='Fatores de Emissão'!$P$30,'Fatores de Emissão'!P70,IF($F$155='Fatores de Emissão'!$Q$30,'Fatores de Emissão'!Q70,""))))*1000</f>
        <v>#VALUE!</v>
      </c>
      <c r="I197" s="457" t="str">
        <f t="shared" si="21"/>
        <v>-</v>
      </c>
      <c r="J197" s="457" t="str">
        <f t="shared" si="22"/>
        <v>-</v>
      </c>
      <c r="K197" s="457" t="str">
        <f t="shared" si="23"/>
        <v>-</v>
      </c>
      <c r="L197" s="524" t="str">
        <f>IF(C197=0,"-",I197*'Fatores de Emissão'!$E$252+FACE!J197*'Fatores de Emissão'!$E$248+FACE!K197*'Fatores de Emissão'!$E$249)</f>
        <v>-</v>
      </c>
    </row>
    <row r="198" spans="1:14" s="314" customFormat="1" ht="46.5" outlineLevel="1" x14ac:dyDescent="0.35">
      <c r="A198" s="471">
        <v>49</v>
      </c>
      <c r="B198" s="393" t="str">
        <f>'Fatores de Emissão'!$B$71</f>
        <v>Madeira, resíduos de madeira e outros resíduos sólidos</v>
      </c>
      <c r="C198" s="366">
        <f>SUMIF('Combustão Estacionária'!$C$287:$C$386,B198,'Combustão Estacionária'!$D$287:$D$386)</f>
        <v>0</v>
      </c>
      <c r="D198" s="531" t="str">
        <f>FACE!D143</f>
        <v>kg</v>
      </c>
      <c r="F198" s="535">
        <f t="shared" si="24"/>
        <v>1.7472000000000001</v>
      </c>
      <c r="G198" s="536" t="e">
        <f>IF($F$155='Fatores de Emissão'!$J$30,'Fatores de Emissão'!J71,IF($F$155='Fatores de Emissão'!$K$30,'Fatores de Emissão'!K71,IF($F$155='Fatores de Emissão'!$L$30,'Fatores de Emissão'!L71,IF($F$155='Fatores de Emissão'!$M$30,'Fatores de Emissão'!M71,""))))*1000</f>
        <v>#VALUE!</v>
      </c>
      <c r="H198" s="536" t="e">
        <f>IF($F$155='Fatores de Emissão'!$N$30,'Fatores de Emissão'!N71,IF($F$155='Fatores de Emissão'!$O$30,'Fatores de Emissão'!O71,IF($F$155='Fatores de Emissão'!$P$30,'Fatores de Emissão'!P71,IF($F$155='Fatores de Emissão'!$Q$30,'Fatores de Emissão'!Q71,""))))*1000</f>
        <v>#VALUE!</v>
      </c>
      <c r="I198" s="457" t="str">
        <f t="shared" si="21"/>
        <v>-</v>
      </c>
      <c r="J198" s="457" t="str">
        <f t="shared" si="22"/>
        <v>-</v>
      </c>
      <c r="K198" s="457" t="str">
        <f t="shared" si="23"/>
        <v>-</v>
      </c>
      <c r="L198" s="524" t="str">
        <f>IF(C198=0,"-",I198*'Fatores de Emissão'!$E$252+FACE!J198*'Fatores de Emissão'!$E$248+FACE!K198*'Fatores de Emissão'!$E$249)</f>
        <v>-</v>
      </c>
    </row>
    <row r="199" spans="1:14" s="314" customFormat="1" ht="31" outlineLevel="1" x14ac:dyDescent="0.35">
      <c r="A199" s="471">
        <v>50</v>
      </c>
      <c r="B199" s="393" t="str">
        <f>'Fatores de Emissão'!$B$72</f>
        <v>Outra Biomassa Primária Sólida</v>
      </c>
      <c r="C199" s="366">
        <f>SUMIF('Combustão Estacionária'!$C$287:$C$386,B199,'Combustão Estacionária'!$D$287:$D$386)</f>
        <v>0</v>
      </c>
      <c r="D199" s="531" t="str">
        <f>FACE!D144</f>
        <v>kg</v>
      </c>
      <c r="F199" s="535">
        <f t="shared" si="24"/>
        <v>1.1599999999999999</v>
      </c>
      <c r="G199" s="536" t="e">
        <f>IF($F$155='Fatores de Emissão'!$J$30,'Fatores de Emissão'!J72,IF($F$155='Fatores de Emissão'!$K$30,'Fatores de Emissão'!K72,IF($F$155='Fatores de Emissão'!$L$30,'Fatores de Emissão'!L72,IF($F$155='Fatores de Emissão'!$M$30,'Fatores de Emissão'!M72,""))))*1000</f>
        <v>#VALUE!</v>
      </c>
      <c r="H199" s="536" t="e">
        <f>IF($F$155='Fatores de Emissão'!$N$30,'Fatores de Emissão'!N72,IF($F$155='Fatores de Emissão'!$O$30,'Fatores de Emissão'!O72,IF($F$155='Fatores de Emissão'!$P$30,'Fatores de Emissão'!P72,IF($F$155='Fatores de Emissão'!$Q$30,'Fatores de Emissão'!Q72,""))))*1000</f>
        <v>#VALUE!</v>
      </c>
      <c r="I199" s="457" t="str">
        <f t="shared" si="21"/>
        <v>-</v>
      </c>
      <c r="J199" s="457" t="str">
        <f t="shared" si="22"/>
        <v>-</v>
      </c>
      <c r="K199" s="457" t="str">
        <f t="shared" si="23"/>
        <v>-</v>
      </c>
      <c r="L199" s="524" t="str">
        <f>IF(C199=0,"-",I199*'Fatores de Emissão'!$E$252+FACE!J199*'Fatores de Emissão'!$E$248+FACE!K199*'Fatores de Emissão'!$E$249)</f>
        <v>-</v>
      </c>
    </row>
    <row r="200" spans="1:14" s="314" customFormat="1" ht="46.5" outlineLevel="1" x14ac:dyDescent="0.35">
      <c r="A200" s="471">
        <v>51</v>
      </c>
      <c r="B200" s="393" t="str">
        <f>'Fatores de Emissão'!$B$73</f>
        <v>Outros Biocombustíveis Líquidos</v>
      </c>
      <c r="C200" s="366">
        <f>SUMIF('Combustão Estacionária'!$C$287:$C$386,B200,'Combustão Estacionária'!$D$287:$D$386)</f>
        <v>0</v>
      </c>
      <c r="D200" s="531" t="str">
        <f>FACE!D145</f>
        <v>kg</v>
      </c>
      <c r="F200" s="535">
        <f t="shared" si="24"/>
        <v>2.1810399999999999</v>
      </c>
      <c r="G200" s="536" t="e">
        <f>IF($F$155='Fatores de Emissão'!$J$30,'Fatores de Emissão'!J73,IF($F$155='Fatores de Emissão'!$K$30,'Fatores de Emissão'!K73,IF($F$155='Fatores de Emissão'!$L$30,'Fatores de Emissão'!L73,IF($F$155='Fatores de Emissão'!$M$30,'Fatores de Emissão'!M73,""))))*1000</f>
        <v>#VALUE!</v>
      </c>
      <c r="H200" s="536" t="e">
        <f>IF($F$155='Fatores de Emissão'!$N$30,'Fatores de Emissão'!N73,IF($F$155='Fatores de Emissão'!$O$30,'Fatores de Emissão'!O73,IF($F$155='Fatores de Emissão'!$P$30,'Fatores de Emissão'!P73,IF($F$155='Fatores de Emissão'!$Q$30,'Fatores de Emissão'!Q73,""))))*1000</f>
        <v>#VALUE!</v>
      </c>
      <c r="I200" s="457" t="str">
        <f t="shared" si="21"/>
        <v>-</v>
      </c>
      <c r="J200" s="457" t="str">
        <f t="shared" si="22"/>
        <v>-</v>
      </c>
      <c r="K200" s="457" t="str">
        <f t="shared" si="23"/>
        <v>-</v>
      </c>
      <c r="L200" s="524" t="str">
        <f>IF(C200=0,"-",I200*'Fatores de Emissão'!$E$252+FACE!J200*'Fatores de Emissão'!$E$248+FACE!K200*'Fatores de Emissão'!$E$249)</f>
        <v>-</v>
      </c>
    </row>
    <row r="201" spans="1:14" s="314" customFormat="1" ht="31" outlineLevel="1" x14ac:dyDescent="0.35">
      <c r="A201" s="471">
        <v>53</v>
      </c>
      <c r="B201" s="393" t="str">
        <f>'Fatores de Emissão'!$B$74</f>
        <v>Resíduos Municipais (fração biodegradável)</v>
      </c>
      <c r="C201" s="366">
        <f>SUMIF('Combustão Estacionária'!$C$287:$C$386,B201,'Combustão Estacionária'!$D$287:$D$386)</f>
        <v>0</v>
      </c>
      <c r="D201" s="531" t="str">
        <f>FACE!D146</f>
        <v>kg</v>
      </c>
      <c r="F201" s="535">
        <f t="shared" si="24"/>
        <v>1.1599999999999999</v>
      </c>
      <c r="G201" s="536" t="e">
        <f>IF($F$155='Fatores de Emissão'!$J$30,'Fatores de Emissão'!J74,IF($F$155='Fatores de Emissão'!$K$30,'Fatores de Emissão'!K74,IF($F$155='Fatores de Emissão'!$L$30,'Fatores de Emissão'!L74,IF($F$155='Fatores de Emissão'!$M$30,'Fatores de Emissão'!M74,""))))*1000</f>
        <v>#VALUE!</v>
      </c>
      <c r="H201" s="536" t="e">
        <f>IF($F$155='Fatores de Emissão'!$N$30,'Fatores de Emissão'!N74,IF($F$155='Fatores de Emissão'!$O$30,'Fatores de Emissão'!O74,IF($F$155='Fatores de Emissão'!$P$30,'Fatores de Emissão'!P74,IF($F$155='Fatores de Emissão'!$Q$30,'Fatores de Emissão'!Q74,""))))*1000</f>
        <v>#VALUE!</v>
      </c>
      <c r="I201" s="457" t="str">
        <f t="shared" si="21"/>
        <v>-</v>
      </c>
      <c r="J201" s="457" t="str">
        <f t="shared" si="22"/>
        <v>-</v>
      </c>
      <c r="K201" s="457" t="str">
        <f t="shared" si="23"/>
        <v>-</v>
      </c>
      <c r="L201" s="524" t="str">
        <f>IF(C201=0,"-",I201*'Fatores de Emissão'!$E$252+FACE!J201*'Fatores de Emissão'!$E$248+FACE!K201*'Fatores de Emissão'!$E$249)</f>
        <v>-</v>
      </c>
    </row>
    <row r="202" spans="1:14" s="314" customFormat="1" outlineLevel="1" x14ac:dyDescent="0.35">
      <c r="A202" s="471">
        <v>54</v>
      </c>
      <c r="B202" s="393" t="str">
        <f>'Fatores de Emissão'!$B$75</f>
        <v>Turfa</v>
      </c>
      <c r="C202" s="366">
        <f>SUMIF('Combustão Estacionária'!$C$287:$C$386,B202,'Combustão Estacionária'!$D$287:$D$386)</f>
        <v>0</v>
      </c>
      <c r="D202" s="531" t="str">
        <f>FACE!D147</f>
        <v>kg</v>
      </c>
      <c r="F202" s="535">
        <f t="shared" si="24"/>
        <v>1.0345599999999999</v>
      </c>
      <c r="G202" s="536" t="e">
        <f>IF($F$155='Fatores de Emissão'!$J$30,'Fatores de Emissão'!J75,IF($F$155='Fatores de Emissão'!$K$30,'Fatores de Emissão'!K75,IF($F$155='Fatores de Emissão'!$L$30,'Fatores de Emissão'!L75,IF($F$155='Fatores de Emissão'!$M$30,'Fatores de Emissão'!M75,""))))*1000</f>
        <v>#VALUE!</v>
      </c>
      <c r="H202" s="536" t="e">
        <f>IF($F$155='Fatores de Emissão'!$N$30,'Fatores de Emissão'!N75,IF($F$155='Fatores de Emissão'!$O$30,'Fatores de Emissão'!O75,IF($F$155='Fatores de Emissão'!$P$30,'Fatores de Emissão'!P75,IF($F$155='Fatores de Emissão'!$Q$30,'Fatores de Emissão'!Q75,""))))*1000</f>
        <v>#VALUE!</v>
      </c>
      <c r="I202" s="457" t="str">
        <f t="shared" si="21"/>
        <v>-</v>
      </c>
      <c r="J202" s="457" t="str">
        <f t="shared" si="22"/>
        <v>-</v>
      </c>
      <c r="K202" s="457" t="str">
        <f t="shared" si="23"/>
        <v>-</v>
      </c>
      <c r="L202" s="524" t="str">
        <f>IF(C202=0,"-",I202*'Fatores de Emissão'!$E$252+FACE!J202*'Fatores de Emissão'!$E$248+FACE!K202*'Fatores de Emissão'!$E$249)</f>
        <v>-</v>
      </c>
    </row>
    <row r="203" spans="1:14" ht="16.899999999999999" customHeight="1" outlineLevel="1" x14ac:dyDescent="0.35">
      <c r="B203" s="525"/>
      <c r="C203" s="532" t="s">
        <v>472</v>
      </c>
      <c r="D203" s="527"/>
      <c r="F203" s="527"/>
      <c r="G203" s="527"/>
      <c r="H203" s="533"/>
      <c r="I203" s="534">
        <f>SUM(I194:I202)</f>
        <v>0</v>
      </c>
      <c r="J203" s="534">
        <f>SUM(J194:J202)</f>
        <v>0</v>
      </c>
      <c r="K203" s="534">
        <f>SUM(K194:K202)</f>
        <v>0</v>
      </c>
      <c r="L203" s="534">
        <f>SUM(L194:L202)</f>
        <v>0</v>
      </c>
      <c r="M203" s="169"/>
    </row>
    <row r="204" spans="1:14" outlineLevel="1" x14ac:dyDescent="0.35">
      <c r="B204" s="169"/>
      <c r="D204" s="169"/>
      <c r="E204" s="169"/>
      <c r="J204" s="169"/>
      <c r="M204" s="169"/>
    </row>
  </sheetData>
  <sortState xmlns:xlrd2="http://schemas.microsoft.com/office/spreadsheetml/2017/richdata2" ref="C10:D42">
    <sortCondition ref="C10:C42"/>
  </sortState>
  <mergeCells count="8">
    <mergeCell ref="L10:M11"/>
    <mergeCell ref="Q10:R10"/>
    <mergeCell ref="B154:B156"/>
    <mergeCell ref="C154:C156"/>
    <mergeCell ref="D154:D156"/>
    <mergeCell ref="B99:B101"/>
    <mergeCell ref="C99:C101"/>
    <mergeCell ref="D99:D10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FF525-84D3-40B2-A886-DE8BD4C79934}">
  <sheetPr codeName="Folha8">
    <tabColor theme="0"/>
  </sheetPr>
  <dimension ref="A10:J80"/>
  <sheetViews>
    <sheetView showGridLines="0" zoomScale="85" zoomScaleNormal="85" workbookViewId="0">
      <selection activeCell="F12" sqref="F12"/>
    </sheetView>
  </sheetViews>
  <sheetFormatPr defaultRowHeight="14.5" x14ac:dyDescent="0.35"/>
  <cols>
    <col min="1" max="1" width="37.7265625" customWidth="1"/>
    <col min="2" max="2" width="19" customWidth="1"/>
    <col min="3" max="3" width="18.54296875" customWidth="1"/>
    <col min="4" max="4" width="24.54296875" customWidth="1"/>
    <col min="5" max="5" width="37.7265625" customWidth="1"/>
    <col min="6" max="6" width="21.81640625" customWidth="1"/>
    <col min="7" max="7" width="19.26953125" customWidth="1"/>
    <col min="8" max="8" width="18.26953125" customWidth="1"/>
    <col min="9" max="9" width="19.7265625" customWidth="1"/>
    <col min="10" max="10" width="22" customWidth="1"/>
    <col min="11" max="11" width="23.26953125" customWidth="1"/>
  </cols>
  <sheetData>
    <row r="10" spans="1:5" x14ac:dyDescent="0.35">
      <c r="A10" s="604" t="s">
        <v>3</v>
      </c>
      <c r="B10" s="604" t="s">
        <v>552</v>
      </c>
      <c r="C10" s="604" t="s">
        <v>553</v>
      </c>
      <c r="D10" s="604" t="s">
        <v>1039</v>
      </c>
      <c r="E10" s="794"/>
    </row>
    <row r="11" spans="1:5" x14ac:dyDescent="0.35">
      <c r="A11" s="144" t="s">
        <v>14</v>
      </c>
      <c r="B11" s="153">
        <f>B18</f>
        <v>1.759262433046875E-5</v>
      </c>
      <c r="C11" s="5" t="str">
        <f>C18</f>
        <v>t CO2eq/ m3</v>
      </c>
      <c r="D11" s="143" t="s">
        <v>1040</v>
      </c>
    </row>
    <row r="12" spans="1:5" x14ac:dyDescent="0.35">
      <c r="A12" s="144" t="s">
        <v>31</v>
      </c>
      <c r="B12" s="153">
        <f>B31</f>
        <v>2.2411459459459466E-6</v>
      </c>
      <c r="C12" s="73" t="str">
        <f>C31</f>
        <v>t/Litro</v>
      </c>
      <c r="D12" s="143" t="s">
        <v>797</v>
      </c>
    </row>
    <row r="14" spans="1:5" x14ac:dyDescent="0.35">
      <c r="A14" s="74" t="s">
        <v>556</v>
      </c>
    </row>
    <row r="15" spans="1:5" x14ac:dyDescent="0.35">
      <c r="A15" s="74" t="s">
        <v>557</v>
      </c>
    </row>
    <row r="16" spans="1:5" x14ac:dyDescent="0.35">
      <c r="A16" s="74" t="s">
        <v>558</v>
      </c>
    </row>
    <row r="17" spans="1:4" x14ac:dyDescent="0.35">
      <c r="A17" s="74" t="s">
        <v>1036</v>
      </c>
    </row>
    <row r="18" spans="1:4" x14ac:dyDescent="0.35">
      <c r="A18" s="74" t="s">
        <v>1037</v>
      </c>
      <c r="B18" s="146">
        <v>1.759262433046875E-5</v>
      </c>
      <c r="C18" t="s">
        <v>555</v>
      </c>
      <c r="D18" t="s">
        <v>1038</v>
      </c>
    </row>
    <row r="19" spans="1:4" x14ac:dyDescent="0.35">
      <c r="A19" s="74"/>
    </row>
    <row r="20" spans="1:4" x14ac:dyDescent="0.35">
      <c r="A20" s="74"/>
    </row>
    <row r="21" spans="1:4" x14ac:dyDescent="0.35">
      <c r="A21" s="74"/>
    </row>
    <row r="22" spans="1:4" x14ac:dyDescent="0.35">
      <c r="A22" s="74" t="s">
        <v>559</v>
      </c>
    </row>
    <row r="23" spans="1:4" x14ac:dyDescent="0.35">
      <c r="A23" s="74" t="s">
        <v>560</v>
      </c>
    </row>
    <row r="24" spans="1:4" x14ac:dyDescent="0.35">
      <c r="A24" s="74" t="s">
        <v>561</v>
      </c>
    </row>
    <row r="25" spans="1:4" x14ac:dyDescent="0.35">
      <c r="A25" s="74"/>
    </row>
    <row r="26" spans="1:4" x14ac:dyDescent="0.35">
      <c r="A26" s="74" t="s">
        <v>562</v>
      </c>
      <c r="B26" t="s">
        <v>563</v>
      </c>
      <c r="C26" t="s">
        <v>553</v>
      </c>
      <c r="D26" t="s">
        <v>564</v>
      </c>
    </row>
    <row r="27" spans="1:4" x14ac:dyDescent="0.35">
      <c r="A27" s="74" t="s">
        <v>565</v>
      </c>
      <c r="B27" s="166">
        <f>3.4+9.1+4.7+1+2.4/1000+0.6+1.3</f>
        <v>20.102400000000003</v>
      </c>
      <c r="C27" t="s">
        <v>566</v>
      </c>
      <c r="D27" t="s">
        <v>567</v>
      </c>
    </row>
    <row r="28" spans="1:4" x14ac:dyDescent="0.35">
      <c r="A28" t="s">
        <v>568</v>
      </c>
      <c r="B28" s="146">
        <v>7.4</v>
      </c>
      <c r="C28" t="s">
        <v>569</v>
      </c>
      <c r="D28" t="s">
        <v>570</v>
      </c>
    </row>
    <row r="29" spans="1:4" x14ac:dyDescent="0.35">
      <c r="A29" t="s">
        <v>571</v>
      </c>
      <c r="B29" s="146">
        <f>(700+950)/2</f>
        <v>825</v>
      </c>
      <c r="C29" t="s">
        <v>572</v>
      </c>
    </row>
    <row r="30" spans="1:4" x14ac:dyDescent="0.35">
      <c r="A30" s="74" t="s">
        <v>573</v>
      </c>
      <c r="B30" s="75">
        <f>(B28*1000000000/B29)*1000</f>
        <v>8969696969.6969681</v>
      </c>
      <c r="C30" t="s">
        <v>498</v>
      </c>
      <c r="D30" t="s">
        <v>574</v>
      </c>
    </row>
    <row r="31" spans="1:4" x14ac:dyDescent="0.35">
      <c r="A31" t="s">
        <v>31</v>
      </c>
      <c r="B31" s="71">
        <f>B27/B30*1000</f>
        <v>2.2411459459459466E-6</v>
      </c>
      <c r="C31" t="s">
        <v>575</v>
      </c>
      <c r="D31" t="s">
        <v>576</v>
      </c>
    </row>
    <row r="32" spans="1:4" x14ac:dyDescent="0.35">
      <c r="D32" t="s">
        <v>577</v>
      </c>
    </row>
    <row r="33" spans="4:7" x14ac:dyDescent="0.35">
      <c r="D33" t="s">
        <v>578</v>
      </c>
    </row>
    <row r="36" spans="4:7" x14ac:dyDescent="0.35">
      <c r="G36" t="s">
        <v>579</v>
      </c>
    </row>
    <row r="67" spans="1:10" s="30" customFormat="1" ht="21.5" x14ac:dyDescent="0.9">
      <c r="A67" s="12" t="s">
        <v>261</v>
      </c>
    </row>
    <row r="69" spans="1:10" ht="51" x14ac:dyDescent="0.35">
      <c r="A69" s="21" t="s">
        <v>501</v>
      </c>
      <c r="B69" s="64" t="s">
        <v>581</v>
      </c>
      <c r="C69" s="64" t="s">
        <v>587</v>
      </c>
      <c r="D69" s="76" t="s">
        <v>584</v>
      </c>
      <c r="E69" s="76" t="s">
        <v>585</v>
      </c>
      <c r="F69" s="63" t="s">
        <v>582</v>
      </c>
      <c r="G69" s="63" t="s">
        <v>583</v>
      </c>
      <c r="H69" s="63" t="s">
        <v>588</v>
      </c>
      <c r="I69" s="63" t="s">
        <v>589</v>
      </c>
      <c r="J69" s="63" t="s">
        <v>537</v>
      </c>
    </row>
    <row r="70" spans="1:10" ht="17" x14ac:dyDescent="0.35">
      <c r="A70" s="33">
        <f>'Energia Elétrica e térmica'!D133</f>
        <v>0</v>
      </c>
      <c r="B70" s="72">
        <v>1.759262433046875E-5</v>
      </c>
      <c r="C70" s="73">
        <v>2.2411459459459466E-6</v>
      </c>
      <c r="D70" s="77"/>
      <c r="E70" s="77"/>
      <c r="F70" s="5"/>
      <c r="G70" s="5"/>
      <c r="H70" s="72">
        <f>D71*F70</f>
        <v>0</v>
      </c>
      <c r="I70" s="5">
        <f>E71*G70</f>
        <v>0</v>
      </c>
      <c r="J70" s="72">
        <f>H70+I70</f>
        <v>0</v>
      </c>
    </row>
    <row r="71" spans="1:10" x14ac:dyDescent="0.35">
      <c r="D71" s="72">
        <f>B70*D70</f>
        <v>0</v>
      </c>
      <c r="E71" s="5">
        <f>C70*E70</f>
        <v>0</v>
      </c>
    </row>
    <row r="72" spans="1:10" x14ac:dyDescent="0.35">
      <c r="D72" s="8" t="s">
        <v>586</v>
      </c>
      <c r="E72" s="8" t="s">
        <v>586</v>
      </c>
    </row>
    <row r="75" spans="1:10" s="30" customFormat="1" ht="21.5" x14ac:dyDescent="0.9">
      <c r="A75" s="12" t="s">
        <v>263</v>
      </c>
    </row>
    <row r="77" spans="1:10" ht="51" x14ac:dyDescent="0.35">
      <c r="A77" s="21" t="s">
        <v>501</v>
      </c>
      <c r="B77" s="64" t="s">
        <v>581</v>
      </c>
      <c r="C77" s="64" t="s">
        <v>587</v>
      </c>
      <c r="D77" s="76" t="s">
        <v>584</v>
      </c>
      <c r="E77" s="76" t="s">
        <v>585</v>
      </c>
      <c r="F77" s="63" t="s">
        <v>582</v>
      </c>
      <c r="G77" s="63" t="s">
        <v>583</v>
      </c>
      <c r="H77" s="63" t="s">
        <v>588</v>
      </c>
      <c r="I77" s="63" t="s">
        <v>589</v>
      </c>
      <c r="J77" s="63" t="s">
        <v>537</v>
      </c>
    </row>
    <row r="78" spans="1:10" ht="17" x14ac:dyDescent="0.35">
      <c r="A78" s="33" t="e">
        <f>'Energia Elétrica e térmica'!#REF!</f>
        <v>#REF!</v>
      </c>
      <c r="B78" s="72">
        <v>1.759262433046875E-5</v>
      </c>
      <c r="C78" s="73">
        <v>2.2411459459459466E-6</v>
      </c>
      <c r="D78" s="77"/>
      <c r="E78" s="77"/>
      <c r="F78" s="5"/>
      <c r="G78" s="5"/>
      <c r="H78" s="72">
        <f>D79*F78</f>
        <v>0</v>
      </c>
      <c r="I78" s="5">
        <f>E79*G78</f>
        <v>0</v>
      </c>
      <c r="J78" s="72">
        <f>H78+I78</f>
        <v>0</v>
      </c>
    </row>
    <row r="79" spans="1:10" x14ac:dyDescent="0.35">
      <c r="D79" s="72">
        <f>B78*D78</f>
        <v>0</v>
      </c>
      <c r="E79" s="5">
        <f>C78*E78</f>
        <v>0</v>
      </c>
    </row>
    <row r="80" spans="1:10" x14ac:dyDescent="0.35">
      <c r="D80" s="8" t="s">
        <v>586</v>
      </c>
      <c r="E80" s="8" t="s">
        <v>586</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2B3BF-0E43-46EF-A382-8C630CCC3006}">
  <sheetPr codeName="Folha9">
    <tabColor rgb="FF02A39C"/>
  </sheetPr>
  <dimension ref="A1:Q583"/>
  <sheetViews>
    <sheetView showGridLines="0" topLeftCell="A169" zoomScale="55" zoomScaleNormal="55" workbookViewId="0">
      <selection activeCell="B169" sqref="B169"/>
    </sheetView>
  </sheetViews>
  <sheetFormatPr defaultColWidth="8.81640625" defaultRowHeight="15.5" zeroHeight="1" outlineLevelRow="2" x14ac:dyDescent="0.35"/>
  <cols>
    <col min="1" max="1" width="11.7265625" style="169" customWidth="1"/>
    <col min="2" max="2" width="17" style="169" customWidth="1"/>
    <col min="3" max="3" width="30" style="169" customWidth="1"/>
    <col min="4" max="4" width="52.54296875" style="169" customWidth="1"/>
    <col min="5" max="5" width="19.7265625" style="169" customWidth="1"/>
    <col min="6" max="6" width="22.7265625" style="169" customWidth="1"/>
    <col min="7" max="7" width="17.26953125" style="169" customWidth="1"/>
    <col min="8" max="8" width="23.26953125" style="169" customWidth="1"/>
    <col min="9" max="9" width="20.81640625" style="169" bestFit="1" customWidth="1"/>
    <col min="10" max="10" width="17.7265625" style="169" customWidth="1"/>
    <col min="11" max="11" width="24.81640625" style="169" bestFit="1" customWidth="1"/>
    <col min="12" max="12" width="13.453125" style="169" bestFit="1" customWidth="1"/>
    <col min="13" max="13" width="13.7265625" style="169" customWidth="1"/>
    <col min="14" max="14" width="15.81640625" style="169" customWidth="1"/>
    <col min="15" max="15" width="26.7265625" style="169" customWidth="1"/>
    <col min="16" max="16" width="21" style="169" customWidth="1"/>
    <col min="17" max="17" width="38.81640625" style="169" customWidth="1"/>
    <col min="18" max="18" width="10.1796875" style="169" bestFit="1" customWidth="1"/>
    <col min="19" max="19" width="20.54296875" style="169" customWidth="1"/>
    <col min="20" max="20" width="18.26953125" style="169" customWidth="1"/>
    <col min="21" max="31" width="8.81640625" style="169"/>
    <col min="32" max="32" width="11.26953125" style="169" customWidth="1"/>
    <col min="33" max="33" width="9.7265625" style="169" customWidth="1"/>
    <col min="34" max="34" width="19.26953125" style="169" customWidth="1"/>
    <col min="35" max="35" width="16.453125" style="169" customWidth="1"/>
    <col min="36" max="45" width="8.81640625" style="169"/>
    <col min="46" max="46" width="10.1796875" style="169" customWidth="1"/>
    <col min="47" max="47" width="16" style="169" bestFit="1" customWidth="1"/>
    <col min="48" max="48" width="16.1796875" style="169" customWidth="1"/>
    <col min="49" max="49" width="13.7265625" style="169" customWidth="1"/>
    <col min="50" max="50" width="13.453125" style="169" customWidth="1"/>
    <col min="51" max="51" width="12.7265625" style="169" customWidth="1"/>
    <col min="52" max="52" width="10.7265625" style="169" customWidth="1"/>
    <col min="53" max="53" width="9.7265625" style="169" customWidth="1"/>
    <col min="54" max="54" width="10" style="169" customWidth="1"/>
    <col min="55" max="55" width="11.7265625" style="169" customWidth="1"/>
    <col min="56" max="56" width="8.81640625" style="169"/>
    <col min="57" max="57" width="11.1796875" style="169" customWidth="1"/>
    <col min="58" max="60" width="8.81640625" style="169"/>
    <col min="61" max="61" width="10.26953125" style="169" customWidth="1"/>
    <col min="62" max="62" width="12.26953125" style="169" customWidth="1"/>
    <col min="63" max="63" width="14.453125" style="169" customWidth="1"/>
    <col min="64" max="64" width="10.1796875" style="169" customWidth="1"/>
    <col min="65" max="65" width="10.7265625" style="169" customWidth="1"/>
    <col min="66" max="69" width="8.81640625" style="169"/>
    <col min="70" max="70" width="10.54296875" style="169" customWidth="1"/>
    <col min="71" max="16384" width="8.81640625" style="169"/>
  </cols>
  <sheetData>
    <row r="1" spans="2:15" x14ac:dyDescent="0.35"/>
    <row r="2" spans="2:15" x14ac:dyDescent="0.35"/>
    <row r="3" spans="2:15" x14ac:dyDescent="0.35"/>
    <row r="4" spans="2:15" x14ac:dyDescent="0.35"/>
    <row r="5" spans="2:15" x14ac:dyDescent="0.35"/>
    <row r="6" spans="2:15" x14ac:dyDescent="0.35"/>
    <row r="7" spans="2:15" ht="18.5" x14ac:dyDescent="0.45">
      <c r="D7" s="1131" t="str">
        <f>IF(Triagem!C30="", "Não indicou na TRIAGEM se esta folha de adequa ao projeto", IF(Triagem!C30="Não", "Não necessita de preencher esta folha", "Folha a ser preenchida"))</f>
        <v>Não indicou na TRIAGEM se esta folha de adequa ao projeto</v>
      </c>
      <c r="E7" s="1131"/>
      <c r="F7" s="1131"/>
      <c r="G7" s="1131"/>
      <c r="H7" s="1131"/>
      <c r="I7" s="1131"/>
    </row>
    <row r="8" spans="2:15" x14ac:dyDescent="0.35"/>
    <row r="9" spans="2:15" x14ac:dyDescent="0.35"/>
    <row r="10" spans="2:15" x14ac:dyDescent="0.35"/>
    <row r="11" spans="2:15" ht="52.15" customHeight="1" outlineLevel="1" x14ac:dyDescent="0.35">
      <c r="B11" s="1133" t="s">
        <v>1063</v>
      </c>
      <c r="C11" s="1133"/>
      <c r="D11" s="1133"/>
      <c r="E11" s="1133"/>
      <c r="F11" s="1133"/>
      <c r="G11" s="1133"/>
      <c r="H11" s="1133"/>
      <c r="I11" s="1133"/>
      <c r="J11" s="1133"/>
      <c r="K11" s="171"/>
      <c r="L11" s="171"/>
      <c r="M11" s="171"/>
      <c r="N11" s="171"/>
      <c r="O11" s="171"/>
    </row>
    <row r="12" spans="2:15" s="233" customFormat="1" ht="33.65" customHeight="1" outlineLevel="1" x14ac:dyDescent="0.35">
      <c r="B12" s="1132" t="s">
        <v>1324</v>
      </c>
      <c r="C12" s="1132"/>
      <c r="D12" s="1132"/>
      <c r="E12" s="1132"/>
      <c r="F12" s="1132"/>
      <c r="G12" s="1132"/>
      <c r="H12" s="1132"/>
      <c r="I12" s="1132"/>
      <c r="J12" s="1132"/>
      <c r="K12" s="448"/>
      <c r="L12" s="448"/>
      <c r="M12" s="448"/>
      <c r="N12" s="448"/>
      <c r="O12" s="448"/>
    </row>
    <row r="13" spans="2:15" s="233" customFormat="1" ht="34.15" customHeight="1" outlineLevel="1" x14ac:dyDescent="0.35">
      <c r="B13" s="1132" t="s">
        <v>1325</v>
      </c>
      <c r="C13" s="1132"/>
      <c r="D13" s="1132"/>
      <c r="E13" s="1132"/>
      <c r="F13" s="1132"/>
      <c r="G13" s="1132"/>
      <c r="H13" s="1132"/>
      <c r="I13" s="1132"/>
      <c r="J13" s="1132"/>
      <c r="K13" s="448"/>
      <c r="L13" s="448"/>
      <c r="M13" s="448"/>
      <c r="N13" s="448"/>
      <c r="O13" s="448"/>
    </row>
    <row r="14" spans="2:15" s="233" customFormat="1" ht="19.149999999999999" customHeight="1" outlineLevel="1" x14ac:dyDescent="0.35">
      <c r="B14" s="1132" t="s">
        <v>1326</v>
      </c>
      <c r="C14" s="1132"/>
      <c r="D14" s="1132"/>
      <c r="E14" s="1132"/>
      <c r="F14" s="1132"/>
      <c r="G14" s="1132"/>
      <c r="H14" s="1132"/>
      <c r="I14" s="1132"/>
      <c r="J14" s="1132"/>
      <c r="K14" s="448"/>
      <c r="L14" s="448"/>
      <c r="M14" s="448"/>
      <c r="N14" s="448"/>
      <c r="O14" s="448"/>
    </row>
    <row r="15" spans="2:15" s="233" customFormat="1" ht="36" customHeight="1" outlineLevel="1" x14ac:dyDescent="0.35">
      <c r="B15" s="1132" t="s">
        <v>1327</v>
      </c>
      <c r="C15" s="1132"/>
      <c r="D15" s="1132"/>
      <c r="E15" s="1132"/>
      <c r="F15" s="1132"/>
      <c r="G15" s="1132"/>
      <c r="H15" s="1132"/>
      <c r="I15" s="1132"/>
      <c r="J15" s="1132"/>
      <c r="K15" s="448"/>
      <c r="L15" s="448"/>
      <c r="M15" s="448"/>
      <c r="N15" s="448"/>
      <c r="O15" s="448"/>
    </row>
    <row r="16" spans="2:15" outlineLevel="1" x14ac:dyDescent="0.35"/>
    <row r="17" spans="2:10" outlineLevel="1" x14ac:dyDescent="0.35">
      <c r="B17" s="167" t="s">
        <v>0</v>
      </c>
      <c r="C17" s="172"/>
      <c r="D17" s="172"/>
      <c r="E17" s="172"/>
      <c r="F17" s="172"/>
      <c r="G17" s="172"/>
      <c r="H17" s="172"/>
      <c r="I17" s="172"/>
      <c r="J17" s="172"/>
    </row>
    <row r="18" spans="2:10" ht="48" customHeight="1" outlineLevel="1" x14ac:dyDescent="0.35">
      <c r="B18" s="1047" t="s">
        <v>596</v>
      </c>
      <c r="C18" s="1047"/>
      <c r="D18" s="1047"/>
      <c r="E18" s="1047"/>
      <c r="F18" s="1047"/>
      <c r="G18" s="1047"/>
      <c r="H18" s="1047"/>
      <c r="I18" s="1047"/>
      <c r="J18" s="1047"/>
    </row>
    <row r="19" spans="2:10" outlineLevel="1" x14ac:dyDescent="0.35">
      <c r="B19" s="345" t="s">
        <v>670</v>
      </c>
      <c r="C19" s="172"/>
      <c r="D19" s="172"/>
      <c r="E19" s="172"/>
      <c r="F19" s="172"/>
      <c r="G19" s="172"/>
      <c r="H19" s="172"/>
      <c r="I19" s="172"/>
      <c r="J19" s="172"/>
    </row>
    <row r="20" spans="2:10" outlineLevel="1" x14ac:dyDescent="0.35">
      <c r="B20" s="910" t="s">
        <v>675</v>
      </c>
      <c r="C20" s="172"/>
      <c r="D20" s="172"/>
      <c r="E20" s="172"/>
      <c r="F20" s="172"/>
      <c r="G20" s="172"/>
      <c r="H20" s="172"/>
      <c r="I20" s="172"/>
      <c r="J20" s="172"/>
    </row>
    <row r="21" spans="2:10" outlineLevel="1" x14ac:dyDescent="0.35">
      <c r="B21" s="345" t="s">
        <v>1050</v>
      </c>
      <c r="C21" s="172"/>
      <c r="D21" s="172"/>
      <c r="E21" s="172"/>
      <c r="F21" s="172"/>
      <c r="G21" s="172"/>
      <c r="H21" s="172"/>
      <c r="I21" s="172"/>
      <c r="J21" s="172"/>
    </row>
    <row r="22" spans="2:10" outlineLevel="1" x14ac:dyDescent="0.35">
      <c r="B22" s="910" t="s">
        <v>676</v>
      </c>
      <c r="C22" s="172"/>
      <c r="D22" s="172"/>
      <c r="E22" s="172"/>
      <c r="F22" s="172"/>
      <c r="G22" s="172"/>
      <c r="H22" s="172"/>
      <c r="I22" s="172"/>
      <c r="J22" s="172"/>
    </row>
    <row r="23" spans="2:10" outlineLevel="1" x14ac:dyDescent="0.35">
      <c r="B23" s="345" t="s">
        <v>1532</v>
      </c>
      <c r="C23" s="172"/>
      <c r="D23" s="172"/>
      <c r="E23" s="172"/>
      <c r="F23" s="172"/>
      <c r="G23" s="172"/>
      <c r="H23" s="172"/>
      <c r="I23" s="172"/>
      <c r="J23" s="172"/>
    </row>
    <row r="24" spans="2:10" outlineLevel="1" x14ac:dyDescent="0.35">
      <c r="B24" s="910" t="s">
        <v>677</v>
      </c>
      <c r="C24" s="172"/>
      <c r="D24" s="172"/>
      <c r="E24" s="172"/>
      <c r="F24" s="172"/>
      <c r="G24" s="172"/>
      <c r="H24" s="172"/>
      <c r="I24" s="172"/>
      <c r="J24" s="172"/>
    </row>
    <row r="25" spans="2:10" ht="33.65" customHeight="1" outlineLevel="1" x14ac:dyDescent="0.35">
      <c r="B25" s="1134" t="s">
        <v>1533</v>
      </c>
      <c r="C25" s="1134"/>
      <c r="D25" s="1134"/>
      <c r="E25" s="1134"/>
      <c r="F25" s="1134"/>
      <c r="G25" s="1134"/>
      <c r="H25" s="1134"/>
      <c r="I25" s="1134"/>
      <c r="J25" s="1134"/>
    </row>
    <row r="26" spans="2:10" outlineLevel="1" x14ac:dyDescent="0.35">
      <c r="B26" s="910" t="s">
        <v>678</v>
      </c>
      <c r="C26" s="172"/>
      <c r="D26" s="172"/>
      <c r="E26" s="172"/>
      <c r="F26" s="172"/>
      <c r="G26" s="172"/>
      <c r="H26" s="172"/>
      <c r="I26" s="172"/>
      <c r="J26" s="172"/>
    </row>
    <row r="27" spans="2:10" outlineLevel="1" x14ac:dyDescent="0.35">
      <c r="B27" s="345" t="s">
        <v>1534</v>
      </c>
      <c r="C27" s="172"/>
      <c r="D27" s="172"/>
      <c r="E27" s="172"/>
      <c r="F27" s="172"/>
      <c r="G27" s="172"/>
      <c r="H27" s="172"/>
      <c r="I27" s="172"/>
      <c r="J27" s="172"/>
    </row>
    <row r="28" spans="2:10" outlineLevel="1" x14ac:dyDescent="0.35">
      <c r="B28" s="910" t="s">
        <v>1066</v>
      </c>
      <c r="C28" s="172"/>
      <c r="D28" s="172"/>
      <c r="E28" s="172"/>
      <c r="F28" s="172"/>
      <c r="G28" s="172"/>
      <c r="H28" s="172"/>
      <c r="I28" s="172"/>
      <c r="J28" s="172"/>
    </row>
    <row r="29" spans="2:10" outlineLevel="1" x14ac:dyDescent="0.35">
      <c r="B29" s="345" t="s">
        <v>1067</v>
      </c>
      <c r="C29" s="172"/>
      <c r="D29" s="172"/>
      <c r="E29" s="172"/>
      <c r="F29" s="172"/>
      <c r="G29" s="172"/>
      <c r="H29" s="172"/>
      <c r="I29" s="172"/>
      <c r="J29" s="172"/>
    </row>
    <row r="30" spans="2:10" outlineLevel="1" x14ac:dyDescent="0.35">
      <c r="B30" s="910" t="s">
        <v>679</v>
      </c>
      <c r="C30" s="172"/>
      <c r="D30" s="172"/>
      <c r="E30" s="172"/>
      <c r="F30" s="172"/>
      <c r="G30" s="172"/>
      <c r="H30" s="172"/>
      <c r="I30" s="172"/>
      <c r="J30" s="172"/>
    </row>
    <row r="31" spans="2:10" ht="33" customHeight="1" outlineLevel="1" x14ac:dyDescent="0.35">
      <c r="B31" s="345" t="s">
        <v>672</v>
      </c>
      <c r="C31" s="172"/>
      <c r="D31" s="172"/>
      <c r="E31" s="172"/>
      <c r="F31" s="172"/>
      <c r="G31" s="172"/>
      <c r="H31" s="172"/>
      <c r="I31" s="172"/>
      <c r="J31" s="172"/>
    </row>
    <row r="32" spans="2:10" outlineLevel="1" x14ac:dyDescent="0.35">
      <c r="B32" s="345" t="s">
        <v>673</v>
      </c>
      <c r="C32" s="172"/>
      <c r="D32" s="172"/>
      <c r="E32" s="172"/>
      <c r="F32" s="172"/>
      <c r="G32" s="172"/>
      <c r="H32" s="172"/>
      <c r="I32" s="172"/>
      <c r="J32" s="172"/>
    </row>
    <row r="33" spans="2:16" outlineLevel="1" x14ac:dyDescent="0.35">
      <c r="B33" s="345" t="s">
        <v>1294</v>
      </c>
      <c r="C33" s="172"/>
      <c r="D33" s="172"/>
      <c r="E33" s="172"/>
      <c r="F33" s="172"/>
      <c r="G33" s="172"/>
      <c r="H33" s="172"/>
      <c r="I33" s="172"/>
      <c r="J33" s="172"/>
    </row>
    <row r="34" spans="2:16" outlineLevel="1" x14ac:dyDescent="0.35">
      <c r="B34" s="345" t="s">
        <v>674</v>
      </c>
      <c r="C34" s="172"/>
      <c r="D34" s="172"/>
      <c r="E34" s="172"/>
      <c r="F34" s="172"/>
      <c r="G34" s="172"/>
      <c r="H34" s="172"/>
      <c r="I34" s="172"/>
      <c r="J34" s="172"/>
    </row>
    <row r="35" spans="2:16" outlineLevel="1" x14ac:dyDescent="0.35">
      <c r="B35" s="911"/>
    </row>
    <row r="36" spans="2:16" x14ac:dyDescent="0.35"/>
    <row r="37" spans="2:16" s="538" customFormat="1" ht="30" customHeight="1" x14ac:dyDescent="0.35">
      <c r="B37" s="296" t="s">
        <v>690</v>
      </c>
    </row>
    <row r="38" spans="2:16" x14ac:dyDescent="0.35"/>
    <row r="39" spans="2:16" outlineLevel="1" x14ac:dyDescent="0.35">
      <c r="B39" s="167" t="s">
        <v>27</v>
      </c>
      <c r="C39" s="172"/>
      <c r="D39" s="172"/>
      <c r="E39" s="172"/>
      <c r="F39" s="172"/>
      <c r="G39" s="172"/>
      <c r="H39" s="172"/>
      <c r="I39" s="172"/>
      <c r="J39" s="172"/>
      <c r="K39" s="172"/>
      <c r="L39" s="172"/>
      <c r="M39" s="172"/>
      <c r="N39" s="172"/>
      <c r="O39" s="172"/>
    </row>
    <row r="40" spans="2:16" s="314" customFormat="1" outlineLevel="1" x14ac:dyDescent="0.35">
      <c r="B40" s="422" t="s">
        <v>599</v>
      </c>
      <c r="C40" s="309"/>
      <c r="D40" s="419"/>
      <c r="E40" s="419"/>
      <c r="F40" s="419"/>
      <c r="G40" s="419"/>
      <c r="H40" s="419"/>
      <c r="I40" s="419"/>
      <c r="J40" s="419"/>
      <c r="K40" s="419"/>
      <c r="L40" s="419"/>
      <c r="M40" s="419"/>
      <c r="N40" s="419"/>
      <c r="O40" s="419"/>
    </row>
    <row r="41" spans="2:16" s="314" customFormat="1" outlineLevel="1" x14ac:dyDescent="0.35">
      <c r="B41" s="313" t="s">
        <v>1328</v>
      </c>
      <c r="C41" s="309"/>
      <c r="D41" s="419"/>
      <c r="E41" s="419"/>
      <c r="F41" s="419"/>
      <c r="G41" s="419"/>
      <c r="H41" s="419"/>
      <c r="I41" s="419"/>
      <c r="J41" s="419"/>
      <c r="K41" s="419"/>
      <c r="L41" s="419"/>
      <c r="M41" s="419"/>
      <c r="N41" s="419"/>
      <c r="O41" s="419"/>
    </row>
    <row r="42" spans="2:16" s="314" customFormat="1" outlineLevel="1" x14ac:dyDescent="0.35">
      <c r="B42" s="449" t="s">
        <v>1329</v>
      </c>
      <c r="C42" s="309"/>
      <c r="D42" s="419"/>
      <c r="E42" s="419"/>
      <c r="F42" s="419"/>
      <c r="G42" s="419"/>
      <c r="H42" s="419"/>
      <c r="I42" s="419"/>
      <c r="J42" s="419"/>
      <c r="K42" s="419"/>
      <c r="L42" s="419"/>
      <c r="M42" s="419"/>
      <c r="N42" s="419"/>
      <c r="O42" s="419"/>
    </row>
    <row r="43" spans="2:16" s="314" customFormat="1" outlineLevel="1" x14ac:dyDescent="0.35">
      <c r="B43" s="449" t="s">
        <v>1330</v>
      </c>
      <c r="C43" s="309"/>
      <c r="D43" s="419"/>
      <c r="E43" s="419"/>
      <c r="F43" s="419"/>
      <c r="G43" s="419"/>
      <c r="H43" s="419"/>
      <c r="I43" s="419"/>
      <c r="J43" s="419"/>
      <c r="K43" s="419"/>
      <c r="L43" s="419"/>
      <c r="M43" s="419"/>
      <c r="N43" s="419"/>
      <c r="O43" s="419"/>
      <c r="P43" s="307"/>
    </row>
    <row r="44" spans="2:16" s="314" customFormat="1" outlineLevel="1" x14ac:dyDescent="0.35">
      <c r="B44" s="313" t="s">
        <v>1331</v>
      </c>
      <c r="C44" s="309"/>
      <c r="D44" s="419"/>
      <c r="E44" s="419"/>
      <c r="F44" s="419"/>
      <c r="G44" s="419"/>
      <c r="H44" s="419"/>
      <c r="I44" s="419"/>
      <c r="J44" s="419"/>
      <c r="K44" s="419"/>
      <c r="L44" s="419"/>
      <c r="M44" s="419"/>
      <c r="N44" s="419"/>
      <c r="O44" s="419"/>
      <c r="P44" s="307"/>
    </row>
    <row r="45" spans="2:16" s="314" customFormat="1" outlineLevel="1" x14ac:dyDescent="0.35">
      <c r="P45" s="307"/>
    </row>
    <row r="46" spans="2:16" s="314" customFormat="1" outlineLevel="1" x14ac:dyDescent="0.35">
      <c r="B46" s="169" t="s">
        <v>521</v>
      </c>
      <c r="P46" s="307"/>
    </row>
    <row r="47" spans="2:16" s="314" customFormat="1" ht="16.899999999999999" customHeight="1" outlineLevel="1" x14ac:dyDescent="0.35">
      <c r="B47" s="1089" t="s">
        <v>598</v>
      </c>
      <c r="C47" s="1089" t="s">
        <v>211</v>
      </c>
      <c r="D47" s="1089" t="s">
        <v>212</v>
      </c>
      <c r="E47" s="1089" t="s">
        <v>597</v>
      </c>
      <c r="F47" s="1089" t="s">
        <v>1535</v>
      </c>
      <c r="G47" s="1089" t="s">
        <v>1064</v>
      </c>
      <c r="H47" s="1089" t="s">
        <v>214</v>
      </c>
      <c r="I47" s="1121" t="s">
        <v>710</v>
      </c>
      <c r="J47" s="1122"/>
      <c r="K47" s="1123"/>
      <c r="L47" s="1089" t="s">
        <v>1332</v>
      </c>
      <c r="M47" s="1089" t="s">
        <v>1333</v>
      </c>
      <c r="N47" s="1089" t="s">
        <v>1334</v>
      </c>
      <c r="O47" s="1089" t="s">
        <v>1335</v>
      </c>
    </row>
    <row r="48" spans="2:16" s="314" customFormat="1" outlineLevel="1" x14ac:dyDescent="0.35">
      <c r="B48" s="1090"/>
      <c r="C48" s="1090"/>
      <c r="D48" s="1090"/>
      <c r="E48" s="1090"/>
      <c r="F48" s="1090"/>
      <c r="G48" s="1090"/>
      <c r="H48" s="1090"/>
      <c r="I48" s="1124"/>
      <c r="J48" s="1125"/>
      <c r="K48" s="1126"/>
      <c r="L48" s="1090"/>
      <c r="M48" s="1090"/>
      <c r="N48" s="1090"/>
      <c r="O48" s="1090"/>
    </row>
    <row r="49" spans="1:15" s="314" customFormat="1" ht="17.5" outlineLevel="1" x14ac:dyDescent="0.35">
      <c r="B49" s="1100"/>
      <c r="C49" s="1100"/>
      <c r="D49" s="1100"/>
      <c r="E49" s="1100"/>
      <c r="F49" s="1100"/>
      <c r="G49" s="1100"/>
      <c r="H49" s="1100"/>
      <c r="I49" s="257" t="s">
        <v>1336</v>
      </c>
      <c r="J49" s="257" t="s">
        <v>1337</v>
      </c>
      <c r="K49" s="257" t="s">
        <v>1338</v>
      </c>
      <c r="L49" s="1100"/>
      <c r="M49" s="1100"/>
      <c r="N49" s="1100"/>
      <c r="O49" s="1100"/>
    </row>
    <row r="50" spans="1:15" s="453" customFormat="1" ht="47.5" customHeight="1" outlineLevel="1" x14ac:dyDescent="0.35">
      <c r="A50" s="450" t="s">
        <v>39</v>
      </c>
      <c r="B50" s="451" t="s">
        <v>36</v>
      </c>
      <c r="C50" s="451" t="s">
        <v>1445</v>
      </c>
      <c r="D50" s="451" t="s">
        <v>1606</v>
      </c>
      <c r="E50" s="539">
        <v>1000</v>
      </c>
      <c r="F50" s="452" t="s">
        <v>541</v>
      </c>
      <c r="G50" s="452" t="s">
        <v>545</v>
      </c>
      <c r="H50" s="451" t="s">
        <v>205</v>
      </c>
      <c r="I50" s="1025">
        <v>1.1988599999999998</v>
      </c>
      <c r="J50" s="1025">
        <v>3.6518426691235979E-5</v>
      </c>
      <c r="K50" s="1025">
        <v>2.2929464768585739E-5</v>
      </c>
      <c r="L50" s="452">
        <v>1.1988599999999998</v>
      </c>
      <c r="M50" s="1025">
        <v>3.6518426691235979E-5</v>
      </c>
      <c r="N50" s="1025">
        <v>2.2929464768585739E-5</v>
      </c>
      <c r="O50" s="452">
        <v>1.2059484259999997</v>
      </c>
    </row>
    <row r="51" spans="1:15" s="428" customFormat="1" outlineLevel="1" x14ac:dyDescent="0.35">
      <c r="B51" s="454"/>
      <c r="C51" s="454"/>
      <c r="D51" s="454"/>
      <c r="E51" s="540"/>
      <c r="F51" s="455"/>
      <c r="G51" s="456"/>
      <c r="H51" s="542" t="str">
        <f>IF(D51="","",VLOOKUP(D51,'Fatores de Emissão'!$D$86:$F$96,3,FALSE))</f>
        <v/>
      </c>
      <c r="I51" s="1023" t="str">
        <f>IF(OR($D51="",$D51="-"),"",VLOOKUP($D51,'Fatores de Emissão'!$D$86:$E$96,2,FALSE))</f>
        <v/>
      </c>
      <c r="J51" s="1023" t="str">
        <f>IF(OR($D51="",$D51="-"),"",VLOOKUP($D51,'Fatores de Emissão'!$D$86:$G$96,4,FALSE))</f>
        <v/>
      </c>
      <c r="K51" s="1023" t="str">
        <f>IF(OR($D51="",$D51="-"),"",VLOOKUP($D51,'Fatores de Emissão'!$D$86:$I$96,6,FALSE))</f>
        <v/>
      </c>
      <c r="L51" s="960" t="str">
        <f>IFERROR(IF((OR($D51="",$D51="-")),"",IF(H51="kg/km",I51*E51/1000,IF(H51="kg/p.km",E51*#REF!*I51/1000,E51*#REF!*I51/1000))),"-")</f>
        <v/>
      </c>
      <c r="M51" s="1023" t="str">
        <f>IFERROR(IF((OR($D51="",$D51="-")),"",IF(H51="kg/km",J51*E51/1000,IF(H51="kg/p.km",E51*#REF!*J51/1000,E51*#REF!*J51/1000))),"-")</f>
        <v/>
      </c>
      <c r="N51" s="1023" t="str">
        <f>IFERROR(IF((OR($D51="",$D51="-")),"",IF(H51="kg/km",K51*E51/1000,IF(H51="kg/p.km",E51*#REF!*K51/1000,E51*#REF!*K51/1000))),"-")</f>
        <v/>
      </c>
      <c r="O51" s="961" t="str">
        <f>IF(B51="","",IF(D51="","",L51*'Fatores de Emissão'!$E$252+'Combustão Móvel'!M51*'Fatores de Emissão'!$E$248+'Combustão Móvel'!N51*'Fatores de Emissão'!$E$249))</f>
        <v/>
      </c>
    </row>
    <row r="52" spans="1:15" s="428" customFormat="1" outlineLevel="1" x14ac:dyDescent="0.35">
      <c r="B52" s="454"/>
      <c r="C52" s="454"/>
      <c r="D52" s="454"/>
      <c r="E52" s="540"/>
      <c r="F52" s="455"/>
      <c r="G52" s="456"/>
      <c r="H52" s="542" t="str">
        <f>IF(D52="","",VLOOKUP(D52,'Fatores de Emissão'!$D$86:$F$96,3,FALSE))</f>
        <v/>
      </c>
      <c r="I52" s="1023" t="str">
        <f>IF(OR($D52="",$D52="-"),"",VLOOKUP($D52,'Fatores de Emissão'!$D$86:$E$96,2,FALSE))</f>
        <v/>
      </c>
      <c r="J52" s="1023" t="str">
        <f>IF(OR($D52="",$D52="-"),"",VLOOKUP($D52,'Fatores de Emissão'!$D$86:$G$96,4,FALSE))</f>
        <v/>
      </c>
      <c r="K52" s="1023" t="str">
        <f>IF(OR($D52="",$D52="-"),"",VLOOKUP($D52,'Fatores de Emissão'!$D$86:$I$96,6,FALSE))</f>
        <v/>
      </c>
      <c r="L52" s="960" t="str">
        <f>IFERROR(IF((OR($D52="",$D52="-")),"",IF(H52="kg/km",I52*E52/1000,IF(H52="kg/p.km",E52*#REF!*I52/1000,E52*#REF!*I52/1000))),"-")</f>
        <v/>
      </c>
      <c r="M52" s="1023" t="str">
        <f>IFERROR(IF((OR($D52="",$D52="-")),"",IF(H52="kg/km",J52*E52/1000,IF(H52="kg/p.km",E52*#REF!*J52/1000,E52*#REF!*J52/1000))),"-")</f>
        <v/>
      </c>
      <c r="N52" s="1023" t="str">
        <f>IFERROR(IF((OR($D52="",$D52="-")),"",IF(H52="kg/km",K52*E52/1000,IF(H52="kg/p.km",E52*#REF!*K52/1000,E52*#REF!*K52/1000))),"-")</f>
        <v/>
      </c>
      <c r="O52" s="961" t="str">
        <f>IF(B52="","",IF(D52="","",L52*'Fatores de Emissão'!$E$252+'Combustão Móvel'!M52*'Fatores de Emissão'!$E$248+'Combustão Móvel'!N52*'Fatores de Emissão'!$E$249))</f>
        <v/>
      </c>
    </row>
    <row r="53" spans="1:15" s="428" customFormat="1" outlineLevel="1" x14ac:dyDescent="0.35">
      <c r="B53" s="454"/>
      <c r="C53" s="454"/>
      <c r="D53" s="454"/>
      <c r="E53" s="540"/>
      <c r="F53" s="455"/>
      <c r="G53" s="456"/>
      <c r="H53" s="542" t="str">
        <f>IF(D53="","",VLOOKUP(D53,'Fatores de Emissão'!$D$86:$F$96,3,FALSE))</f>
        <v/>
      </c>
      <c r="I53" s="1023" t="str">
        <f>IF(OR($D53="",$D53="-"),"",VLOOKUP($D53,'Fatores de Emissão'!$D$86:$E$96,2,FALSE))</f>
        <v/>
      </c>
      <c r="J53" s="1023" t="str">
        <f>IF(OR($D53="",$D53="-"),"",VLOOKUP($D53,'Fatores de Emissão'!$D$86:$G$96,4,FALSE))</f>
        <v/>
      </c>
      <c r="K53" s="1023" t="str">
        <f>IF(OR($D53="",$D53="-"),"",VLOOKUP($D53,'Fatores de Emissão'!$D$86:$I$96,6,FALSE))</f>
        <v/>
      </c>
      <c r="L53" s="960" t="str">
        <f>IFERROR(IF((OR($D53="",$D53="-")),"",IF(H53="kg/km",I53*E53/1000,IF(H53="kg/p.km",E53*#REF!*I53/1000,E53*#REF!*I53/1000))),"-")</f>
        <v/>
      </c>
      <c r="M53" s="1023" t="str">
        <f>IFERROR(IF((OR($D53="",$D53="-")),"",IF(H53="kg/km",J53*E53/1000,IF(H53="kg/p.km",E53*#REF!*J53/1000,E53*#REF!*J53/1000))),"-")</f>
        <v/>
      </c>
      <c r="N53" s="1023" t="str">
        <f>IFERROR(IF((OR($D53="",$D53="-")),"",IF(H53="kg/km",K53*E53/1000,IF(H53="kg/p.km",E53*#REF!*K53/1000,E53*#REF!*K53/1000))),"-")</f>
        <v/>
      </c>
      <c r="O53" s="961" t="str">
        <f>IF(B53="","",IF(D53="","",L53*'Fatores de Emissão'!$E$252+'Combustão Móvel'!M53*'Fatores de Emissão'!$E$248+'Combustão Móvel'!N53*'Fatores de Emissão'!$E$249))</f>
        <v/>
      </c>
    </row>
    <row r="54" spans="1:15" s="357" customFormat="1" outlineLevel="1" x14ac:dyDescent="0.35">
      <c r="B54" s="454"/>
      <c r="C54" s="454"/>
      <c r="D54" s="454"/>
      <c r="E54" s="541"/>
      <c r="F54" s="455"/>
      <c r="G54" s="456"/>
      <c r="H54" s="542" t="str">
        <f>IF(D54="","",VLOOKUP(D54,'Fatores de Emissão'!$D$86:$F$96,3,FALSE))</f>
        <v/>
      </c>
      <c r="I54" s="1023" t="str">
        <f>IF(OR($D54="",$D54="-"),"",VLOOKUP($D54,'Fatores de Emissão'!$D$86:$E$96,2,FALSE))</f>
        <v/>
      </c>
      <c r="J54" s="1023" t="str">
        <f>IF(OR($D54="",$D54="-"),"",VLOOKUP($D54,'Fatores de Emissão'!$D$86:$G$96,4,FALSE))</f>
        <v/>
      </c>
      <c r="K54" s="1023" t="str">
        <f>IF(OR($D54="",$D54="-"),"",VLOOKUP($D54,'Fatores de Emissão'!$D$86:$I$96,6,FALSE))</f>
        <v/>
      </c>
      <c r="L54" s="960" t="str">
        <f>IFERROR(IF((OR($D54="",$D54="-")),"",IF(H54="kg/km",I54*E54/1000,IF(H54="kg/p.km",E54*#REF!*I54/1000,E54*#REF!*I54/1000))),"-")</f>
        <v/>
      </c>
      <c r="M54" s="1023" t="str">
        <f>IFERROR(IF((OR($D54="",$D54="-")),"",IF(H54="kg/km",J54*E54/1000,IF(H54="kg/p.km",E54*#REF!*J54/1000,E54*#REF!*J54/1000))),"-")</f>
        <v/>
      </c>
      <c r="N54" s="1023" t="str">
        <f>IFERROR(IF((OR($D54="",$D54="-")),"",IF(H54="kg/km",K54*E54/1000,IF(H54="kg/p.km",E54*#REF!*K54/1000,E54*#REF!*K54/1000))),"-")</f>
        <v/>
      </c>
      <c r="O54" s="961" t="str">
        <f>IF(B54="","",IF(D54="","",L54*'Fatores de Emissão'!$E$252+'Combustão Móvel'!M54*'Fatores de Emissão'!$E$248+'Combustão Móvel'!N54*'Fatores de Emissão'!$E$249))</f>
        <v/>
      </c>
    </row>
    <row r="55" spans="1:15" s="357" customFormat="1" outlineLevel="1" x14ac:dyDescent="0.35">
      <c r="B55" s="454"/>
      <c r="C55" s="454"/>
      <c r="D55" s="454"/>
      <c r="E55" s="541"/>
      <c r="F55" s="455"/>
      <c r="G55" s="456"/>
      <c r="H55" s="542" t="str">
        <f>IF(D55="","",VLOOKUP(D55,'Fatores de Emissão'!$D$86:$F$96,3,FALSE))</f>
        <v/>
      </c>
      <c r="I55" s="1023" t="str">
        <f>IF(OR($D55="",$D55="-"),"",VLOOKUP($D55,'Fatores de Emissão'!$D$86:$E$96,2,FALSE))</f>
        <v/>
      </c>
      <c r="J55" s="1023" t="str">
        <f>IF(OR($D55="",$D55="-"),"",VLOOKUP($D55,'Fatores de Emissão'!$D$86:$G$96,4,FALSE))</f>
        <v/>
      </c>
      <c r="K55" s="1023" t="str">
        <f>IF(OR($D55="",$D55="-"),"",VLOOKUP($D55,'Fatores de Emissão'!$D$86:$I$96,6,FALSE))</f>
        <v/>
      </c>
      <c r="L55" s="960" t="str">
        <f>IFERROR(IF((OR($D55="",$D55="-")),"",IF(H55="kg/km",I55*E55/1000,IF(H55="kg/p.km",E55*#REF!*I55/1000,E55*#REF!*I55/1000))),"-")</f>
        <v/>
      </c>
      <c r="M55" s="1023" t="str">
        <f>IFERROR(IF((OR($D55="",$D55="-")),"",IF(H55="kg/km",J55*E55/1000,IF(H55="kg/p.km",E55*#REF!*J55/1000,E55*#REF!*J55/1000))),"-")</f>
        <v/>
      </c>
      <c r="N55" s="1023" t="str">
        <f>IFERROR(IF((OR($D55="",$D55="-")),"",IF(H55="kg/km",K55*E55/1000,IF(H55="kg/p.km",E55*#REF!*K55/1000,E55*#REF!*K55/1000))),"-")</f>
        <v/>
      </c>
      <c r="O55" s="961" t="str">
        <f>IF(B55="","",IF(D55="","",L55*'Fatores de Emissão'!$E$252+'Combustão Móvel'!M55*'Fatores de Emissão'!$E$248+'Combustão Móvel'!N55*'Fatores de Emissão'!$E$249))</f>
        <v/>
      </c>
    </row>
    <row r="56" spans="1:15" s="357" customFormat="1" outlineLevel="1" x14ac:dyDescent="0.35">
      <c r="B56" s="454"/>
      <c r="C56" s="454"/>
      <c r="D56" s="454"/>
      <c r="E56" s="541"/>
      <c r="F56" s="455"/>
      <c r="G56" s="456"/>
      <c r="H56" s="542" t="str">
        <f>IF(D56="","",VLOOKUP(D56,'Fatores de Emissão'!$D$86:$F$96,3,FALSE))</f>
        <v/>
      </c>
      <c r="I56" s="1023" t="str">
        <f>IF(OR($D56="",$D56="-"),"",VLOOKUP($D56,'Fatores de Emissão'!$D$86:$E$96,2,FALSE))</f>
        <v/>
      </c>
      <c r="J56" s="1023" t="str">
        <f>IF(OR($D56="",$D56="-"),"",VLOOKUP($D56,'Fatores de Emissão'!$D$86:$G$96,4,FALSE))</f>
        <v/>
      </c>
      <c r="K56" s="1023" t="str">
        <f>IF(OR($D56="",$D56="-"),"",VLOOKUP($D56,'Fatores de Emissão'!$D$86:$I$96,6,FALSE))</f>
        <v/>
      </c>
      <c r="L56" s="960" t="str">
        <f>IFERROR(IF((OR($D56="",$D56="-")),"",IF(H56="kg/km",I56*E56/1000,IF(H56="kg/p.km",E56*#REF!*I56/1000,E56*#REF!*I56/1000))),"-")</f>
        <v/>
      </c>
      <c r="M56" s="1023" t="str">
        <f>IFERROR(IF((OR($D56="",$D56="-")),"",IF(H56="kg/km",J56*E56/1000,IF(H56="kg/p.km",E56*#REF!*J56/1000,E56*#REF!*J56/1000))),"-")</f>
        <v/>
      </c>
      <c r="N56" s="1023" t="str">
        <f>IFERROR(IF((OR($D56="",$D56="-")),"",IF(H56="kg/km",K56*E56/1000,IF(H56="kg/p.km",E56*#REF!*K56/1000,E56*#REF!*K56/1000))),"-")</f>
        <v/>
      </c>
      <c r="O56" s="961" t="str">
        <f>IF(B56="","",IF(D56="","",L56*'Fatores de Emissão'!$E$252+'Combustão Móvel'!M56*'Fatores de Emissão'!$E$248+'Combustão Móvel'!N56*'Fatores de Emissão'!$E$249))</f>
        <v/>
      </c>
    </row>
    <row r="57" spans="1:15" s="357" customFormat="1" outlineLevel="1" x14ac:dyDescent="0.35">
      <c r="B57" s="454"/>
      <c r="C57" s="454"/>
      <c r="D57" s="454"/>
      <c r="E57" s="541"/>
      <c r="F57" s="455"/>
      <c r="G57" s="456"/>
      <c r="H57" s="542" t="str">
        <f>IF(D57="","",VLOOKUP(D57,'Fatores de Emissão'!$D$86:$F$96,3,FALSE))</f>
        <v/>
      </c>
      <c r="I57" s="1023" t="str">
        <f>IF(OR($D57="",$D57="-"),"",VLOOKUP($D57,'Fatores de Emissão'!$D$86:$E$96,2,FALSE))</f>
        <v/>
      </c>
      <c r="J57" s="1023" t="str">
        <f>IF(OR($D57="",$D57="-"),"",VLOOKUP($D57,'Fatores de Emissão'!$D$86:$G$96,4,FALSE))</f>
        <v/>
      </c>
      <c r="K57" s="1023" t="str">
        <f>IF(OR($D57="",$D57="-"),"",VLOOKUP($D57,'Fatores de Emissão'!$D$86:$I$96,6,FALSE))</f>
        <v/>
      </c>
      <c r="L57" s="960" t="str">
        <f>IFERROR(IF((OR($D57="",$D57="-")),"",IF(H57="kg/km",I57*E57/1000,IF(H57="kg/p.km",E57*#REF!*I57/1000,E57*#REF!*I57/1000))),"-")</f>
        <v/>
      </c>
      <c r="M57" s="1023" t="str">
        <f>IFERROR(IF((OR($D57="",$D57="-")),"",IF(H57="kg/km",J57*E57/1000,IF(H57="kg/p.km",E57*#REF!*J57/1000,E57*#REF!*J57/1000))),"-")</f>
        <v/>
      </c>
      <c r="N57" s="1023" t="str">
        <f>IFERROR(IF((OR($D57="",$D57="-")),"",IF(H57="kg/km",K57*E57/1000,IF(H57="kg/p.km",E57*#REF!*K57/1000,E57*#REF!*K57/1000))),"-")</f>
        <v/>
      </c>
      <c r="O57" s="961" t="str">
        <f>IF(B57="","",IF(D57="","",L57*'Fatores de Emissão'!$E$252+'Combustão Móvel'!M57*'Fatores de Emissão'!$E$248+'Combustão Móvel'!N57*'Fatores de Emissão'!$E$249))</f>
        <v/>
      </c>
    </row>
    <row r="58" spans="1:15" s="357" customFormat="1" outlineLevel="1" x14ac:dyDescent="0.35">
      <c r="B58" s="454"/>
      <c r="C58" s="454"/>
      <c r="D58" s="454"/>
      <c r="E58" s="541"/>
      <c r="F58" s="455"/>
      <c r="G58" s="456"/>
      <c r="H58" s="542" t="str">
        <f>IF(D58="","",VLOOKUP(D58,'Fatores de Emissão'!$D$86:$F$96,3,FALSE))</f>
        <v/>
      </c>
      <c r="I58" s="1023" t="str">
        <f>IF(OR($D58="",$D58="-"),"",VLOOKUP($D58,'Fatores de Emissão'!$D$86:$E$96,2,FALSE))</f>
        <v/>
      </c>
      <c r="J58" s="1023" t="str">
        <f>IF(OR($D58="",$D58="-"),"",VLOOKUP($D58,'Fatores de Emissão'!$D$86:$G$96,4,FALSE))</f>
        <v/>
      </c>
      <c r="K58" s="1023" t="str">
        <f>IF(OR($D58="",$D58="-"),"",VLOOKUP($D58,'Fatores de Emissão'!$D$86:$I$96,6,FALSE))</f>
        <v/>
      </c>
      <c r="L58" s="960" t="str">
        <f>IFERROR(IF((OR($D58="",$D58="-")),"",IF(H58="kg/km",I58*E58/1000,IF(H58="kg/p.km",E58*#REF!*I58/1000,E58*#REF!*I58/1000))),"-")</f>
        <v/>
      </c>
      <c r="M58" s="1023" t="str">
        <f>IFERROR(IF((OR($D58="",$D58="-")),"",IF(H58="kg/km",J58*E58/1000,IF(H58="kg/p.km",E58*#REF!*J58/1000,E58*#REF!*J58/1000))),"-")</f>
        <v/>
      </c>
      <c r="N58" s="1023" t="str">
        <f>IFERROR(IF((OR($D58="",$D58="-")),"",IF(H58="kg/km",K58*E58/1000,IF(H58="kg/p.km",E58*#REF!*K58/1000,E58*#REF!*K58/1000))),"-")</f>
        <v/>
      </c>
      <c r="O58" s="961" t="str">
        <f>IF(B58="","",IF(D58="","",L58*'Fatores de Emissão'!$E$252+'Combustão Móvel'!M58*'Fatores de Emissão'!$E$248+'Combustão Móvel'!N58*'Fatores de Emissão'!$E$249))</f>
        <v/>
      </c>
    </row>
    <row r="59" spans="1:15" s="357" customFormat="1" outlineLevel="1" x14ac:dyDescent="0.35">
      <c r="B59" s="454"/>
      <c r="C59" s="454"/>
      <c r="D59" s="454"/>
      <c r="E59" s="541"/>
      <c r="F59" s="455"/>
      <c r="G59" s="456"/>
      <c r="H59" s="542" t="str">
        <f>IF(D59="","",VLOOKUP(D59,'Fatores de Emissão'!$D$86:$F$96,3,FALSE))</f>
        <v/>
      </c>
      <c r="I59" s="1023" t="str">
        <f>IF(OR($D59="",$D59="-"),"",VLOOKUP($D59,'Fatores de Emissão'!$D$86:$E$96,2,FALSE))</f>
        <v/>
      </c>
      <c r="J59" s="1023" t="str">
        <f>IF(OR($D59="",$D59="-"),"",VLOOKUP($D59,'Fatores de Emissão'!$D$86:$G$96,4,FALSE))</f>
        <v/>
      </c>
      <c r="K59" s="1023" t="str">
        <f>IF(OR($D59="",$D59="-"),"",VLOOKUP($D59,'Fatores de Emissão'!$D$86:$I$96,6,FALSE))</f>
        <v/>
      </c>
      <c r="L59" s="960" t="str">
        <f>IFERROR(IF((OR($D59="",$D59="-")),"",IF(H59="kg/km",I59*E59/1000,IF(H59="kg/p.km",E59*#REF!*I59/1000,E59*#REF!*I59/1000))),"-")</f>
        <v/>
      </c>
      <c r="M59" s="1023" t="str">
        <f>IFERROR(IF((OR($D59="",$D59="-")),"",IF(H59="kg/km",J59*E59/1000,IF(H59="kg/p.km",E59*#REF!*J59/1000,E59*#REF!*J59/1000))),"-")</f>
        <v/>
      </c>
      <c r="N59" s="1023" t="str">
        <f>IFERROR(IF((OR($D59="",$D59="-")),"",IF(H59="kg/km",K59*E59/1000,IF(H59="kg/p.km",E59*#REF!*K59/1000,E59*#REF!*K59/1000))),"-")</f>
        <v/>
      </c>
      <c r="O59" s="961" t="str">
        <f>IF(B59="","",IF(D59="","",L59*'Fatores de Emissão'!$E$252+'Combustão Móvel'!M59*'Fatores de Emissão'!$E$248+'Combustão Móvel'!N59*'Fatores de Emissão'!$E$249))</f>
        <v/>
      </c>
    </row>
    <row r="60" spans="1:15" s="357" customFormat="1" outlineLevel="1" x14ac:dyDescent="0.35">
      <c r="B60" s="454"/>
      <c r="C60" s="454"/>
      <c r="D60" s="454"/>
      <c r="E60" s="541"/>
      <c r="F60" s="455"/>
      <c r="G60" s="456"/>
      <c r="H60" s="542" t="str">
        <f>IF(D60="","",VLOOKUP(D60,'Fatores de Emissão'!$D$86:$F$96,3,FALSE))</f>
        <v/>
      </c>
      <c r="I60" s="1023" t="str">
        <f>IF(OR($D60="",$D60="-"),"",VLOOKUP($D60,'Fatores de Emissão'!$D$86:$E$96,2,FALSE))</f>
        <v/>
      </c>
      <c r="J60" s="1023" t="str">
        <f>IF(OR($D60="",$D60="-"),"",VLOOKUP($D60,'Fatores de Emissão'!$D$86:$G$96,4,FALSE))</f>
        <v/>
      </c>
      <c r="K60" s="1023" t="str">
        <f>IF(OR($D60="",$D60="-"),"",VLOOKUP($D60,'Fatores de Emissão'!$D$86:$I$96,6,FALSE))</f>
        <v/>
      </c>
      <c r="L60" s="960" t="str">
        <f>IFERROR(IF((OR($D60="",$D60="-")),"",IF(H60="kg/km",I60*E60/1000,IF(H60="kg/p.km",E60*#REF!*I60/1000,E60*#REF!*I60/1000))),"-")</f>
        <v/>
      </c>
      <c r="M60" s="1023" t="str">
        <f>IFERROR(IF((OR($D60="",$D60="-")),"",IF(H60="kg/km",J60*E60/1000,IF(H60="kg/p.km",E60*#REF!*J60/1000,E60*#REF!*J60/1000))),"-")</f>
        <v/>
      </c>
      <c r="N60" s="1023" t="str">
        <f>IFERROR(IF((OR($D60="",$D60="-")),"",IF(H60="kg/km",K60*E60/1000,IF(H60="kg/p.km",E60*#REF!*K60/1000,E60*#REF!*K60/1000))),"-")</f>
        <v/>
      </c>
      <c r="O60" s="961" t="str">
        <f>IF(B60="","",IF(D60="","",L60*'Fatores de Emissão'!$E$252+'Combustão Móvel'!M60*'Fatores de Emissão'!$E$248+'Combustão Móvel'!N60*'Fatores de Emissão'!$E$249))</f>
        <v/>
      </c>
    </row>
    <row r="61" spans="1:15" s="357" customFormat="1" outlineLevel="1" x14ac:dyDescent="0.35">
      <c r="B61" s="454"/>
      <c r="C61" s="454"/>
      <c r="D61" s="454"/>
      <c r="E61" s="541"/>
      <c r="F61" s="455"/>
      <c r="G61" s="456"/>
      <c r="H61" s="542" t="str">
        <f>IF(D61="","",VLOOKUP(D61,'Fatores de Emissão'!$D$86:$F$96,3,FALSE))</f>
        <v/>
      </c>
      <c r="I61" s="1023" t="str">
        <f>IF(OR($D61="",$D61="-"),"",VLOOKUP($D61,'Fatores de Emissão'!$D$86:$E$96,2,FALSE))</f>
        <v/>
      </c>
      <c r="J61" s="1023" t="str">
        <f>IF(OR($D61="",$D61="-"),"",VLOOKUP($D61,'Fatores de Emissão'!$D$86:$G$96,4,FALSE))</f>
        <v/>
      </c>
      <c r="K61" s="1023" t="str">
        <f>IF(OR($D61="",$D61="-"),"",VLOOKUP($D61,'Fatores de Emissão'!$D$86:$I$96,6,FALSE))</f>
        <v/>
      </c>
      <c r="L61" s="960" t="str">
        <f>IFERROR(IF((OR($D61="",$D61="-")),"",IF(H61="kg/km",I61*E61/1000,IF(H61="kg/p.km",E61*#REF!*I61/1000,E61*#REF!*I61/1000))),"-")</f>
        <v/>
      </c>
      <c r="M61" s="1023" t="str">
        <f>IFERROR(IF((OR($D61="",$D61="-")),"",IF(H61="kg/km",J61*E61/1000,IF(H61="kg/p.km",E61*#REF!*J61/1000,E61*#REF!*J61/1000))),"-")</f>
        <v/>
      </c>
      <c r="N61" s="1023" t="str">
        <f>IFERROR(IF((OR($D61="",$D61="-")),"",IF(H61="kg/km",K61*E61/1000,IF(H61="kg/p.km",E61*#REF!*K61/1000,E61*#REF!*K61/1000))),"-")</f>
        <v/>
      </c>
      <c r="O61" s="961" t="str">
        <f>IF(B61="","",IF(D61="","",L61*'Fatores de Emissão'!$E$252+'Combustão Móvel'!M61*'Fatores de Emissão'!$E$248+'Combustão Móvel'!N61*'Fatores de Emissão'!$E$249))</f>
        <v/>
      </c>
    </row>
    <row r="62" spans="1:15" s="357" customFormat="1" ht="19.899999999999999" hidden="1" customHeight="1" outlineLevel="2" x14ac:dyDescent="0.35">
      <c r="B62" s="454"/>
      <c r="C62" s="454"/>
      <c r="D62" s="454"/>
      <c r="E62" s="541"/>
      <c r="F62" s="455"/>
      <c r="G62" s="456"/>
      <c r="H62" s="542" t="str">
        <f>IF(D62="","",VLOOKUP(D62,'Fatores de Emissão'!$D$86:$F$96,3,FALSE))</f>
        <v/>
      </c>
      <c r="I62" s="1023" t="str">
        <f>IF(OR($D62="",$D62="-"),"",VLOOKUP($D62,'Fatores de Emissão'!$D$86:$E$96,2,FALSE))</f>
        <v/>
      </c>
      <c r="J62" s="1023" t="str">
        <f>IF(OR($D62="",$D62="-"),"",VLOOKUP($D62,'Fatores de Emissão'!$D$86:$G$96,4,FALSE))</f>
        <v/>
      </c>
      <c r="K62" s="1023" t="str">
        <f>IF(OR($D62="",$D62="-"),"",VLOOKUP($D62,'Fatores de Emissão'!$D$86:$I$96,6,FALSE))</f>
        <v/>
      </c>
      <c r="L62" s="960" t="str">
        <f>IFERROR(IF((OR($D62="",$D62="-")),"",IF(H62="kg/km",I62*E62/1000,IF(H62="kg/p.km",E62*#REF!*I62/1000,E62*#REF!*I62/1000))),"-")</f>
        <v/>
      </c>
      <c r="M62" s="1023" t="str">
        <f>IFERROR(IF((OR($D62="",$D62="-")),"",IF(H62="kg/km",J62*E62/1000,IF(H62="kg/p.km",E62*#REF!*J62/1000,E62*#REF!*J62/1000))),"-")</f>
        <v/>
      </c>
      <c r="N62" s="1023" t="str">
        <f>IFERROR(IF((OR($D62="",$D62="-")),"",IF(H62="kg/km",K62*E62/1000,IF(H62="kg/p.km",E62*#REF!*K62/1000,E62*#REF!*K62/1000))),"-")</f>
        <v/>
      </c>
      <c r="O62" s="961" t="str">
        <f>IF(B62="","",IF(D62="","",L62*'Fatores de Emissão'!$E$252+'Combustão Móvel'!M62*'Fatores de Emissão'!$E$248+'Combustão Móvel'!N62*'Fatores de Emissão'!$E$249))</f>
        <v/>
      </c>
    </row>
    <row r="63" spans="1:15" s="357" customFormat="1" ht="19.899999999999999" hidden="1" customHeight="1" outlineLevel="2" x14ac:dyDescent="0.35">
      <c r="B63" s="454"/>
      <c r="C63" s="454"/>
      <c r="D63" s="454"/>
      <c r="E63" s="541"/>
      <c r="F63" s="455"/>
      <c r="G63" s="456"/>
      <c r="H63" s="542" t="str">
        <f>IF(D63="","",VLOOKUP(D63,'Fatores de Emissão'!$D$86:$F$96,3,FALSE))</f>
        <v/>
      </c>
      <c r="I63" s="1023" t="str">
        <f>IF(OR($D63="",$D63="-"),"",VLOOKUP($D63,'Fatores de Emissão'!$D$86:$E$96,2,FALSE))</f>
        <v/>
      </c>
      <c r="J63" s="1023" t="str">
        <f>IF(OR($D63="",$D63="-"),"",VLOOKUP($D63,'Fatores de Emissão'!$D$86:$G$96,4,FALSE))</f>
        <v/>
      </c>
      <c r="K63" s="1023" t="str">
        <f>IF(OR($D63="",$D63="-"),"",VLOOKUP($D63,'Fatores de Emissão'!$D$86:$I$96,6,FALSE))</f>
        <v/>
      </c>
      <c r="L63" s="960" t="str">
        <f>IFERROR(IF((OR($D63="",$D63="-")),"",IF(H63="kg/km",I63*E63/1000,IF(H63="kg/p.km",E63*#REF!*I63/1000,E63*#REF!*I63/1000))),"-")</f>
        <v/>
      </c>
      <c r="M63" s="1023" t="str">
        <f>IFERROR(IF((OR($D63="",$D63="-")),"",IF(H63="kg/km",J63*E63/1000,IF(H63="kg/p.km",E63*#REF!*J63/1000,E63*#REF!*J63/1000))),"-")</f>
        <v/>
      </c>
      <c r="N63" s="1023" t="str">
        <f>IFERROR(IF((OR($D63="",$D63="-")),"",IF(H63="kg/km",K63*E63/1000,IF(H63="kg/p.km",E63*#REF!*K63/1000,E63*#REF!*K63/1000))),"-")</f>
        <v/>
      </c>
      <c r="O63" s="961" t="str">
        <f>IF(B63="","",IF(D63="","",L63*'Fatores de Emissão'!$E$252+'Combustão Móvel'!M63*'Fatores de Emissão'!$E$248+'Combustão Móvel'!N63*'Fatores de Emissão'!$E$249))</f>
        <v/>
      </c>
    </row>
    <row r="64" spans="1:15" s="357" customFormat="1" ht="19.899999999999999" hidden="1" customHeight="1" outlineLevel="2" x14ac:dyDescent="0.35">
      <c r="B64" s="454"/>
      <c r="C64" s="454"/>
      <c r="D64" s="454"/>
      <c r="E64" s="541"/>
      <c r="F64" s="455"/>
      <c r="G64" s="456"/>
      <c r="H64" s="542" t="str">
        <f>IF(D64="","",VLOOKUP(D64,'Fatores de Emissão'!$D$86:$F$96,3,FALSE))</f>
        <v/>
      </c>
      <c r="I64" s="1023" t="str">
        <f>IF(OR($D64="",$D64="-"),"",VLOOKUP($D64,'Fatores de Emissão'!$D$86:$E$96,2,FALSE))</f>
        <v/>
      </c>
      <c r="J64" s="1023" t="str">
        <f>IF(OR($D64="",$D64="-"),"",VLOOKUP($D64,'Fatores de Emissão'!$D$86:$G$96,4,FALSE))</f>
        <v/>
      </c>
      <c r="K64" s="1023" t="str">
        <f>IF(OR($D64="",$D64="-"),"",VLOOKUP($D64,'Fatores de Emissão'!$D$86:$I$96,6,FALSE))</f>
        <v/>
      </c>
      <c r="L64" s="960" t="str">
        <f>IFERROR(IF((OR($D64="",$D64="-")),"",IF(H64="kg/km",I64*E64/1000,IF(H64="kg/p.km",E64*#REF!*I64/1000,E64*#REF!*I64/1000))),"-")</f>
        <v/>
      </c>
      <c r="M64" s="1023" t="str">
        <f>IFERROR(IF((OR($D64="",$D64="-")),"",IF(H64="kg/km",J64*E64/1000,IF(H64="kg/p.km",E64*#REF!*J64/1000,E64*#REF!*J64/1000))),"-")</f>
        <v/>
      </c>
      <c r="N64" s="1023" t="str">
        <f>IFERROR(IF((OR($D64="",$D64="-")),"",IF(H64="kg/km",K64*E64/1000,IF(H64="kg/p.km",E64*#REF!*K64/1000,E64*#REF!*K64/1000))),"-")</f>
        <v/>
      </c>
      <c r="O64" s="961" t="str">
        <f>IF(B64="","",IF(D64="","",L64*'Fatores de Emissão'!$E$252+'Combustão Móvel'!M64*'Fatores de Emissão'!$E$248+'Combustão Móvel'!N64*'Fatores de Emissão'!$E$249))</f>
        <v/>
      </c>
    </row>
    <row r="65" spans="2:15" s="357" customFormat="1" ht="19.899999999999999" hidden="1" customHeight="1" outlineLevel="2" x14ac:dyDescent="0.35">
      <c r="B65" s="454"/>
      <c r="C65" s="454"/>
      <c r="D65" s="454"/>
      <c r="E65" s="541"/>
      <c r="F65" s="455"/>
      <c r="G65" s="456"/>
      <c r="H65" s="542" t="str">
        <f>IF(D65="","",VLOOKUP(D65,'Fatores de Emissão'!$D$86:$F$96,3,FALSE))</f>
        <v/>
      </c>
      <c r="I65" s="1023" t="str">
        <f>IF(OR($D65="",$D65="-"),"",VLOOKUP($D65,'Fatores de Emissão'!$D$86:$E$96,2,FALSE))</f>
        <v/>
      </c>
      <c r="J65" s="1023" t="str">
        <f>IF(OR($D65="",$D65="-"),"",VLOOKUP($D65,'Fatores de Emissão'!$D$86:$G$96,4,FALSE))</f>
        <v/>
      </c>
      <c r="K65" s="1023" t="str">
        <f>IF(OR($D65="",$D65="-"),"",VLOOKUP($D65,'Fatores de Emissão'!$D$86:$I$96,6,FALSE))</f>
        <v/>
      </c>
      <c r="L65" s="960" t="str">
        <f>IFERROR(IF((OR($D65="",$D65="-")),"",IF(H65="kg/km",I65*E65/1000,IF(H65="kg/p.km",E65*#REF!*I65/1000,E65*#REF!*I65/1000))),"-")</f>
        <v/>
      </c>
      <c r="M65" s="1023" t="str">
        <f>IFERROR(IF((OR($D65="",$D65="-")),"",IF(H65="kg/km",J65*E65/1000,IF(H65="kg/p.km",E65*#REF!*J65/1000,E65*#REF!*J65/1000))),"-")</f>
        <v/>
      </c>
      <c r="N65" s="1023" t="str">
        <f>IFERROR(IF((OR($D65="",$D65="-")),"",IF(H65="kg/km",K65*E65/1000,IF(H65="kg/p.km",E65*#REF!*K65/1000,E65*#REF!*K65/1000))),"-")</f>
        <v/>
      </c>
      <c r="O65" s="961" t="str">
        <f>IF(B65="","",IF(D65="","",L65*'Fatores de Emissão'!$E$252+'Combustão Móvel'!M65*'Fatores de Emissão'!$E$248+'Combustão Móvel'!N65*'Fatores de Emissão'!$E$249))</f>
        <v/>
      </c>
    </row>
    <row r="66" spans="2:15" s="357" customFormat="1" ht="19.899999999999999" hidden="1" customHeight="1" outlineLevel="2" x14ac:dyDescent="0.35">
      <c r="B66" s="454"/>
      <c r="C66" s="454"/>
      <c r="D66" s="454"/>
      <c r="E66" s="541"/>
      <c r="F66" s="455"/>
      <c r="G66" s="456"/>
      <c r="H66" s="542" t="str">
        <f>IF(D66="","",VLOOKUP(D66,'Fatores de Emissão'!$D$86:$F$96,3,FALSE))</f>
        <v/>
      </c>
      <c r="I66" s="1023" t="str">
        <f>IF(OR($D66="",$D66="-"),"",VLOOKUP($D66,'Fatores de Emissão'!$D$86:$E$96,2,FALSE))</f>
        <v/>
      </c>
      <c r="J66" s="1023" t="str">
        <f>IF(OR($D66="",$D66="-"),"",VLOOKUP($D66,'Fatores de Emissão'!$D$86:$G$96,4,FALSE))</f>
        <v/>
      </c>
      <c r="K66" s="1023" t="str">
        <f>IF(OR($D66="",$D66="-"),"",VLOOKUP($D66,'Fatores de Emissão'!$D$86:$I$96,6,FALSE))</f>
        <v/>
      </c>
      <c r="L66" s="960" t="str">
        <f>IFERROR(IF((OR($D66="",$D66="-")),"",IF(H66="kg/km",I66*E66/1000,IF(H66="kg/p.km",E66*#REF!*I66/1000,E66*#REF!*I66/1000))),"-")</f>
        <v/>
      </c>
      <c r="M66" s="1023" t="str">
        <f>IFERROR(IF((OR($D66="",$D66="-")),"",IF(H66="kg/km",J66*E66/1000,IF(H66="kg/p.km",E66*#REF!*J66/1000,E66*#REF!*J66/1000))),"-")</f>
        <v/>
      </c>
      <c r="N66" s="1023" t="str">
        <f>IFERROR(IF((OR($D66="",$D66="-")),"",IF(H66="kg/km",K66*E66/1000,IF(H66="kg/p.km",E66*#REF!*K66/1000,E66*#REF!*K66/1000))),"-")</f>
        <v/>
      </c>
      <c r="O66" s="961" t="str">
        <f>IF(B66="","",IF(D66="","",L66*'Fatores de Emissão'!$E$252+'Combustão Móvel'!M66*'Fatores de Emissão'!$E$248+'Combustão Móvel'!N66*'Fatores de Emissão'!$E$249))</f>
        <v/>
      </c>
    </row>
    <row r="67" spans="2:15" s="357" customFormat="1" ht="19.899999999999999" hidden="1" customHeight="1" outlineLevel="2" x14ac:dyDescent="0.35">
      <c r="B67" s="454"/>
      <c r="C67" s="454"/>
      <c r="D67" s="454"/>
      <c r="E67" s="541"/>
      <c r="F67" s="455"/>
      <c r="G67" s="456"/>
      <c r="H67" s="542" t="str">
        <f>IF(D67="","",VLOOKUP(D67,'Fatores de Emissão'!$D$86:$F$96,3,FALSE))</f>
        <v/>
      </c>
      <c r="I67" s="1023" t="str">
        <f>IF(OR($D67="",$D67="-"),"",VLOOKUP($D67,'Fatores de Emissão'!$D$86:$E$96,2,FALSE))</f>
        <v/>
      </c>
      <c r="J67" s="1023" t="str">
        <f>IF(OR($D67="",$D67="-"),"",VLOOKUP($D67,'Fatores de Emissão'!$D$86:$G$96,4,FALSE))</f>
        <v/>
      </c>
      <c r="K67" s="1023" t="str">
        <f>IF(OR($D67="",$D67="-"),"",VLOOKUP($D67,'Fatores de Emissão'!$D$86:$I$96,6,FALSE))</f>
        <v/>
      </c>
      <c r="L67" s="960" t="str">
        <f>IFERROR(IF((OR($D67="",$D67="-")),"",IF(H67="kg/km",I67*E67/1000,IF(H67="kg/p.km",E67*#REF!*I67/1000,E67*#REF!*I67/1000))),"-")</f>
        <v/>
      </c>
      <c r="M67" s="1023" t="str">
        <f>IFERROR(IF((OR($D67="",$D67="-")),"",IF(H67="kg/km",J67*E67/1000,IF(H67="kg/p.km",E67*#REF!*J67/1000,E67*#REF!*J67/1000))),"-")</f>
        <v/>
      </c>
      <c r="N67" s="1023" t="str">
        <f>IFERROR(IF((OR($D67="",$D67="-")),"",IF(H67="kg/km",K67*E67/1000,IF(H67="kg/p.km",E67*#REF!*K67/1000,E67*#REF!*K67/1000))),"-")</f>
        <v/>
      </c>
      <c r="O67" s="961" t="str">
        <f>IF(B67="","",IF(D67="","",L67*'Fatores de Emissão'!$E$252+'Combustão Móvel'!M67*'Fatores de Emissão'!$E$248+'Combustão Móvel'!N67*'Fatores de Emissão'!$E$249))</f>
        <v/>
      </c>
    </row>
    <row r="68" spans="2:15" s="357" customFormat="1" ht="19.899999999999999" hidden="1" customHeight="1" outlineLevel="2" x14ac:dyDescent="0.35">
      <c r="B68" s="454"/>
      <c r="C68" s="454"/>
      <c r="D68" s="454"/>
      <c r="E68" s="541"/>
      <c r="F68" s="455"/>
      <c r="G68" s="456"/>
      <c r="H68" s="542" t="str">
        <f>IF(D68="","",VLOOKUP(D68,'Fatores de Emissão'!$D$86:$F$96,3,FALSE))</f>
        <v/>
      </c>
      <c r="I68" s="1023" t="str">
        <f>IF(OR($D68="",$D68="-"),"",VLOOKUP($D68,'Fatores de Emissão'!$D$86:$E$96,2,FALSE))</f>
        <v/>
      </c>
      <c r="J68" s="1023" t="str">
        <f>IF(OR($D68="",$D68="-"),"",VLOOKUP($D68,'Fatores de Emissão'!$D$86:$G$96,4,FALSE))</f>
        <v/>
      </c>
      <c r="K68" s="1023" t="str">
        <f>IF(OR($D68="",$D68="-"),"",VLOOKUP($D68,'Fatores de Emissão'!$D$86:$I$96,6,FALSE))</f>
        <v/>
      </c>
      <c r="L68" s="960" t="str">
        <f>IFERROR(IF((OR($D68="",$D68="-")),"",IF(H68="kg/km",I68*E68/1000,IF(H68="kg/p.km",E68*#REF!*I68/1000,E68*#REF!*I68/1000))),"-")</f>
        <v/>
      </c>
      <c r="M68" s="1023" t="str">
        <f>IFERROR(IF((OR($D68="",$D68="-")),"",IF(H68="kg/km",J68*E68/1000,IF(H68="kg/p.km",E68*#REF!*J68/1000,E68*#REF!*J68/1000))),"-")</f>
        <v/>
      </c>
      <c r="N68" s="1023" t="str">
        <f>IFERROR(IF((OR($D68="",$D68="-")),"",IF(H68="kg/km",K68*E68/1000,IF(H68="kg/p.km",E68*#REF!*K68/1000,E68*#REF!*K68/1000))),"-")</f>
        <v/>
      </c>
      <c r="O68" s="961" t="str">
        <f>IF(B68="","",IF(D68="","",L68*'Fatores de Emissão'!$E$252+'Combustão Móvel'!M68*'Fatores de Emissão'!$E$248+'Combustão Móvel'!N68*'Fatores de Emissão'!$E$249))</f>
        <v/>
      </c>
    </row>
    <row r="69" spans="2:15" s="357" customFormat="1" ht="19.899999999999999" hidden="1" customHeight="1" outlineLevel="2" x14ac:dyDescent="0.35">
      <c r="B69" s="454"/>
      <c r="C69" s="454"/>
      <c r="D69" s="454"/>
      <c r="E69" s="541"/>
      <c r="F69" s="455"/>
      <c r="G69" s="456"/>
      <c r="H69" s="542" t="str">
        <f>IF(D69="","",VLOOKUP(D69,'Fatores de Emissão'!$D$86:$F$96,3,FALSE))</f>
        <v/>
      </c>
      <c r="I69" s="1023" t="str">
        <f>IF(OR($D69="",$D69="-"),"",VLOOKUP($D69,'Fatores de Emissão'!$D$86:$E$96,2,FALSE))</f>
        <v/>
      </c>
      <c r="J69" s="1023" t="str">
        <f>IF(OR($D69="",$D69="-"),"",VLOOKUP($D69,'Fatores de Emissão'!$D$86:$G$96,4,FALSE))</f>
        <v/>
      </c>
      <c r="K69" s="1023" t="str">
        <f>IF(OR($D69="",$D69="-"),"",VLOOKUP($D69,'Fatores de Emissão'!$D$86:$I$96,6,FALSE))</f>
        <v/>
      </c>
      <c r="L69" s="960" t="str">
        <f>IFERROR(IF((OR($D69="",$D69="-")),"",IF(H69="kg/km",I69*E69/1000,IF(H69="kg/p.km",E69*#REF!*I69/1000,E69*#REF!*I69/1000))),"-")</f>
        <v/>
      </c>
      <c r="M69" s="1023" t="str">
        <f>IFERROR(IF((OR($D69="",$D69="-")),"",IF(H69="kg/km",J69*E69/1000,IF(H69="kg/p.km",E69*#REF!*J69/1000,E69*#REF!*J69/1000))),"-")</f>
        <v/>
      </c>
      <c r="N69" s="1023" t="str">
        <f>IFERROR(IF((OR($D69="",$D69="-")),"",IF(H69="kg/km",K69*E69/1000,IF(H69="kg/p.km",E69*#REF!*K69/1000,E69*#REF!*K69/1000))),"-")</f>
        <v/>
      </c>
      <c r="O69" s="961" t="str">
        <f>IF(B69="","",IF(D69="","",L69*'Fatores de Emissão'!$E$252+'Combustão Móvel'!M69*'Fatores de Emissão'!$E$248+'Combustão Móvel'!N69*'Fatores de Emissão'!$E$249))</f>
        <v/>
      </c>
    </row>
    <row r="70" spans="2:15" s="357" customFormat="1" ht="19.899999999999999" hidden="1" customHeight="1" outlineLevel="2" x14ac:dyDescent="0.35">
      <c r="B70" s="454"/>
      <c r="C70" s="454"/>
      <c r="D70" s="454"/>
      <c r="E70" s="541"/>
      <c r="F70" s="455"/>
      <c r="G70" s="456"/>
      <c r="H70" s="542" t="str">
        <f>IF(D70="","",VLOOKUP(D70,'Fatores de Emissão'!$D$86:$F$96,3,FALSE))</f>
        <v/>
      </c>
      <c r="I70" s="1023" t="str">
        <f>IF(OR($D70="",$D70="-"),"",VLOOKUP($D70,'Fatores de Emissão'!$D$86:$E$96,2,FALSE))</f>
        <v/>
      </c>
      <c r="J70" s="1023" t="str">
        <f>IF(OR($D70="",$D70="-"),"",VLOOKUP($D70,'Fatores de Emissão'!$D$86:$G$96,4,FALSE))</f>
        <v/>
      </c>
      <c r="K70" s="1023" t="str">
        <f>IF(OR($D70="",$D70="-"),"",VLOOKUP($D70,'Fatores de Emissão'!$D$86:$I$96,6,FALSE))</f>
        <v/>
      </c>
      <c r="L70" s="960" t="str">
        <f>IFERROR(IF((OR($D70="",$D70="-")),"",IF(H70="kg/km",I70*E70/1000,IF(H70="kg/p.km",E70*#REF!*I70/1000,E70*#REF!*I70/1000))),"-")</f>
        <v/>
      </c>
      <c r="M70" s="1023" t="str">
        <f>IFERROR(IF((OR($D70="",$D70="-")),"",IF(H70="kg/km",J70*E70/1000,IF(H70="kg/p.km",E70*#REF!*J70/1000,E70*#REF!*J70/1000))),"-")</f>
        <v/>
      </c>
      <c r="N70" s="1023" t="str">
        <f>IFERROR(IF((OR($D70="",$D70="-")),"",IF(H70="kg/km",K70*E70/1000,IF(H70="kg/p.km",E70*#REF!*K70/1000,E70*#REF!*K70/1000))),"-")</f>
        <v/>
      </c>
      <c r="O70" s="961" t="str">
        <f>IF(B70="","",IF(D70="","",L70*'Fatores de Emissão'!$E$252+'Combustão Móvel'!M70*'Fatores de Emissão'!$E$248+'Combustão Móvel'!N70*'Fatores de Emissão'!$E$249))</f>
        <v/>
      </c>
    </row>
    <row r="71" spans="2:15" s="357" customFormat="1" ht="19.899999999999999" hidden="1" customHeight="1" outlineLevel="2" x14ac:dyDescent="0.35">
      <c r="B71" s="454"/>
      <c r="C71" s="454"/>
      <c r="D71" s="454"/>
      <c r="E71" s="541"/>
      <c r="F71" s="455"/>
      <c r="G71" s="456"/>
      <c r="H71" s="542" t="str">
        <f>IF(D71="","",VLOOKUP(D71,'Fatores de Emissão'!$D$86:$F$96,3,FALSE))</f>
        <v/>
      </c>
      <c r="I71" s="1023" t="str">
        <f>IF(OR($D71="",$D71="-"),"",VLOOKUP($D71,'Fatores de Emissão'!$D$86:$E$96,2,FALSE))</f>
        <v/>
      </c>
      <c r="J71" s="1023" t="str">
        <f>IF(OR($D71="",$D71="-"),"",VLOOKUP($D71,'Fatores de Emissão'!$D$86:$G$96,4,FALSE))</f>
        <v/>
      </c>
      <c r="K71" s="1023" t="str">
        <f>IF(OR($D71="",$D71="-"),"",VLOOKUP($D71,'Fatores de Emissão'!$D$86:$I$96,6,FALSE))</f>
        <v/>
      </c>
      <c r="L71" s="960" t="str">
        <f>IFERROR(IF((OR($D71="",$D71="-")),"",IF(H71="kg/km",I71*E71/1000,IF(H71="kg/p.km",E71*#REF!*I71/1000,E71*#REF!*I71/1000))),"-")</f>
        <v/>
      </c>
      <c r="M71" s="1023" t="str">
        <f>IFERROR(IF((OR($D71="",$D71="-")),"",IF(H71="kg/km",J71*E71/1000,IF(H71="kg/p.km",E71*#REF!*J71/1000,E71*#REF!*J71/1000))),"-")</f>
        <v/>
      </c>
      <c r="N71" s="1023" t="str">
        <f>IFERROR(IF((OR($D71="",$D71="-")),"",IF(H71="kg/km",K71*E71/1000,IF(H71="kg/p.km",E71*#REF!*K71/1000,E71*#REF!*K71/1000))),"-")</f>
        <v/>
      </c>
      <c r="O71" s="961" t="str">
        <f>IF(B71="","",IF(D71="","",L71*'Fatores de Emissão'!$E$252+'Combustão Móvel'!M71*'Fatores de Emissão'!$E$248+'Combustão Móvel'!N71*'Fatores de Emissão'!$E$249))</f>
        <v/>
      </c>
    </row>
    <row r="72" spans="2:15" s="357" customFormat="1" ht="19.899999999999999" hidden="1" customHeight="1" outlineLevel="2" x14ac:dyDescent="0.35">
      <c r="B72" s="454"/>
      <c r="C72" s="454"/>
      <c r="D72" s="454"/>
      <c r="E72" s="541"/>
      <c r="F72" s="455"/>
      <c r="G72" s="456"/>
      <c r="H72" s="542" t="str">
        <f>IF(D72="","",VLOOKUP(D72,'Fatores de Emissão'!$D$86:$F$96,3,FALSE))</f>
        <v/>
      </c>
      <c r="I72" s="1023" t="str">
        <f>IF(OR($D72="",$D72="-"),"",VLOOKUP($D72,'Fatores de Emissão'!$D$86:$E$96,2,FALSE))</f>
        <v/>
      </c>
      <c r="J72" s="1023" t="str">
        <f>IF(OR($D72="",$D72="-"),"",VLOOKUP($D72,'Fatores de Emissão'!$D$86:$G$96,4,FALSE))</f>
        <v/>
      </c>
      <c r="K72" s="1023" t="str">
        <f>IF(OR($D72="",$D72="-"),"",VLOOKUP($D72,'Fatores de Emissão'!$D$86:$I$96,6,FALSE))</f>
        <v/>
      </c>
      <c r="L72" s="960" t="str">
        <f>IFERROR(IF((OR($D72="",$D72="-")),"",IF(H72="kg/km",I72*E72/1000,IF(H72="kg/p.km",E72*#REF!*I72/1000,E72*#REF!*I72/1000))),"-")</f>
        <v/>
      </c>
      <c r="M72" s="1023" t="str">
        <f>IFERROR(IF((OR($D72="",$D72="-")),"",IF(H72="kg/km",J72*E72/1000,IF(H72="kg/p.km",E72*#REF!*J72/1000,E72*#REF!*J72/1000))),"-")</f>
        <v/>
      </c>
      <c r="N72" s="1023" t="str">
        <f>IFERROR(IF((OR($D72="",$D72="-")),"",IF(H72="kg/km",K72*E72/1000,IF(H72="kg/p.km",E72*#REF!*K72/1000,E72*#REF!*K72/1000))),"-")</f>
        <v/>
      </c>
      <c r="O72" s="961" t="str">
        <f>IF(B72="","",IF(D72="","",L72*'Fatores de Emissão'!$E$252+'Combustão Móvel'!M72*'Fatores de Emissão'!$E$248+'Combustão Móvel'!N72*'Fatores de Emissão'!$E$249))</f>
        <v/>
      </c>
    </row>
    <row r="73" spans="2:15" s="357" customFormat="1" ht="19.899999999999999" hidden="1" customHeight="1" outlineLevel="2" x14ac:dyDescent="0.35">
      <c r="B73" s="454"/>
      <c r="C73" s="454"/>
      <c r="D73" s="454"/>
      <c r="E73" s="541"/>
      <c r="F73" s="455"/>
      <c r="G73" s="456"/>
      <c r="H73" s="542" t="str">
        <f>IF(D73="","",VLOOKUP(D73,'Fatores de Emissão'!$D$86:$F$96,3,FALSE))</f>
        <v/>
      </c>
      <c r="I73" s="1023" t="str">
        <f>IF(OR($D73="",$D73="-"),"",VLOOKUP($D73,'Fatores de Emissão'!$D$86:$E$96,2,FALSE))</f>
        <v/>
      </c>
      <c r="J73" s="1023" t="str">
        <f>IF(OR($D73="",$D73="-"),"",VLOOKUP($D73,'Fatores de Emissão'!$D$86:$G$96,4,FALSE))</f>
        <v/>
      </c>
      <c r="K73" s="1023" t="str">
        <f>IF(OR($D73="",$D73="-"),"",VLOOKUP($D73,'Fatores de Emissão'!$D$86:$I$96,6,FALSE))</f>
        <v/>
      </c>
      <c r="L73" s="960" t="str">
        <f>IFERROR(IF((OR($D73="",$D73="-")),"",IF(H73="kg/km",I73*E73/1000,IF(H73="kg/p.km",E73*#REF!*I73/1000,E73*#REF!*I73/1000))),"-")</f>
        <v/>
      </c>
      <c r="M73" s="1023" t="str">
        <f>IFERROR(IF((OR($D73="",$D73="-")),"",IF(H73="kg/km",J73*E73/1000,IF(H73="kg/p.km",E73*#REF!*J73/1000,E73*#REF!*J73/1000))),"-")</f>
        <v/>
      </c>
      <c r="N73" s="1023" t="str">
        <f>IFERROR(IF((OR($D73="",$D73="-")),"",IF(H73="kg/km",K73*E73/1000,IF(H73="kg/p.km",E73*#REF!*K73/1000,E73*#REF!*K73/1000))),"-")</f>
        <v/>
      </c>
      <c r="O73" s="961" t="str">
        <f>IF(B73="","",IF(D73="","",L73*'Fatores de Emissão'!$E$252+'Combustão Móvel'!M73*'Fatores de Emissão'!$E$248+'Combustão Móvel'!N73*'Fatores de Emissão'!$E$249))</f>
        <v/>
      </c>
    </row>
    <row r="74" spans="2:15" s="357" customFormat="1" ht="19.899999999999999" hidden="1" customHeight="1" outlineLevel="2" x14ac:dyDescent="0.35">
      <c r="B74" s="454"/>
      <c r="C74" s="454"/>
      <c r="D74" s="454"/>
      <c r="E74" s="541"/>
      <c r="F74" s="455"/>
      <c r="G74" s="456"/>
      <c r="H74" s="542" t="str">
        <f>IF(D74="","",VLOOKUP(D74,'Fatores de Emissão'!$D$86:$F$96,3,FALSE))</f>
        <v/>
      </c>
      <c r="I74" s="1023" t="str">
        <f>IF(OR($D74="",$D74="-"),"",VLOOKUP($D74,'Fatores de Emissão'!$D$86:$E$96,2,FALSE))</f>
        <v/>
      </c>
      <c r="J74" s="1023" t="str">
        <f>IF(OR($D74="",$D74="-"),"",VLOOKUP($D74,'Fatores de Emissão'!$D$86:$G$96,4,FALSE))</f>
        <v/>
      </c>
      <c r="K74" s="1023" t="str">
        <f>IF(OR($D74="",$D74="-"),"",VLOOKUP($D74,'Fatores de Emissão'!$D$86:$I$96,6,FALSE))</f>
        <v/>
      </c>
      <c r="L74" s="960" t="str">
        <f>IFERROR(IF((OR($D74="",$D74="-")),"",IF(H74="kg/km",I74*E74/1000,IF(H74="kg/p.km",E74*#REF!*I74/1000,E74*#REF!*I74/1000))),"-")</f>
        <v/>
      </c>
      <c r="M74" s="1023" t="str">
        <f>IFERROR(IF((OR($D74="",$D74="-")),"",IF(H74="kg/km",J74*E74/1000,IF(H74="kg/p.km",E74*#REF!*J74/1000,E74*#REF!*J74/1000))),"-")</f>
        <v/>
      </c>
      <c r="N74" s="1023" t="str">
        <f>IFERROR(IF((OR($D74="",$D74="-")),"",IF(H74="kg/km",K74*E74/1000,IF(H74="kg/p.km",E74*#REF!*K74/1000,E74*#REF!*K74/1000))),"-")</f>
        <v/>
      </c>
      <c r="O74" s="961" t="str">
        <f>IF(B74="","",IF(D74="","",L74*'Fatores de Emissão'!$E$252+'Combustão Móvel'!M74*'Fatores de Emissão'!$E$248+'Combustão Móvel'!N74*'Fatores de Emissão'!$E$249))</f>
        <v/>
      </c>
    </row>
    <row r="75" spans="2:15" s="357" customFormat="1" ht="19.899999999999999" hidden="1" customHeight="1" outlineLevel="2" x14ac:dyDescent="0.35">
      <c r="B75" s="454"/>
      <c r="C75" s="454"/>
      <c r="D75" s="454"/>
      <c r="E75" s="541"/>
      <c r="F75" s="455"/>
      <c r="G75" s="456"/>
      <c r="H75" s="542" t="str">
        <f>IF(D75="","",VLOOKUP(D75,'Fatores de Emissão'!$D$86:$F$96,3,FALSE))</f>
        <v/>
      </c>
      <c r="I75" s="1023" t="str">
        <f>IF(OR($D75="",$D75="-"),"",VLOOKUP($D75,'Fatores de Emissão'!$D$86:$E$96,2,FALSE))</f>
        <v/>
      </c>
      <c r="J75" s="1023" t="str">
        <f>IF(OR($D75="",$D75="-"),"",VLOOKUP($D75,'Fatores de Emissão'!$D$86:$G$96,4,FALSE))</f>
        <v/>
      </c>
      <c r="K75" s="1023" t="str">
        <f>IF(OR($D75="",$D75="-"),"",VLOOKUP($D75,'Fatores de Emissão'!$D$86:$I$96,6,FALSE))</f>
        <v/>
      </c>
      <c r="L75" s="960" t="str">
        <f>IFERROR(IF((OR($D75="",$D75="-")),"",IF(H75="kg/km",I75*E75/1000,IF(H75="kg/p.km",E75*#REF!*I75/1000,E75*#REF!*I75/1000))),"-")</f>
        <v/>
      </c>
      <c r="M75" s="1023" t="str">
        <f>IFERROR(IF((OR($D75="",$D75="-")),"",IF(H75="kg/km",J75*E75/1000,IF(H75="kg/p.km",E75*#REF!*J75/1000,E75*#REF!*J75/1000))),"-")</f>
        <v/>
      </c>
      <c r="N75" s="1023" t="str">
        <f>IFERROR(IF((OR($D75="",$D75="-")),"",IF(H75="kg/km",K75*E75/1000,IF(H75="kg/p.km",E75*#REF!*K75/1000,E75*#REF!*K75/1000))),"-")</f>
        <v/>
      </c>
      <c r="O75" s="961" t="str">
        <f>IF(B75="","",IF(D75="","",L75*'Fatores de Emissão'!$E$252+'Combustão Móvel'!M75*'Fatores de Emissão'!$E$248+'Combustão Móvel'!N75*'Fatores de Emissão'!$E$249))</f>
        <v/>
      </c>
    </row>
    <row r="76" spans="2:15" s="357" customFormat="1" ht="19.899999999999999" hidden="1" customHeight="1" outlineLevel="2" x14ac:dyDescent="0.35">
      <c r="B76" s="454"/>
      <c r="C76" s="454"/>
      <c r="D76" s="454"/>
      <c r="E76" s="541"/>
      <c r="F76" s="455"/>
      <c r="G76" s="456"/>
      <c r="H76" s="542" t="str">
        <f>IF(D76="","",VLOOKUP(D76,'Fatores de Emissão'!$D$86:$F$96,3,FALSE))</f>
        <v/>
      </c>
      <c r="I76" s="1023" t="str">
        <f>IF(OR($D76="",$D76="-"),"",VLOOKUP($D76,'Fatores de Emissão'!$D$86:$E$96,2,FALSE))</f>
        <v/>
      </c>
      <c r="J76" s="1023" t="str">
        <f>IF(OR($D76="",$D76="-"),"",VLOOKUP($D76,'Fatores de Emissão'!$D$86:$G$96,4,FALSE))</f>
        <v/>
      </c>
      <c r="K76" s="1023" t="str">
        <f>IF(OR($D76="",$D76="-"),"",VLOOKUP($D76,'Fatores de Emissão'!$D$86:$I$96,6,FALSE))</f>
        <v/>
      </c>
      <c r="L76" s="960" t="str">
        <f>IFERROR(IF((OR($D76="",$D76="-")),"",IF(H76="kg/km",I76*E76/1000,IF(H76="kg/p.km",E76*#REF!*I76/1000,E76*#REF!*I76/1000))),"-")</f>
        <v/>
      </c>
      <c r="M76" s="1023" t="str">
        <f>IFERROR(IF((OR($D76="",$D76="-")),"",IF(H76="kg/km",J76*E76/1000,IF(H76="kg/p.km",E76*#REF!*J76/1000,E76*#REF!*J76/1000))),"-")</f>
        <v/>
      </c>
      <c r="N76" s="1023" t="str">
        <f>IFERROR(IF((OR($D76="",$D76="-")),"",IF(H76="kg/km",K76*E76/1000,IF(H76="kg/p.km",E76*#REF!*K76/1000,E76*#REF!*K76/1000))),"-")</f>
        <v/>
      </c>
      <c r="O76" s="961" t="str">
        <f>IF(B76="","",IF(D76="","",L76*'Fatores de Emissão'!$E$252+'Combustão Móvel'!M76*'Fatores de Emissão'!$E$248+'Combustão Móvel'!N76*'Fatores de Emissão'!$E$249))</f>
        <v/>
      </c>
    </row>
    <row r="77" spans="2:15" s="357" customFormat="1" ht="19.899999999999999" hidden="1" customHeight="1" outlineLevel="2" x14ac:dyDescent="0.35">
      <c r="B77" s="454"/>
      <c r="C77" s="454"/>
      <c r="D77" s="454"/>
      <c r="E77" s="541"/>
      <c r="F77" s="455"/>
      <c r="G77" s="456"/>
      <c r="H77" s="542" t="str">
        <f>IF(D77="","",VLOOKUP(D77,'Fatores de Emissão'!$D$86:$F$96,3,FALSE))</f>
        <v/>
      </c>
      <c r="I77" s="1023" t="str">
        <f>IF(OR($D77="",$D77="-"),"",VLOOKUP($D77,'Fatores de Emissão'!$D$86:$E$96,2,FALSE))</f>
        <v/>
      </c>
      <c r="J77" s="1023" t="str">
        <f>IF(OR($D77="",$D77="-"),"",VLOOKUP($D77,'Fatores de Emissão'!$D$86:$G$96,4,FALSE))</f>
        <v/>
      </c>
      <c r="K77" s="1023" t="str">
        <f>IF(OR($D77="",$D77="-"),"",VLOOKUP($D77,'Fatores de Emissão'!$D$86:$I$96,6,FALSE))</f>
        <v/>
      </c>
      <c r="L77" s="960" t="str">
        <f>IFERROR(IF((OR($D77="",$D77="-")),"",IF(H77="kg/km",I77*E77/1000,IF(H77="kg/p.km",E77*#REF!*I77/1000,E77*#REF!*I77/1000))),"-")</f>
        <v/>
      </c>
      <c r="M77" s="1023" t="str">
        <f>IFERROR(IF((OR($D77="",$D77="-")),"",IF(H77="kg/km",J77*E77/1000,IF(H77="kg/p.km",E77*#REF!*J77/1000,E77*#REF!*J77/1000))),"-")</f>
        <v/>
      </c>
      <c r="N77" s="1023" t="str">
        <f>IFERROR(IF((OR($D77="",$D77="-")),"",IF(H77="kg/km",K77*E77/1000,IF(H77="kg/p.km",E77*#REF!*K77/1000,E77*#REF!*K77/1000))),"-")</f>
        <v/>
      </c>
      <c r="O77" s="961" t="str">
        <f>IF(B77="","",IF(D77="","",L77*'Fatores de Emissão'!$E$252+'Combustão Móvel'!M77*'Fatores de Emissão'!$E$248+'Combustão Móvel'!N77*'Fatores de Emissão'!$E$249))</f>
        <v/>
      </c>
    </row>
    <row r="78" spans="2:15" s="357" customFormat="1" ht="19.899999999999999" hidden="1" customHeight="1" outlineLevel="2" x14ac:dyDescent="0.35">
      <c r="B78" s="454"/>
      <c r="C78" s="454"/>
      <c r="D78" s="454"/>
      <c r="E78" s="541"/>
      <c r="F78" s="455"/>
      <c r="G78" s="456"/>
      <c r="H78" s="542" t="str">
        <f>IF(D78="","",VLOOKUP(D78,'Fatores de Emissão'!$D$86:$F$96,3,FALSE))</f>
        <v/>
      </c>
      <c r="I78" s="1023" t="str">
        <f>IF(OR($D78="",$D78="-"),"",VLOOKUP($D78,'Fatores de Emissão'!$D$86:$E$96,2,FALSE))</f>
        <v/>
      </c>
      <c r="J78" s="1023" t="str">
        <f>IF(OR($D78="",$D78="-"),"",VLOOKUP($D78,'Fatores de Emissão'!$D$86:$G$96,4,FALSE))</f>
        <v/>
      </c>
      <c r="K78" s="1023" t="str">
        <f>IF(OR($D78="",$D78="-"),"",VLOOKUP($D78,'Fatores de Emissão'!$D$86:$I$96,6,FALSE))</f>
        <v/>
      </c>
      <c r="L78" s="960" t="str">
        <f>IFERROR(IF((OR($D78="",$D78="-")),"",IF(H78="kg/km",I78*E78/1000,IF(H78="kg/p.km",E78*#REF!*I78/1000,E78*#REF!*I78/1000))),"-")</f>
        <v/>
      </c>
      <c r="M78" s="1023" t="str">
        <f>IFERROR(IF((OR($D78="",$D78="-")),"",IF(H78="kg/km",J78*E78/1000,IF(H78="kg/p.km",E78*#REF!*J78/1000,E78*#REF!*J78/1000))),"-")</f>
        <v/>
      </c>
      <c r="N78" s="1023" t="str">
        <f>IFERROR(IF((OR($D78="",$D78="-")),"",IF(H78="kg/km",K78*E78/1000,IF(H78="kg/p.km",E78*#REF!*K78/1000,E78*#REF!*K78/1000))),"-")</f>
        <v/>
      </c>
      <c r="O78" s="961" t="str">
        <f>IF(B78="","",IF(D78="","",L78*'Fatores de Emissão'!$E$252+'Combustão Móvel'!M78*'Fatores de Emissão'!$E$248+'Combustão Móvel'!N78*'Fatores de Emissão'!$E$249))</f>
        <v/>
      </c>
    </row>
    <row r="79" spans="2:15" s="357" customFormat="1" ht="19.899999999999999" hidden="1" customHeight="1" outlineLevel="2" x14ac:dyDescent="0.35">
      <c r="B79" s="454"/>
      <c r="C79" s="454"/>
      <c r="D79" s="454"/>
      <c r="E79" s="541"/>
      <c r="F79" s="455"/>
      <c r="G79" s="456"/>
      <c r="H79" s="542" t="str">
        <f>IF(D79="","",VLOOKUP(D79,'Fatores de Emissão'!$D$86:$F$96,3,FALSE))</f>
        <v/>
      </c>
      <c r="I79" s="1023" t="str">
        <f>IF(OR($D79="",$D79="-"),"",VLOOKUP($D79,'Fatores de Emissão'!$D$86:$E$96,2,FALSE))</f>
        <v/>
      </c>
      <c r="J79" s="1023" t="str">
        <f>IF(OR($D79="",$D79="-"),"",VLOOKUP($D79,'Fatores de Emissão'!$D$86:$G$96,4,FALSE))</f>
        <v/>
      </c>
      <c r="K79" s="1023" t="str">
        <f>IF(OR($D79="",$D79="-"),"",VLOOKUP($D79,'Fatores de Emissão'!$D$86:$I$96,6,FALSE))</f>
        <v/>
      </c>
      <c r="L79" s="960" t="str">
        <f>IFERROR(IF((OR($D79="",$D79="-")),"",IF(H79="kg/km",I79*E79/1000,IF(H79="kg/p.km",E79*#REF!*I79/1000,E79*#REF!*I79/1000))),"-")</f>
        <v/>
      </c>
      <c r="M79" s="1023" t="str">
        <f>IFERROR(IF((OR($D79="",$D79="-")),"",IF(H79="kg/km",J79*E79/1000,IF(H79="kg/p.km",E79*#REF!*J79/1000,E79*#REF!*J79/1000))),"-")</f>
        <v/>
      </c>
      <c r="N79" s="1023" t="str">
        <f>IFERROR(IF((OR($D79="",$D79="-")),"",IF(H79="kg/km",K79*E79/1000,IF(H79="kg/p.km",E79*#REF!*K79/1000,E79*#REF!*K79/1000))),"-")</f>
        <v/>
      </c>
      <c r="O79" s="961" t="str">
        <f>IF(B79="","",IF(D79="","",L79*'Fatores de Emissão'!$E$252+'Combustão Móvel'!M79*'Fatores de Emissão'!$E$248+'Combustão Móvel'!N79*'Fatores de Emissão'!$E$249))</f>
        <v/>
      </c>
    </row>
    <row r="80" spans="2:15" s="357" customFormat="1" ht="19.899999999999999" hidden="1" customHeight="1" outlineLevel="2" x14ac:dyDescent="0.35">
      <c r="B80" s="454"/>
      <c r="C80" s="454"/>
      <c r="D80" s="454"/>
      <c r="E80" s="541"/>
      <c r="F80" s="455"/>
      <c r="G80" s="456"/>
      <c r="H80" s="542" t="str">
        <f>IF(D80="","",VLOOKUP(D80,'Fatores de Emissão'!$D$86:$F$96,3,FALSE))</f>
        <v/>
      </c>
      <c r="I80" s="1023" t="str">
        <f>IF(OR($D80="",$D80="-"),"",VLOOKUP($D80,'Fatores de Emissão'!$D$86:$E$96,2,FALSE))</f>
        <v/>
      </c>
      <c r="J80" s="1023" t="str">
        <f>IF(OR($D80="",$D80="-"),"",VLOOKUP($D80,'Fatores de Emissão'!$D$86:$G$96,4,FALSE))</f>
        <v/>
      </c>
      <c r="K80" s="1023" t="str">
        <f>IF(OR($D80="",$D80="-"),"",VLOOKUP($D80,'Fatores de Emissão'!$D$86:$I$96,6,FALSE))</f>
        <v/>
      </c>
      <c r="L80" s="960" t="str">
        <f>IFERROR(IF((OR($D80="",$D80="-")),"",IF(H80="kg/km",I80*E80/1000,IF(H80="kg/p.km",E80*#REF!*I80/1000,E80*#REF!*I80/1000))),"-")</f>
        <v/>
      </c>
      <c r="M80" s="1023" t="str">
        <f>IFERROR(IF((OR($D80="",$D80="-")),"",IF(H80="kg/km",J80*E80/1000,IF(H80="kg/p.km",E80*#REF!*J80/1000,E80*#REF!*J80/1000))),"-")</f>
        <v/>
      </c>
      <c r="N80" s="1023" t="str">
        <f>IFERROR(IF((OR($D80="",$D80="-")),"",IF(H80="kg/km",K80*E80/1000,IF(H80="kg/p.km",E80*#REF!*K80/1000,E80*#REF!*K80/1000))),"-")</f>
        <v/>
      </c>
      <c r="O80" s="961" t="str">
        <f>IF(B80="","",IF(D80="","",L80*'Fatores de Emissão'!$E$252+'Combustão Móvel'!M80*'Fatores de Emissão'!$E$248+'Combustão Móvel'!N80*'Fatores de Emissão'!$E$249))</f>
        <v/>
      </c>
    </row>
    <row r="81" spans="2:15" s="357" customFormat="1" ht="19.899999999999999" hidden="1" customHeight="1" outlineLevel="2" x14ac:dyDescent="0.35">
      <c r="B81" s="454"/>
      <c r="C81" s="454"/>
      <c r="D81" s="454"/>
      <c r="E81" s="541"/>
      <c r="F81" s="455"/>
      <c r="G81" s="456"/>
      <c r="H81" s="542" t="str">
        <f>IF(D81="","",VLOOKUP(D81,'Fatores de Emissão'!$D$86:$F$96,3,FALSE))</f>
        <v/>
      </c>
      <c r="I81" s="1023" t="str">
        <f>IF(OR($D81="",$D81="-"),"",VLOOKUP($D81,'Fatores de Emissão'!$D$86:$E$96,2,FALSE))</f>
        <v/>
      </c>
      <c r="J81" s="1023" t="str">
        <f>IF(OR($D81="",$D81="-"),"",VLOOKUP($D81,'Fatores de Emissão'!$D$86:$G$96,4,FALSE))</f>
        <v/>
      </c>
      <c r="K81" s="1023" t="str">
        <f>IF(OR($D81="",$D81="-"),"",VLOOKUP($D81,'Fatores de Emissão'!$D$86:$I$96,6,FALSE))</f>
        <v/>
      </c>
      <c r="L81" s="960" t="str">
        <f>IFERROR(IF((OR($D81="",$D81="-")),"",IF(H81="kg/km",I81*E81/1000,IF(H81="kg/p.km",E81*#REF!*I81/1000,E81*#REF!*I81/1000))),"-")</f>
        <v/>
      </c>
      <c r="M81" s="1023" t="str">
        <f>IFERROR(IF((OR($D81="",$D81="-")),"",IF(H81="kg/km",J81*E81/1000,IF(H81="kg/p.km",E81*#REF!*J81/1000,E81*#REF!*J81/1000))),"-")</f>
        <v/>
      </c>
      <c r="N81" s="1023" t="str">
        <f>IFERROR(IF((OR($D81="",$D81="-")),"",IF(H81="kg/km",K81*E81/1000,IF(H81="kg/p.km",E81*#REF!*K81/1000,E81*#REF!*K81/1000))),"-")</f>
        <v/>
      </c>
      <c r="O81" s="961" t="str">
        <f>IF(B81="","",IF(D81="","",L81*'Fatores de Emissão'!$E$252+'Combustão Móvel'!M81*'Fatores de Emissão'!$E$248+'Combustão Móvel'!N81*'Fatores de Emissão'!$E$249))</f>
        <v/>
      </c>
    </row>
    <row r="82" spans="2:15" s="357" customFormat="1" ht="19.899999999999999" hidden="1" customHeight="1" outlineLevel="2" x14ac:dyDescent="0.35">
      <c r="B82" s="454"/>
      <c r="C82" s="454"/>
      <c r="D82" s="454"/>
      <c r="E82" s="541"/>
      <c r="F82" s="455"/>
      <c r="G82" s="456"/>
      <c r="H82" s="542" t="str">
        <f>IF(D82="","",VLOOKUP(D82,'Fatores de Emissão'!$D$86:$F$96,3,FALSE))</f>
        <v/>
      </c>
      <c r="I82" s="1023" t="str">
        <f>IF(OR($D82="",$D82="-"),"",VLOOKUP($D82,'Fatores de Emissão'!$D$86:$E$96,2,FALSE))</f>
        <v/>
      </c>
      <c r="J82" s="1023" t="str">
        <f>IF(OR($D82="",$D82="-"),"",VLOOKUP($D82,'Fatores de Emissão'!$D$86:$G$96,4,FALSE))</f>
        <v/>
      </c>
      <c r="K82" s="1023" t="str">
        <f>IF(OR($D82="",$D82="-"),"",VLOOKUP($D82,'Fatores de Emissão'!$D$86:$I$96,6,FALSE))</f>
        <v/>
      </c>
      <c r="L82" s="960" t="str">
        <f>IFERROR(IF((OR($D82="",$D82="-")),"",IF(H82="kg/km",I82*E82/1000,IF(H82="kg/p.km",E82*#REF!*I82/1000,E82*#REF!*I82/1000))),"-")</f>
        <v/>
      </c>
      <c r="M82" s="1023" t="str">
        <f>IFERROR(IF((OR($D82="",$D82="-")),"",IF(H82="kg/km",J82*E82/1000,IF(H82="kg/p.km",E82*#REF!*J82/1000,E82*#REF!*J82/1000))),"-")</f>
        <v/>
      </c>
      <c r="N82" s="1023" t="str">
        <f>IFERROR(IF((OR($D82="",$D82="-")),"",IF(H82="kg/km",K82*E82/1000,IF(H82="kg/p.km",E82*#REF!*K82/1000,E82*#REF!*K82/1000))),"-")</f>
        <v/>
      </c>
      <c r="O82" s="961" t="str">
        <f>IF(B82="","",IF(D82="","",L82*'Fatores de Emissão'!$E$252+'Combustão Móvel'!M82*'Fatores de Emissão'!$E$248+'Combustão Móvel'!N82*'Fatores de Emissão'!$E$249))</f>
        <v/>
      </c>
    </row>
    <row r="83" spans="2:15" s="357" customFormat="1" ht="19.899999999999999" hidden="1" customHeight="1" outlineLevel="2" x14ac:dyDescent="0.35">
      <c r="B83" s="454"/>
      <c r="C83" s="454"/>
      <c r="D83" s="454"/>
      <c r="E83" s="541"/>
      <c r="F83" s="455"/>
      <c r="G83" s="456"/>
      <c r="H83" s="542" t="str">
        <f>IF(D83="","",VLOOKUP(D83,'Fatores de Emissão'!$D$86:$F$96,3,FALSE))</f>
        <v/>
      </c>
      <c r="I83" s="1023" t="str">
        <f>IF(OR($D83="",$D83="-"),"",VLOOKUP($D83,'Fatores de Emissão'!$D$86:$E$96,2,FALSE))</f>
        <v/>
      </c>
      <c r="J83" s="1023" t="str">
        <f>IF(OR($D83="",$D83="-"),"",VLOOKUP($D83,'Fatores de Emissão'!$D$86:$G$96,4,FALSE))</f>
        <v/>
      </c>
      <c r="K83" s="1023" t="str">
        <f>IF(OR($D83="",$D83="-"),"",VLOOKUP($D83,'Fatores de Emissão'!$D$86:$I$96,6,FALSE))</f>
        <v/>
      </c>
      <c r="L83" s="960" t="str">
        <f>IFERROR(IF((OR($D83="",$D83="-")),"",IF(H83="kg/km",I83*E83/1000,IF(H83="kg/p.km",E83*#REF!*I83/1000,E83*#REF!*I83/1000))),"-")</f>
        <v/>
      </c>
      <c r="M83" s="1023" t="str">
        <f>IFERROR(IF((OR($D83="",$D83="-")),"",IF(H83="kg/km",J83*E83/1000,IF(H83="kg/p.km",E83*#REF!*J83/1000,E83*#REF!*J83/1000))),"-")</f>
        <v/>
      </c>
      <c r="N83" s="1023" t="str">
        <f>IFERROR(IF((OR($D83="",$D83="-")),"",IF(H83="kg/km",K83*E83/1000,IF(H83="kg/p.km",E83*#REF!*K83/1000,E83*#REF!*K83/1000))),"-")</f>
        <v/>
      </c>
      <c r="O83" s="961" t="str">
        <f>IF(B83="","",IF(D83="","",L83*'Fatores de Emissão'!$E$252+'Combustão Móvel'!M83*'Fatores de Emissão'!$E$248+'Combustão Móvel'!N83*'Fatores de Emissão'!$E$249))</f>
        <v/>
      </c>
    </row>
    <row r="84" spans="2:15" s="357" customFormat="1" ht="19.899999999999999" hidden="1" customHeight="1" outlineLevel="2" x14ac:dyDescent="0.35">
      <c r="B84" s="454"/>
      <c r="C84" s="454"/>
      <c r="D84" s="454"/>
      <c r="E84" s="541"/>
      <c r="F84" s="455"/>
      <c r="G84" s="456"/>
      <c r="H84" s="542" t="str">
        <f>IF(D84="","",VLOOKUP(D84,'Fatores de Emissão'!$D$86:$F$96,3,FALSE))</f>
        <v/>
      </c>
      <c r="I84" s="1023" t="str">
        <f>IF(OR($D84="",$D84="-"),"",VLOOKUP($D84,'Fatores de Emissão'!$D$86:$E$96,2,FALSE))</f>
        <v/>
      </c>
      <c r="J84" s="1023" t="str">
        <f>IF(OR($D84="",$D84="-"),"",VLOOKUP($D84,'Fatores de Emissão'!$D$86:$G$96,4,FALSE))</f>
        <v/>
      </c>
      <c r="K84" s="1023" t="str">
        <f>IF(OR($D84="",$D84="-"),"",VLOOKUP($D84,'Fatores de Emissão'!$D$86:$I$96,6,FALSE))</f>
        <v/>
      </c>
      <c r="L84" s="960" t="str">
        <f>IFERROR(IF((OR($D84="",$D84="-")),"",IF(H84="kg/km",I84*E84/1000,IF(H84="kg/p.km",E84*#REF!*I84/1000,E84*#REF!*I84/1000))),"-")</f>
        <v/>
      </c>
      <c r="M84" s="1023" t="str">
        <f>IFERROR(IF((OR($D84="",$D84="-")),"",IF(H84="kg/km",J84*E84/1000,IF(H84="kg/p.km",E84*#REF!*J84/1000,E84*#REF!*J84/1000))),"-")</f>
        <v/>
      </c>
      <c r="N84" s="1023" t="str">
        <f>IFERROR(IF((OR($D84="",$D84="-")),"",IF(H84="kg/km",K84*E84/1000,IF(H84="kg/p.km",E84*#REF!*K84/1000,E84*#REF!*K84/1000))),"-")</f>
        <v/>
      </c>
      <c r="O84" s="961" t="str">
        <f>IF(B84="","",IF(D84="","",L84*'Fatores de Emissão'!$E$252+'Combustão Móvel'!M84*'Fatores de Emissão'!$E$248+'Combustão Móvel'!N84*'Fatores de Emissão'!$E$249))</f>
        <v/>
      </c>
    </row>
    <row r="85" spans="2:15" s="357" customFormat="1" ht="19.899999999999999" hidden="1" customHeight="1" outlineLevel="2" x14ac:dyDescent="0.35">
      <c r="B85" s="454"/>
      <c r="C85" s="454"/>
      <c r="D85" s="454"/>
      <c r="E85" s="541"/>
      <c r="F85" s="455"/>
      <c r="G85" s="456"/>
      <c r="H85" s="542" t="str">
        <f>IF(D85="","",VLOOKUP(D85,'Fatores de Emissão'!$D$86:$F$96,3,FALSE))</f>
        <v/>
      </c>
      <c r="I85" s="1023" t="str">
        <f>IF(OR($D85="",$D85="-"),"",VLOOKUP($D85,'Fatores de Emissão'!$D$86:$E$96,2,FALSE))</f>
        <v/>
      </c>
      <c r="J85" s="1023" t="str">
        <f>IF(OR($D85="",$D85="-"),"",VLOOKUP($D85,'Fatores de Emissão'!$D$86:$G$96,4,FALSE))</f>
        <v/>
      </c>
      <c r="K85" s="1023" t="str">
        <f>IF(OR($D85="",$D85="-"),"",VLOOKUP($D85,'Fatores de Emissão'!$D$86:$I$96,6,FALSE))</f>
        <v/>
      </c>
      <c r="L85" s="960" t="str">
        <f>IFERROR(IF((OR($D85="",$D85="-")),"",IF(H85="kg/km",I85*E85/1000,IF(H85="kg/p.km",E85*#REF!*I85/1000,E85*#REF!*I85/1000))),"-")</f>
        <v/>
      </c>
      <c r="M85" s="1023" t="str">
        <f>IFERROR(IF((OR($D85="",$D85="-")),"",IF(H85="kg/km",J85*E85/1000,IF(H85="kg/p.km",E85*#REF!*J85/1000,E85*#REF!*J85/1000))),"-")</f>
        <v/>
      </c>
      <c r="N85" s="1023" t="str">
        <f>IFERROR(IF((OR($D85="",$D85="-")),"",IF(H85="kg/km",K85*E85/1000,IF(H85="kg/p.km",E85*#REF!*K85/1000,E85*#REF!*K85/1000))),"-")</f>
        <v/>
      </c>
      <c r="O85" s="961" t="str">
        <f>IF(B85="","",IF(D85="","",L85*'Fatores de Emissão'!$E$252+'Combustão Móvel'!M85*'Fatores de Emissão'!$E$248+'Combustão Móvel'!N85*'Fatores de Emissão'!$E$249))</f>
        <v/>
      </c>
    </row>
    <row r="86" spans="2:15" s="357" customFormat="1" ht="19.899999999999999" hidden="1" customHeight="1" outlineLevel="2" x14ac:dyDescent="0.35">
      <c r="B86" s="454"/>
      <c r="C86" s="454"/>
      <c r="D86" s="454"/>
      <c r="E86" s="541"/>
      <c r="F86" s="455"/>
      <c r="G86" s="456"/>
      <c r="H86" s="542" t="str">
        <f>IF(D86="","",VLOOKUP(D86,'Fatores de Emissão'!$D$86:$F$96,3,FALSE))</f>
        <v/>
      </c>
      <c r="I86" s="1023" t="str">
        <f>IF(OR($D86="",$D86="-"),"",VLOOKUP($D86,'Fatores de Emissão'!$D$86:$E$96,2,FALSE))</f>
        <v/>
      </c>
      <c r="J86" s="1023" t="str">
        <f>IF(OR($D86="",$D86="-"),"",VLOOKUP($D86,'Fatores de Emissão'!$D$86:$G$96,4,FALSE))</f>
        <v/>
      </c>
      <c r="K86" s="1023" t="str">
        <f>IF(OR($D86="",$D86="-"),"",VLOOKUP($D86,'Fatores de Emissão'!$D$86:$I$96,6,FALSE))</f>
        <v/>
      </c>
      <c r="L86" s="960" t="str">
        <f>IFERROR(IF((OR($D86="",$D86="-")),"",IF(H86="kg/km",I86*E86/1000,IF(H86="kg/p.km",E86*#REF!*I86/1000,E86*#REF!*I86/1000))),"-")</f>
        <v/>
      </c>
      <c r="M86" s="1023" t="str">
        <f>IFERROR(IF((OR($D86="",$D86="-")),"",IF(H86="kg/km",J86*E86/1000,IF(H86="kg/p.km",E86*#REF!*J86/1000,E86*#REF!*J86/1000))),"-")</f>
        <v/>
      </c>
      <c r="N86" s="1023" t="str">
        <f>IFERROR(IF((OR($D86="",$D86="-")),"",IF(H86="kg/km",K86*E86/1000,IF(H86="kg/p.km",E86*#REF!*K86/1000,E86*#REF!*K86/1000))),"-")</f>
        <v/>
      </c>
      <c r="O86" s="961" t="str">
        <f>IF(B86="","",IF(D86="","",L86*'Fatores de Emissão'!$E$252+'Combustão Móvel'!M86*'Fatores de Emissão'!$E$248+'Combustão Móvel'!N86*'Fatores de Emissão'!$E$249))</f>
        <v/>
      </c>
    </row>
    <row r="87" spans="2:15" s="357" customFormat="1" ht="19.899999999999999" hidden="1" customHeight="1" outlineLevel="2" x14ac:dyDescent="0.35">
      <c r="B87" s="454"/>
      <c r="C87" s="454"/>
      <c r="D87" s="454"/>
      <c r="E87" s="541"/>
      <c r="F87" s="455"/>
      <c r="G87" s="456"/>
      <c r="H87" s="542" t="str">
        <f>IF(D87="","",VLOOKUP(D87,'Fatores de Emissão'!$D$86:$F$96,3,FALSE))</f>
        <v/>
      </c>
      <c r="I87" s="1023" t="str">
        <f>IF(OR($D87="",$D87="-"),"",VLOOKUP($D87,'Fatores de Emissão'!$D$86:$E$96,2,FALSE))</f>
        <v/>
      </c>
      <c r="J87" s="1023" t="str">
        <f>IF(OR($D87="",$D87="-"),"",VLOOKUP($D87,'Fatores de Emissão'!$D$86:$G$96,4,FALSE))</f>
        <v/>
      </c>
      <c r="K87" s="1023" t="str">
        <f>IF(OR($D87="",$D87="-"),"",VLOOKUP($D87,'Fatores de Emissão'!$D$86:$I$96,6,FALSE))</f>
        <v/>
      </c>
      <c r="L87" s="960" t="str">
        <f>IFERROR(IF((OR($D87="",$D87="-")),"",IF(H87="kg/km",I87*E87/1000,IF(H87="kg/p.km",E87*#REF!*I87/1000,E87*#REF!*I87/1000))),"-")</f>
        <v/>
      </c>
      <c r="M87" s="1023" t="str">
        <f>IFERROR(IF((OR($D87="",$D87="-")),"",IF(H87="kg/km",J87*E87/1000,IF(H87="kg/p.km",E87*#REF!*J87/1000,E87*#REF!*J87/1000))),"-")</f>
        <v/>
      </c>
      <c r="N87" s="1023" t="str">
        <f>IFERROR(IF((OR($D87="",$D87="-")),"",IF(H87="kg/km",K87*E87/1000,IF(H87="kg/p.km",E87*#REF!*K87/1000,E87*#REF!*K87/1000))),"-")</f>
        <v/>
      </c>
      <c r="O87" s="961" t="str">
        <f>IF(B87="","",IF(D87="","",L87*'Fatores de Emissão'!$E$252+'Combustão Móvel'!M87*'Fatores de Emissão'!$E$248+'Combustão Móvel'!N87*'Fatores de Emissão'!$E$249))</f>
        <v/>
      </c>
    </row>
    <row r="88" spans="2:15" s="357" customFormat="1" ht="19.899999999999999" hidden="1" customHeight="1" outlineLevel="2" x14ac:dyDescent="0.35">
      <c r="B88" s="454"/>
      <c r="C88" s="454"/>
      <c r="D88" s="454"/>
      <c r="E88" s="541"/>
      <c r="F88" s="455"/>
      <c r="G88" s="456"/>
      <c r="H88" s="542" t="str">
        <f>IF(D88="","",VLOOKUP(D88,'Fatores de Emissão'!$D$86:$F$96,3,FALSE))</f>
        <v/>
      </c>
      <c r="I88" s="1023" t="str">
        <f>IF(OR($D88="",$D88="-"),"",VLOOKUP($D88,'Fatores de Emissão'!$D$86:$E$96,2,FALSE))</f>
        <v/>
      </c>
      <c r="J88" s="1023" t="str">
        <f>IF(OR($D88="",$D88="-"),"",VLOOKUP($D88,'Fatores de Emissão'!$D$86:$G$96,4,FALSE))</f>
        <v/>
      </c>
      <c r="K88" s="1023" t="str">
        <f>IF(OR($D88="",$D88="-"),"",VLOOKUP($D88,'Fatores de Emissão'!$D$86:$I$96,6,FALSE))</f>
        <v/>
      </c>
      <c r="L88" s="960" t="str">
        <f>IFERROR(IF((OR($D88="",$D88="-")),"",IF(H88="kg/km",I88*E88/1000,IF(H88="kg/p.km",E88*#REF!*I88/1000,E88*#REF!*I88/1000))),"-")</f>
        <v/>
      </c>
      <c r="M88" s="1023" t="str">
        <f>IFERROR(IF((OR($D88="",$D88="-")),"",IF(H88="kg/km",J88*E88/1000,IF(H88="kg/p.km",E88*#REF!*J88/1000,E88*#REF!*J88/1000))),"-")</f>
        <v/>
      </c>
      <c r="N88" s="1023" t="str">
        <f>IFERROR(IF((OR($D88="",$D88="-")),"",IF(H88="kg/km",K88*E88/1000,IF(H88="kg/p.km",E88*#REF!*K88/1000,E88*#REF!*K88/1000))),"-")</f>
        <v/>
      </c>
      <c r="O88" s="961" t="str">
        <f>IF(B88="","",IF(D88="","",L88*'Fatores de Emissão'!$E$252+'Combustão Móvel'!M88*'Fatores de Emissão'!$E$248+'Combustão Móvel'!N88*'Fatores de Emissão'!$E$249))</f>
        <v/>
      </c>
    </row>
    <row r="89" spans="2:15" s="357" customFormat="1" ht="19.899999999999999" hidden="1" customHeight="1" outlineLevel="2" x14ac:dyDescent="0.35">
      <c r="B89" s="454"/>
      <c r="C89" s="454"/>
      <c r="D89" s="454"/>
      <c r="E89" s="541"/>
      <c r="F89" s="455"/>
      <c r="G89" s="456"/>
      <c r="H89" s="542" t="str">
        <f>IF(D89="","",VLOOKUP(D89,'Fatores de Emissão'!$D$86:$F$96,3,FALSE))</f>
        <v/>
      </c>
      <c r="I89" s="1023" t="str">
        <f>IF(OR($D89="",$D89="-"),"",VLOOKUP($D89,'Fatores de Emissão'!$D$86:$E$96,2,FALSE))</f>
        <v/>
      </c>
      <c r="J89" s="1023" t="str">
        <f>IF(OR($D89="",$D89="-"),"",VLOOKUP($D89,'Fatores de Emissão'!$D$86:$G$96,4,FALSE))</f>
        <v/>
      </c>
      <c r="K89" s="1023" t="str">
        <f>IF(OR($D89="",$D89="-"),"",VLOOKUP($D89,'Fatores de Emissão'!$D$86:$I$96,6,FALSE))</f>
        <v/>
      </c>
      <c r="L89" s="960" t="str">
        <f>IFERROR(IF((OR($D89="",$D89="-")),"",IF(H89="kg/km",I89*E89/1000,IF(H89="kg/p.km",E89*#REF!*I89/1000,E89*#REF!*I89/1000))),"-")</f>
        <v/>
      </c>
      <c r="M89" s="1023" t="str">
        <f>IFERROR(IF((OR($D89="",$D89="-")),"",IF(H89="kg/km",J89*E89/1000,IF(H89="kg/p.km",E89*#REF!*J89/1000,E89*#REF!*J89/1000))),"-")</f>
        <v/>
      </c>
      <c r="N89" s="1023" t="str">
        <f>IFERROR(IF((OR($D89="",$D89="-")),"",IF(H89="kg/km",K89*E89/1000,IF(H89="kg/p.km",E89*#REF!*K89/1000,E89*#REF!*K89/1000))),"-")</f>
        <v/>
      </c>
      <c r="O89" s="961" t="str">
        <f>IF(B89="","",IF(D89="","",L89*'Fatores de Emissão'!$E$252+'Combustão Móvel'!M89*'Fatores de Emissão'!$E$248+'Combustão Móvel'!N89*'Fatores de Emissão'!$E$249))</f>
        <v/>
      </c>
    </row>
    <row r="90" spans="2:15" s="357" customFormat="1" ht="19.899999999999999" hidden="1" customHeight="1" outlineLevel="2" x14ac:dyDescent="0.35">
      <c r="B90" s="454"/>
      <c r="C90" s="454"/>
      <c r="D90" s="454"/>
      <c r="E90" s="541"/>
      <c r="F90" s="455"/>
      <c r="G90" s="456"/>
      <c r="H90" s="542" t="str">
        <f>IF(D90="","",VLOOKUP(D90,'Fatores de Emissão'!$D$86:$F$96,3,FALSE))</f>
        <v/>
      </c>
      <c r="I90" s="1023" t="str">
        <f>IF(OR($D90="",$D90="-"),"",VLOOKUP($D90,'Fatores de Emissão'!$D$86:$E$96,2,FALSE))</f>
        <v/>
      </c>
      <c r="J90" s="1023" t="str">
        <f>IF(OR($D90="",$D90="-"),"",VLOOKUP($D90,'Fatores de Emissão'!$D$86:$G$96,4,FALSE))</f>
        <v/>
      </c>
      <c r="K90" s="1023" t="str">
        <f>IF(OR($D90="",$D90="-"),"",VLOOKUP($D90,'Fatores de Emissão'!$D$86:$I$96,6,FALSE))</f>
        <v/>
      </c>
      <c r="L90" s="960" t="str">
        <f>IFERROR(IF((OR($D90="",$D90="-")),"",IF(H90="kg/km",I90*E90/1000,IF(H90="kg/p.km",E90*#REF!*I90/1000,E90*#REF!*I90/1000))),"-")</f>
        <v/>
      </c>
      <c r="M90" s="1023" t="str">
        <f>IFERROR(IF((OR($D90="",$D90="-")),"",IF(H90="kg/km",J90*E90/1000,IF(H90="kg/p.km",E90*#REF!*J90/1000,E90*#REF!*J90/1000))),"-")</f>
        <v/>
      </c>
      <c r="N90" s="1023" t="str">
        <f>IFERROR(IF((OR($D90="",$D90="-")),"",IF(H90="kg/km",K90*E90/1000,IF(H90="kg/p.km",E90*#REF!*K90/1000,E90*#REF!*K90/1000))),"-")</f>
        <v/>
      </c>
      <c r="O90" s="961" t="str">
        <f>IF(B90="","",IF(D90="","",L90*'Fatores de Emissão'!$E$252+'Combustão Móvel'!M90*'Fatores de Emissão'!$E$248+'Combustão Móvel'!N90*'Fatores de Emissão'!$E$249))</f>
        <v/>
      </c>
    </row>
    <row r="91" spans="2:15" s="357" customFormat="1" ht="19.899999999999999" hidden="1" customHeight="1" outlineLevel="2" x14ac:dyDescent="0.35">
      <c r="B91" s="454"/>
      <c r="C91" s="454"/>
      <c r="D91" s="454"/>
      <c r="E91" s="541"/>
      <c r="F91" s="455"/>
      <c r="G91" s="456"/>
      <c r="H91" s="542" t="str">
        <f>IF(D91="","",VLOOKUP(D91,'Fatores de Emissão'!$D$86:$F$96,3,FALSE))</f>
        <v/>
      </c>
      <c r="I91" s="1023" t="str">
        <f>IF(OR($D91="",$D91="-"),"",VLOOKUP($D91,'Fatores de Emissão'!$D$86:$E$96,2,FALSE))</f>
        <v/>
      </c>
      <c r="J91" s="1023" t="str">
        <f>IF(OR($D91="",$D91="-"),"",VLOOKUP($D91,'Fatores de Emissão'!$D$86:$G$96,4,FALSE))</f>
        <v/>
      </c>
      <c r="K91" s="1023" t="str">
        <f>IF(OR($D91="",$D91="-"),"",VLOOKUP($D91,'Fatores de Emissão'!$D$86:$I$96,6,FALSE))</f>
        <v/>
      </c>
      <c r="L91" s="960" t="str">
        <f>IFERROR(IF((OR($D91="",$D91="-")),"",IF(H91="kg/km",I91*E91/1000,IF(H91="kg/p.km",E91*#REF!*I91/1000,E91*#REF!*I91/1000))),"-")</f>
        <v/>
      </c>
      <c r="M91" s="1023" t="str">
        <f>IFERROR(IF((OR($D91="",$D91="-")),"",IF(H91="kg/km",J91*E91/1000,IF(H91="kg/p.km",E91*#REF!*J91/1000,E91*#REF!*J91/1000))),"-")</f>
        <v/>
      </c>
      <c r="N91" s="1023" t="str">
        <f>IFERROR(IF((OR($D91="",$D91="-")),"",IF(H91="kg/km",K91*E91/1000,IF(H91="kg/p.km",E91*#REF!*K91/1000,E91*#REF!*K91/1000))),"-")</f>
        <v/>
      </c>
      <c r="O91" s="961" t="str">
        <f>IF(B91="","",IF(D91="","",L91*'Fatores de Emissão'!$E$252+'Combustão Móvel'!M91*'Fatores de Emissão'!$E$248+'Combustão Móvel'!N91*'Fatores de Emissão'!$E$249))</f>
        <v/>
      </c>
    </row>
    <row r="92" spans="2:15" s="357" customFormat="1" ht="19.899999999999999" hidden="1" customHeight="1" outlineLevel="2" x14ac:dyDescent="0.35">
      <c r="B92" s="454"/>
      <c r="C92" s="454"/>
      <c r="D92" s="454"/>
      <c r="E92" s="541"/>
      <c r="F92" s="455"/>
      <c r="G92" s="456"/>
      <c r="H92" s="542" t="str">
        <f>IF(D92="","",VLOOKUP(D92,'Fatores de Emissão'!$D$86:$F$96,3,FALSE))</f>
        <v/>
      </c>
      <c r="I92" s="1023" t="str">
        <f>IF(OR($D92="",$D92="-"),"",VLOOKUP($D92,'Fatores de Emissão'!$D$86:$E$96,2,FALSE))</f>
        <v/>
      </c>
      <c r="J92" s="1023" t="str">
        <f>IF(OR($D92="",$D92="-"),"",VLOOKUP($D92,'Fatores de Emissão'!$D$86:$G$96,4,FALSE))</f>
        <v/>
      </c>
      <c r="K92" s="1023" t="str">
        <f>IF(OR($D92="",$D92="-"),"",VLOOKUP($D92,'Fatores de Emissão'!$D$86:$I$96,6,FALSE))</f>
        <v/>
      </c>
      <c r="L92" s="960" t="str">
        <f>IFERROR(IF((OR($D92="",$D92="-")),"",IF(H92="kg/km",I92*E92/1000,IF(H92="kg/p.km",E92*#REF!*I92/1000,E92*#REF!*I92/1000))),"-")</f>
        <v/>
      </c>
      <c r="M92" s="1023" t="str">
        <f>IFERROR(IF((OR($D92="",$D92="-")),"",IF(H92="kg/km",J92*E92/1000,IF(H92="kg/p.km",E92*#REF!*J92/1000,E92*#REF!*J92/1000))),"-")</f>
        <v/>
      </c>
      <c r="N92" s="1023" t="str">
        <f>IFERROR(IF((OR($D92="",$D92="-")),"",IF(H92="kg/km",K92*E92/1000,IF(H92="kg/p.km",E92*#REF!*K92/1000,E92*#REF!*K92/1000))),"-")</f>
        <v/>
      </c>
      <c r="O92" s="961" t="str">
        <f>IF(B92="","",IF(D92="","",L92*'Fatores de Emissão'!$E$252+'Combustão Móvel'!M92*'Fatores de Emissão'!$E$248+'Combustão Móvel'!N92*'Fatores de Emissão'!$E$249))</f>
        <v/>
      </c>
    </row>
    <row r="93" spans="2:15" s="357" customFormat="1" ht="19.899999999999999" hidden="1" customHeight="1" outlineLevel="2" x14ac:dyDescent="0.35">
      <c r="B93" s="454"/>
      <c r="C93" s="454"/>
      <c r="D93" s="454"/>
      <c r="E93" s="541"/>
      <c r="F93" s="455"/>
      <c r="G93" s="456"/>
      <c r="H93" s="542" t="str">
        <f>IF(D93="","",VLOOKUP(D93,'Fatores de Emissão'!$D$86:$F$96,3,FALSE))</f>
        <v/>
      </c>
      <c r="I93" s="1023" t="str">
        <f>IF(OR($D93="",$D93="-"),"",VLOOKUP($D93,'Fatores de Emissão'!$D$86:$E$96,2,FALSE))</f>
        <v/>
      </c>
      <c r="J93" s="1023" t="str">
        <f>IF(OR($D93="",$D93="-"),"",VLOOKUP($D93,'Fatores de Emissão'!$D$86:$G$96,4,FALSE))</f>
        <v/>
      </c>
      <c r="K93" s="1023" t="str">
        <f>IF(OR($D93="",$D93="-"),"",VLOOKUP($D93,'Fatores de Emissão'!$D$86:$I$96,6,FALSE))</f>
        <v/>
      </c>
      <c r="L93" s="960" t="str">
        <f>IFERROR(IF((OR($D93="",$D93="-")),"",IF(H93="kg/km",I93*E93/1000,IF(H93="kg/p.km",E93*#REF!*I93/1000,E93*#REF!*I93/1000))),"-")</f>
        <v/>
      </c>
      <c r="M93" s="1023" t="str">
        <f>IFERROR(IF((OR($D93="",$D93="-")),"",IF(H93="kg/km",J93*E93/1000,IF(H93="kg/p.km",E93*#REF!*J93/1000,E93*#REF!*J93/1000))),"-")</f>
        <v/>
      </c>
      <c r="N93" s="1023" t="str">
        <f>IFERROR(IF((OR($D93="",$D93="-")),"",IF(H93="kg/km",K93*E93/1000,IF(H93="kg/p.km",E93*#REF!*K93/1000,E93*#REF!*K93/1000))),"-")</f>
        <v/>
      </c>
      <c r="O93" s="961" t="str">
        <f>IF(B93="","",IF(D93="","",L93*'Fatores de Emissão'!$E$252+'Combustão Móvel'!M93*'Fatores de Emissão'!$E$248+'Combustão Móvel'!N93*'Fatores de Emissão'!$E$249))</f>
        <v/>
      </c>
    </row>
    <row r="94" spans="2:15" s="357" customFormat="1" ht="19.899999999999999" hidden="1" customHeight="1" outlineLevel="2" x14ac:dyDescent="0.35">
      <c r="B94" s="454"/>
      <c r="C94" s="454"/>
      <c r="D94" s="454"/>
      <c r="E94" s="541"/>
      <c r="F94" s="455"/>
      <c r="G94" s="456"/>
      <c r="H94" s="542" t="str">
        <f>IF(D94="","",VLOOKUP(D94,'Fatores de Emissão'!$D$86:$F$96,3,FALSE))</f>
        <v/>
      </c>
      <c r="I94" s="1023" t="str">
        <f>IF(OR($D94="",$D94="-"),"",VLOOKUP($D94,'Fatores de Emissão'!$D$86:$E$96,2,FALSE))</f>
        <v/>
      </c>
      <c r="J94" s="1023" t="str">
        <f>IF(OR($D94="",$D94="-"),"",VLOOKUP($D94,'Fatores de Emissão'!$D$86:$G$96,4,FALSE))</f>
        <v/>
      </c>
      <c r="K94" s="1023" t="str">
        <f>IF(OR($D94="",$D94="-"),"",VLOOKUP($D94,'Fatores de Emissão'!$D$86:$I$96,6,FALSE))</f>
        <v/>
      </c>
      <c r="L94" s="960" t="str">
        <f>IFERROR(IF((OR($D94="",$D94="-")),"",IF(H94="kg/km",I94*E94/1000,IF(H94="kg/p.km",E94*#REF!*I94/1000,E94*#REF!*I94/1000))),"-")</f>
        <v/>
      </c>
      <c r="M94" s="1023" t="str">
        <f>IFERROR(IF((OR($D94="",$D94="-")),"",IF(H94="kg/km",J94*E94/1000,IF(H94="kg/p.km",E94*#REF!*J94/1000,E94*#REF!*J94/1000))),"-")</f>
        <v/>
      </c>
      <c r="N94" s="1023" t="str">
        <f>IFERROR(IF((OR($D94="",$D94="-")),"",IF(H94="kg/km",K94*E94/1000,IF(H94="kg/p.km",E94*#REF!*K94/1000,E94*#REF!*K94/1000))),"-")</f>
        <v/>
      </c>
      <c r="O94" s="961" t="str">
        <f>IF(B94="","",IF(D94="","",L94*'Fatores de Emissão'!$E$252+'Combustão Móvel'!M94*'Fatores de Emissão'!$E$248+'Combustão Móvel'!N94*'Fatores de Emissão'!$E$249))</f>
        <v/>
      </c>
    </row>
    <row r="95" spans="2:15" s="357" customFormat="1" ht="19.899999999999999" hidden="1" customHeight="1" outlineLevel="2" x14ac:dyDescent="0.35">
      <c r="B95" s="454"/>
      <c r="C95" s="454"/>
      <c r="D95" s="454"/>
      <c r="E95" s="541"/>
      <c r="F95" s="455"/>
      <c r="G95" s="456"/>
      <c r="H95" s="542" t="str">
        <f>IF(D95="","",VLOOKUP(D95,'Fatores de Emissão'!$D$86:$F$96,3,FALSE))</f>
        <v/>
      </c>
      <c r="I95" s="1023" t="str">
        <f>IF(OR($D95="",$D95="-"),"",VLOOKUP($D95,'Fatores de Emissão'!$D$86:$E$96,2,FALSE))</f>
        <v/>
      </c>
      <c r="J95" s="1023" t="str">
        <f>IF(OR($D95="",$D95="-"),"",VLOOKUP($D95,'Fatores de Emissão'!$D$86:$G$96,4,FALSE))</f>
        <v/>
      </c>
      <c r="K95" s="1023" t="str">
        <f>IF(OR($D95="",$D95="-"),"",VLOOKUP($D95,'Fatores de Emissão'!$D$86:$I$96,6,FALSE))</f>
        <v/>
      </c>
      <c r="L95" s="960" t="str">
        <f>IFERROR(IF((OR($D95="",$D95="-")),"",IF(H95="kg/km",I95*E95/1000,IF(H95="kg/p.km",E95*#REF!*I95/1000,E95*#REF!*I95/1000))),"-")</f>
        <v/>
      </c>
      <c r="M95" s="1023" t="str">
        <f>IFERROR(IF((OR($D95="",$D95="-")),"",IF(H95="kg/km",J95*E95/1000,IF(H95="kg/p.km",E95*#REF!*J95/1000,E95*#REF!*J95/1000))),"-")</f>
        <v/>
      </c>
      <c r="N95" s="1023" t="str">
        <f>IFERROR(IF((OR($D95="",$D95="-")),"",IF(H95="kg/km",K95*E95/1000,IF(H95="kg/p.km",E95*#REF!*K95/1000,E95*#REF!*K95/1000))),"-")</f>
        <v/>
      </c>
      <c r="O95" s="961" t="str">
        <f>IF(B95="","",IF(D95="","",L95*'Fatores de Emissão'!$E$252+'Combustão Móvel'!M95*'Fatores de Emissão'!$E$248+'Combustão Móvel'!N95*'Fatores de Emissão'!$E$249))</f>
        <v/>
      </c>
    </row>
    <row r="96" spans="2:15" s="357" customFormat="1" ht="19.899999999999999" hidden="1" customHeight="1" outlineLevel="2" x14ac:dyDescent="0.35">
      <c r="B96" s="454"/>
      <c r="C96" s="454"/>
      <c r="D96" s="454"/>
      <c r="E96" s="541"/>
      <c r="F96" s="455"/>
      <c r="G96" s="456"/>
      <c r="H96" s="542" t="str">
        <f>IF(D96="","",VLOOKUP(D96,'Fatores de Emissão'!$D$86:$F$96,3,FALSE))</f>
        <v/>
      </c>
      <c r="I96" s="1023" t="str">
        <f>IF(OR($D96="",$D96="-"),"",VLOOKUP($D96,'Fatores de Emissão'!$D$86:$E$96,2,FALSE))</f>
        <v/>
      </c>
      <c r="J96" s="1023" t="str">
        <f>IF(OR($D96="",$D96="-"),"",VLOOKUP($D96,'Fatores de Emissão'!$D$86:$G$96,4,FALSE))</f>
        <v/>
      </c>
      <c r="K96" s="1023" t="str">
        <f>IF(OR($D96="",$D96="-"),"",VLOOKUP($D96,'Fatores de Emissão'!$D$86:$I$96,6,FALSE))</f>
        <v/>
      </c>
      <c r="L96" s="960" t="str">
        <f>IFERROR(IF((OR($D96="",$D96="-")),"",IF(H96="kg/km",I96*E96/1000,IF(H96="kg/p.km",E96*#REF!*I96/1000,E96*#REF!*I96/1000))),"-")</f>
        <v/>
      </c>
      <c r="M96" s="1023" t="str">
        <f>IFERROR(IF((OR($D96="",$D96="-")),"",IF(H96="kg/km",J96*E96/1000,IF(H96="kg/p.km",E96*#REF!*J96/1000,E96*#REF!*J96/1000))),"-")</f>
        <v/>
      </c>
      <c r="N96" s="1023" t="str">
        <f>IFERROR(IF((OR($D96="",$D96="-")),"",IF(H96="kg/km",K96*E96/1000,IF(H96="kg/p.km",E96*#REF!*K96/1000,E96*#REF!*K96/1000))),"-")</f>
        <v/>
      </c>
      <c r="O96" s="961" t="str">
        <f>IF(B96="","",IF(D96="","",L96*'Fatores de Emissão'!$E$252+'Combustão Móvel'!M96*'Fatores de Emissão'!$E$248+'Combustão Móvel'!N96*'Fatores de Emissão'!$E$249))</f>
        <v/>
      </c>
    </row>
    <row r="97" spans="2:15" s="357" customFormat="1" ht="19.899999999999999" hidden="1" customHeight="1" outlineLevel="2" x14ac:dyDescent="0.35">
      <c r="B97" s="454"/>
      <c r="C97" s="454"/>
      <c r="D97" s="454"/>
      <c r="E97" s="541"/>
      <c r="F97" s="455"/>
      <c r="G97" s="456"/>
      <c r="H97" s="542" t="str">
        <f>IF(D97="","",VLOOKUP(D97,'Fatores de Emissão'!$D$86:$F$96,3,FALSE))</f>
        <v/>
      </c>
      <c r="I97" s="1023" t="str">
        <f>IF(OR($D97="",$D97="-"),"",VLOOKUP($D97,'Fatores de Emissão'!$D$86:$E$96,2,FALSE))</f>
        <v/>
      </c>
      <c r="J97" s="1023" t="str">
        <f>IF(OR($D97="",$D97="-"),"",VLOOKUP($D97,'Fatores de Emissão'!$D$86:$G$96,4,FALSE))</f>
        <v/>
      </c>
      <c r="K97" s="1023" t="str">
        <f>IF(OR($D97="",$D97="-"),"",VLOOKUP($D97,'Fatores de Emissão'!$D$86:$I$96,6,FALSE))</f>
        <v/>
      </c>
      <c r="L97" s="960" t="str">
        <f>IFERROR(IF((OR($D97="",$D97="-")),"",IF(H97="kg/km",I97*E97/1000,IF(H97="kg/p.km",E97*#REF!*I97/1000,E97*#REF!*I97/1000))),"-")</f>
        <v/>
      </c>
      <c r="M97" s="1023" t="str">
        <f>IFERROR(IF((OR($D97="",$D97="-")),"",IF(H97="kg/km",J97*E97/1000,IF(H97="kg/p.km",E97*#REF!*J97/1000,E97*#REF!*J97/1000))),"-")</f>
        <v/>
      </c>
      <c r="N97" s="1023" t="str">
        <f>IFERROR(IF((OR($D97="",$D97="-")),"",IF(H97="kg/km",K97*E97/1000,IF(H97="kg/p.km",E97*#REF!*K97/1000,E97*#REF!*K97/1000))),"-")</f>
        <v/>
      </c>
      <c r="O97" s="961" t="str">
        <f>IF(B97="","",IF(D97="","",L97*'Fatores de Emissão'!$E$252+'Combustão Móvel'!M97*'Fatores de Emissão'!$E$248+'Combustão Móvel'!N97*'Fatores de Emissão'!$E$249))</f>
        <v/>
      </c>
    </row>
    <row r="98" spans="2:15" s="357" customFormat="1" ht="19.899999999999999" hidden="1" customHeight="1" outlineLevel="2" x14ac:dyDescent="0.35">
      <c r="B98" s="454"/>
      <c r="C98" s="454"/>
      <c r="D98" s="454"/>
      <c r="E98" s="541"/>
      <c r="F98" s="455"/>
      <c r="G98" s="456"/>
      <c r="H98" s="542" t="str">
        <f>IF(D98="","",VLOOKUP(D98,'Fatores de Emissão'!$D$86:$F$96,3,FALSE))</f>
        <v/>
      </c>
      <c r="I98" s="1023" t="str">
        <f>IF(OR($D98="",$D98="-"),"",VLOOKUP($D98,'Fatores de Emissão'!$D$86:$E$96,2,FALSE))</f>
        <v/>
      </c>
      <c r="J98" s="1023" t="str">
        <f>IF(OR($D98="",$D98="-"),"",VLOOKUP($D98,'Fatores de Emissão'!$D$86:$G$96,4,FALSE))</f>
        <v/>
      </c>
      <c r="K98" s="1023" t="str">
        <f>IF(OR($D98="",$D98="-"),"",VLOOKUP($D98,'Fatores de Emissão'!$D$86:$I$96,6,FALSE))</f>
        <v/>
      </c>
      <c r="L98" s="960" t="str">
        <f>IFERROR(IF((OR($D98="",$D98="-")),"",IF(H98="kg/km",I98*E98/1000,IF(H98="kg/p.km",E98*#REF!*I98/1000,E98*#REF!*I98/1000))),"-")</f>
        <v/>
      </c>
      <c r="M98" s="1023" t="str">
        <f>IFERROR(IF((OR($D98="",$D98="-")),"",IF(H98="kg/km",J98*E98/1000,IF(H98="kg/p.km",E98*#REF!*J98/1000,E98*#REF!*J98/1000))),"-")</f>
        <v/>
      </c>
      <c r="N98" s="1023" t="str">
        <f>IFERROR(IF((OR($D98="",$D98="-")),"",IF(H98="kg/km",K98*E98/1000,IF(H98="kg/p.km",E98*#REF!*K98/1000,E98*#REF!*K98/1000))),"-")</f>
        <v/>
      </c>
      <c r="O98" s="961" t="str">
        <f>IF(B98="","",IF(D98="","",L98*'Fatores de Emissão'!$E$252+'Combustão Móvel'!M98*'Fatores de Emissão'!$E$248+'Combustão Móvel'!N98*'Fatores de Emissão'!$E$249))</f>
        <v/>
      </c>
    </row>
    <row r="99" spans="2:15" s="357" customFormat="1" ht="19.899999999999999" hidden="1" customHeight="1" outlineLevel="2" x14ac:dyDescent="0.35">
      <c r="B99" s="454"/>
      <c r="C99" s="454"/>
      <c r="D99" s="454"/>
      <c r="E99" s="541"/>
      <c r="F99" s="455"/>
      <c r="G99" s="456"/>
      <c r="H99" s="542" t="str">
        <f>IF(D99="","",VLOOKUP(D99,'Fatores de Emissão'!$D$86:$F$96,3,FALSE))</f>
        <v/>
      </c>
      <c r="I99" s="1023" t="str">
        <f>IF(OR($D99="",$D99="-"),"",VLOOKUP($D99,'Fatores de Emissão'!$D$86:$E$96,2,FALSE))</f>
        <v/>
      </c>
      <c r="J99" s="1023" t="str">
        <f>IF(OR($D99="",$D99="-"),"",VLOOKUP($D99,'Fatores de Emissão'!$D$86:$G$96,4,FALSE))</f>
        <v/>
      </c>
      <c r="K99" s="1023" t="str">
        <f>IF(OR($D99="",$D99="-"),"",VLOOKUP($D99,'Fatores de Emissão'!$D$86:$I$96,6,FALSE))</f>
        <v/>
      </c>
      <c r="L99" s="960" t="str">
        <f>IFERROR(IF((OR($D99="",$D99="-")),"",IF(H99="kg/km",I99*E99/1000,IF(H99="kg/p.km",E99*#REF!*I99/1000,E99*#REF!*I99/1000))),"-")</f>
        <v/>
      </c>
      <c r="M99" s="1023" t="str">
        <f>IFERROR(IF((OR($D99="",$D99="-")),"",IF(H99="kg/km",J99*E99/1000,IF(H99="kg/p.km",E99*#REF!*J99/1000,E99*#REF!*J99/1000))),"-")</f>
        <v/>
      </c>
      <c r="N99" s="1023" t="str">
        <f>IFERROR(IF((OR($D99="",$D99="-")),"",IF(H99="kg/km",K99*E99/1000,IF(H99="kg/p.km",E99*#REF!*K99/1000,E99*#REF!*K99/1000))),"-")</f>
        <v/>
      </c>
      <c r="O99" s="961" t="str">
        <f>IF(B99="","",IF(D99="","",L99*'Fatores de Emissão'!$E$252+'Combustão Móvel'!M99*'Fatores de Emissão'!$E$248+'Combustão Móvel'!N99*'Fatores de Emissão'!$E$249))</f>
        <v/>
      </c>
    </row>
    <row r="100" spans="2:15" s="357" customFormat="1" ht="19.899999999999999" hidden="1" customHeight="1" outlineLevel="2" x14ac:dyDescent="0.35">
      <c r="B100" s="454"/>
      <c r="C100" s="454"/>
      <c r="D100" s="454"/>
      <c r="E100" s="541"/>
      <c r="F100" s="455"/>
      <c r="G100" s="456"/>
      <c r="H100" s="542" t="str">
        <f>IF(D100="","",VLOOKUP(D100,'Fatores de Emissão'!$D$86:$F$96,3,FALSE))</f>
        <v/>
      </c>
      <c r="I100" s="1023" t="str">
        <f>IF(OR($D100="",$D100="-"),"",VLOOKUP($D100,'Fatores de Emissão'!$D$86:$E$96,2,FALSE))</f>
        <v/>
      </c>
      <c r="J100" s="1023" t="str">
        <f>IF(OR($D100="",$D100="-"),"",VLOOKUP($D100,'Fatores de Emissão'!$D$86:$G$96,4,FALSE))</f>
        <v/>
      </c>
      <c r="K100" s="1023" t="str">
        <f>IF(OR($D100="",$D100="-"),"",VLOOKUP($D100,'Fatores de Emissão'!$D$86:$I$96,6,FALSE))</f>
        <v/>
      </c>
      <c r="L100" s="960" t="str">
        <f>IFERROR(IF((OR($D100="",$D100="-")),"",IF(H100="kg/km",I100*E100/1000,IF(H100="kg/p.km",E100*#REF!*I100/1000,E100*#REF!*I100/1000))),"-")</f>
        <v/>
      </c>
      <c r="M100" s="1023" t="str">
        <f>IFERROR(IF((OR($D100="",$D100="-")),"",IF(H100="kg/km",J100*E100/1000,IF(H100="kg/p.km",E100*#REF!*J100/1000,E100*#REF!*J100/1000))),"-")</f>
        <v/>
      </c>
      <c r="N100" s="1023" t="str">
        <f>IFERROR(IF((OR($D100="",$D100="-")),"",IF(H100="kg/km",K100*E100/1000,IF(H100="kg/p.km",E100*#REF!*K100/1000,E100*#REF!*K100/1000))),"-")</f>
        <v/>
      </c>
      <c r="O100" s="961" t="str">
        <f>IF(B100="","",IF(D100="","",L100*'Fatores de Emissão'!$E$252+'Combustão Móvel'!M100*'Fatores de Emissão'!$E$248+'Combustão Móvel'!N100*'Fatores de Emissão'!$E$249))</f>
        <v/>
      </c>
    </row>
    <row r="101" spans="2:15" s="357" customFormat="1" ht="19.899999999999999" hidden="1" customHeight="1" outlineLevel="2" x14ac:dyDescent="0.35">
      <c r="B101" s="454"/>
      <c r="C101" s="454"/>
      <c r="D101" s="454"/>
      <c r="E101" s="541"/>
      <c r="F101" s="455"/>
      <c r="G101" s="456"/>
      <c r="H101" s="542" t="str">
        <f>IF(D101="","",VLOOKUP(D101,'Fatores de Emissão'!$D$86:$F$96,3,FALSE))</f>
        <v/>
      </c>
      <c r="I101" s="1023" t="str">
        <f>IF(OR($D101="",$D101="-"),"",VLOOKUP($D101,'Fatores de Emissão'!$D$86:$E$96,2,FALSE))</f>
        <v/>
      </c>
      <c r="J101" s="1023" t="str">
        <f>IF(OR($D101="",$D101="-"),"",VLOOKUP($D101,'Fatores de Emissão'!$D$86:$G$96,4,FALSE))</f>
        <v/>
      </c>
      <c r="K101" s="1023" t="str">
        <f>IF(OR($D101="",$D101="-"),"",VLOOKUP($D101,'Fatores de Emissão'!$D$86:$I$96,6,FALSE))</f>
        <v/>
      </c>
      <c r="L101" s="960" t="str">
        <f>IFERROR(IF((OR($D101="",$D101="-")),"",IF(H101="kg/km",I101*E101/1000,IF(H101="kg/p.km",E101*#REF!*I101/1000,E101*#REF!*I101/1000))),"-")</f>
        <v/>
      </c>
      <c r="M101" s="1023" t="str">
        <f>IFERROR(IF((OR($D101="",$D101="-")),"",IF(H101="kg/km",J101*E101/1000,IF(H101="kg/p.km",E101*#REF!*J101/1000,E101*#REF!*J101/1000))),"-")</f>
        <v/>
      </c>
      <c r="N101" s="1023" t="str">
        <f>IFERROR(IF((OR($D101="",$D101="-")),"",IF(H101="kg/km",K101*E101/1000,IF(H101="kg/p.km",E101*#REF!*K101/1000,E101*#REF!*K101/1000))),"-")</f>
        <v/>
      </c>
      <c r="O101" s="961" t="str">
        <f>IF(B101="","",IF(D101="","",L101*'Fatores de Emissão'!$E$252+'Combustão Móvel'!M101*'Fatores de Emissão'!$E$248+'Combustão Móvel'!N101*'Fatores de Emissão'!$E$249))</f>
        <v/>
      </c>
    </row>
    <row r="102" spans="2:15" s="357" customFormat="1" ht="19.899999999999999" hidden="1" customHeight="1" outlineLevel="2" x14ac:dyDescent="0.35">
      <c r="B102" s="454"/>
      <c r="C102" s="454"/>
      <c r="D102" s="454"/>
      <c r="E102" s="541"/>
      <c r="F102" s="455"/>
      <c r="G102" s="456"/>
      <c r="H102" s="542" t="str">
        <f>IF(D102="","",VLOOKUP(D102,'Fatores de Emissão'!$D$86:$F$96,3,FALSE))</f>
        <v/>
      </c>
      <c r="I102" s="1023" t="str">
        <f>IF(OR($D102="",$D102="-"),"",VLOOKUP($D102,'Fatores de Emissão'!$D$86:$E$96,2,FALSE))</f>
        <v/>
      </c>
      <c r="J102" s="1023" t="str">
        <f>IF(OR($D102="",$D102="-"),"",VLOOKUP($D102,'Fatores de Emissão'!$D$86:$G$96,4,FALSE))</f>
        <v/>
      </c>
      <c r="K102" s="1023" t="str">
        <f>IF(OR($D102="",$D102="-"),"",VLOOKUP($D102,'Fatores de Emissão'!$D$86:$I$96,6,FALSE))</f>
        <v/>
      </c>
      <c r="L102" s="960" t="str">
        <f>IFERROR(IF((OR($D102="",$D102="-")),"",IF(H102="kg/km",I102*E102/1000,IF(H102="kg/p.km",E102*#REF!*I102/1000,E102*#REF!*I102/1000))),"-")</f>
        <v/>
      </c>
      <c r="M102" s="1023" t="str">
        <f>IFERROR(IF((OR($D102="",$D102="-")),"",IF(H102="kg/km",J102*E102/1000,IF(H102="kg/p.km",E102*#REF!*J102/1000,E102*#REF!*J102/1000))),"-")</f>
        <v/>
      </c>
      <c r="N102" s="1023" t="str">
        <f>IFERROR(IF((OR($D102="",$D102="-")),"",IF(H102="kg/km",K102*E102/1000,IF(H102="kg/p.km",E102*#REF!*K102/1000,E102*#REF!*K102/1000))),"-")</f>
        <v/>
      </c>
      <c r="O102" s="961" t="str">
        <f>IF(B102="","",IF(D102="","",L102*'Fatores de Emissão'!$E$252+'Combustão Móvel'!M102*'Fatores de Emissão'!$E$248+'Combustão Móvel'!N102*'Fatores de Emissão'!$E$249))</f>
        <v/>
      </c>
    </row>
    <row r="103" spans="2:15" s="357" customFormat="1" ht="19.899999999999999" hidden="1" customHeight="1" outlineLevel="2" x14ac:dyDescent="0.35">
      <c r="B103" s="454"/>
      <c r="C103" s="454"/>
      <c r="D103" s="454"/>
      <c r="E103" s="541"/>
      <c r="F103" s="455"/>
      <c r="G103" s="456"/>
      <c r="H103" s="542" t="str">
        <f>IF(D103="","",VLOOKUP(D103,'Fatores de Emissão'!$D$86:$F$96,3,FALSE))</f>
        <v/>
      </c>
      <c r="I103" s="1023" t="str">
        <f>IF(OR($D103="",$D103="-"),"",VLOOKUP($D103,'Fatores de Emissão'!$D$86:$E$96,2,FALSE))</f>
        <v/>
      </c>
      <c r="J103" s="1023" t="str">
        <f>IF(OR($D103="",$D103="-"),"",VLOOKUP($D103,'Fatores de Emissão'!$D$86:$G$96,4,FALSE))</f>
        <v/>
      </c>
      <c r="K103" s="1023" t="str">
        <f>IF(OR($D103="",$D103="-"),"",VLOOKUP($D103,'Fatores de Emissão'!$D$86:$I$96,6,FALSE))</f>
        <v/>
      </c>
      <c r="L103" s="960" t="str">
        <f>IFERROR(IF((OR($D103="",$D103="-")),"",IF(H103="kg/km",I103*E103/1000,IF(H103="kg/p.km",E103*#REF!*I103/1000,E103*#REF!*I103/1000))),"-")</f>
        <v/>
      </c>
      <c r="M103" s="1023" t="str">
        <f>IFERROR(IF((OR($D103="",$D103="-")),"",IF(H103="kg/km",J103*E103/1000,IF(H103="kg/p.km",E103*#REF!*J103/1000,E103*#REF!*J103/1000))),"-")</f>
        <v/>
      </c>
      <c r="N103" s="1023" t="str">
        <f>IFERROR(IF((OR($D103="",$D103="-")),"",IF(H103="kg/km",K103*E103/1000,IF(H103="kg/p.km",E103*#REF!*K103/1000,E103*#REF!*K103/1000))),"-")</f>
        <v/>
      </c>
      <c r="O103" s="961" t="str">
        <f>IF(B103="","",IF(D103="","",L103*'Fatores de Emissão'!$E$252+'Combustão Móvel'!M103*'Fatores de Emissão'!$E$248+'Combustão Móvel'!N103*'Fatores de Emissão'!$E$249))</f>
        <v/>
      </c>
    </row>
    <row r="104" spans="2:15" s="357" customFormat="1" ht="19.899999999999999" hidden="1" customHeight="1" outlineLevel="2" x14ac:dyDescent="0.35">
      <c r="B104" s="454"/>
      <c r="C104" s="454"/>
      <c r="D104" s="454"/>
      <c r="E104" s="541"/>
      <c r="F104" s="455"/>
      <c r="G104" s="456"/>
      <c r="H104" s="542" t="str">
        <f>IF(D104="","",VLOOKUP(D104,'Fatores de Emissão'!$D$86:$F$96,3,FALSE))</f>
        <v/>
      </c>
      <c r="I104" s="1023" t="str">
        <f>IF(OR($D104="",$D104="-"),"",VLOOKUP($D104,'Fatores de Emissão'!$D$86:$E$96,2,FALSE))</f>
        <v/>
      </c>
      <c r="J104" s="1023" t="str">
        <f>IF(OR($D104="",$D104="-"),"",VLOOKUP($D104,'Fatores de Emissão'!$D$86:$G$96,4,FALSE))</f>
        <v/>
      </c>
      <c r="K104" s="1023" t="str">
        <f>IF(OR($D104="",$D104="-"),"",VLOOKUP($D104,'Fatores de Emissão'!$D$86:$I$96,6,FALSE))</f>
        <v/>
      </c>
      <c r="L104" s="960" t="str">
        <f>IFERROR(IF((OR($D104="",$D104="-")),"",IF(H104="kg/km",I104*E104/1000,IF(H104="kg/p.km",E104*#REF!*I104/1000,E104*#REF!*I104/1000))),"-")</f>
        <v/>
      </c>
      <c r="M104" s="1023" t="str">
        <f>IFERROR(IF((OR($D104="",$D104="-")),"",IF(H104="kg/km",J104*E104/1000,IF(H104="kg/p.km",E104*#REF!*J104/1000,E104*#REF!*J104/1000))),"-")</f>
        <v/>
      </c>
      <c r="N104" s="1023" t="str">
        <f>IFERROR(IF((OR($D104="",$D104="-")),"",IF(H104="kg/km",K104*E104/1000,IF(H104="kg/p.km",E104*#REF!*K104/1000,E104*#REF!*K104/1000))),"-")</f>
        <v/>
      </c>
      <c r="O104" s="961" t="str">
        <f>IF(B104="","",IF(D104="","",L104*'Fatores de Emissão'!$E$252+'Combustão Móvel'!M104*'Fatores de Emissão'!$E$248+'Combustão Móvel'!N104*'Fatores de Emissão'!$E$249))</f>
        <v/>
      </c>
    </row>
    <row r="105" spans="2:15" s="357" customFormat="1" ht="19.899999999999999" hidden="1" customHeight="1" outlineLevel="2" x14ac:dyDescent="0.35">
      <c r="B105" s="454"/>
      <c r="C105" s="454"/>
      <c r="D105" s="454"/>
      <c r="E105" s="541"/>
      <c r="F105" s="455"/>
      <c r="G105" s="456"/>
      <c r="H105" s="542" t="str">
        <f>IF(D105="","",VLOOKUP(D105,'Fatores de Emissão'!$D$86:$F$96,3,FALSE))</f>
        <v/>
      </c>
      <c r="I105" s="1023" t="str">
        <f>IF(OR($D105="",$D105="-"),"",VLOOKUP($D105,'Fatores de Emissão'!$D$86:$E$96,2,FALSE))</f>
        <v/>
      </c>
      <c r="J105" s="1023" t="str">
        <f>IF(OR($D105="",$D105="-"),"",VLOOKUP($D105,'Fatores de Emissão'!$D$86:$G$96,4,FALSE))</f>
        <v/>
      </c>
      <c r="K105" s="1023" t="str">
        <f>IF(OR($D105="",$D105="-"),"",VLOOKUP($D105,'Fatores de Emissão'!$D$86:$I$96,6,FALSE))</f>
        <v/>
      </c>
      <c r="L105" s="960" t="str">
        <f>IFERROR(IF((OR($D105="",$D105="-")),"",IF(H105="kg/km",I105*E105/1000,IF(H105="kg/p.km",E105*#REF!*I105/1000,E105*#REF!*I105/1000))),"-")</f>
        <v/>
      </c>
      <c r="M105" s="1023" t="str">
        <f>IFERROR(IF((OR($D105="",$D105="-")),"",IF(H105="kg/km",J105*E105/1000,IF(H105="kg/p.km",E105*#REF!*J105/1000,E105*#REF!*J105/1000))),"-")</f>
        <v/>
      </c>
      <c r="N105" s="1023" t="str">
        <f>IFERROR(IF((OR($D105="",$D105="-")),"",IF(H105="kg/km",K105*E105/1000,IF(H105="kg/p.km",E105*#REF!*K105/1000,E105*#REF!*K105/1000))),"-")</f>
        <v/>
      </c>
      <c r="O105" s="961" t="str">
        <f>IF(B105="","",IF(D105="","",L105*'Fatores de Emissão'!$E$252+'Combustão Móvel'!M105*'Fatores de Emissão'!$E$248+'Combustão Móvel'!N105*'Fatores de Emissão'!$E$249))</f>
        <v/>
      </c>
    </row>
    <row r="106" spans="2:15" s="357" customFormat="1" ht="19.899999999999999" hidden="1" customHeight="1" outlineLevel="2" x14ac:dyDescent="0.35">
      <c r="B106" s="454"/>
      <c r="C106" s="454"/>
      <c r="D106" s="454"/>
      <c r="E106" s="541"/>
      <c r="F106" s="455"/>
      <c r="G106" s="456"/>
      <c r="H106" s="542" t="str">
        <f>IF(D106="","",VLOOKUP(D106,'Fatores de Emissão'!$D$86:$F$96,3,FALSE))</f>
        <v/>
      </c>
      <c r="I106" s="1023" t="str">
        <f>IF(OR($D106="",$D106="-"),"",VLOOKUP($D106,'Fatores de Emissão'!$D$86:$E$96,2,FALSE))</f>
        <v/>
      </c>
      <c r="J106" s="1023" t="str">
        <f>IF(OR($D106="",$D106="-"),"",VLOOKUP($D106,'Fatores de Emissão'!$D$86:$G$96,4,FALSE))</f>
        <v/>
      </c>
      <c r="K106" s="1023" t="str">
        <f>IF(OR($D106="",$D106="-"),"",VLOOKUP($D106,'Fatores de Emissão'!$D$86:$I$96,6,FALSE))</f>
        <v/>
      </c>
      <c r="L106" s="960" t="str">
        <f>IFERROR(IF((OR($D106="",$D106="-")),"",IF(H106="kg/km",I106*E106/1000,IF(H106="kg/p.km",E106*#REF!*I106/1000,E106*#REF!*I106/1000))),"-")</f>
        <v/>
      </c>
      <c r="M106" s="1023" t="str">
        <f>IFERROR(IF((OR($D106="",$D106="-")),"",IF(H106="kg/km",J106*E106/1000,IF(H106="kg/p.km",E106*#REF!*J106/1000,E106*#REF!*J106/1000))),"-")</f>
        <v/>
      </c>
      <c r="N106" s="1023" t="str">
        <f>IFERROR(IF((OR($D106="",$D106="-")),"",IF(H106="kg/km",K106*E106/1000,IF(H106="kg/p.km",E106*#REF!*K106/1000,E106*#REF!*K106/1000))),"-")</f>
        <v/>
      </c>
      <c r="O106" s="961" t="str">
        <f>IF(B106="","",IF(D106="","",L106*'Fatores de Emissão'!$E$252+'Combustão Móvel'!M106*'Fatores de Emissão'!$E$248+'Combustão Móvel'!N106*'Fatores de Emissão'!$E$249))</f>
        <v/>
      </c>
    </row>
    <row r="107" spans="2:15" s="357" customFormat="1" ht="19.899999999999999" hidden="1" customHeight="1" outlineLevel="2" x14ac:dyDescent="0.35">
      <c r="B107" s="454"/>
      <c r="C107" s="454"/>
      <c r="D107" s="454"/>
      <c r="E107" s="541"/>
      <c r="F107" s="455"/>
      <c r="G107" s="456"/>
      <c r="H107" s="542" t="str">
        <f>IF(D107="","",VLOOKUP(D107,'Fatores de Emissão'!$D$86:$F$96,3,FALSE))</f>
        <v/>
      </c>
      <c r="I107" s="1023" t="str">
        <f>IF(OR($D107="",$D107="-"),"",VLOOKUP($D107,'Fatores de Emissão'!$D$86:$E$96,2,FALSE))</f>
        <v/>
      </c>
      <c r="J107" s="1023" t="str">
        <f>IF(OR($D107="",$D107="-"),"",VLOOKUP($D107,'Fatores de Emissão'!$D$86:$G$96,4,FALSE))</f>
        <v/>
      </c>
      <c r="K107" s="1023" t="str">
        <f>IF(OR($D107="",$D107="-"),"",VLOOKUP($D107,'Fatores de Emissão'!$D$86:$I$96,6,FALSE))</f>
        <v/>
      </c>
      <c r="L107" s="960" t="str">
        <f>IFERROR(IF((OR($D107="",$D107="-")),"",IF(H107="kg/km",I107*E107/1000,IF(H107="kg/p.km",E107*#REF!*I107/1000,E107*#REF!*I107/1000))),"-")</f>
        <v/>
      </c>
      <c r="M107" s="1023" t="str">
        <f>IFERROR(IF((OR($D107="",$D107="-")),"",IF(H107="kg/km",J107*E107/1000,IF(H107="kg/p.km",E107*#REF!*J107/1000,E107*#REF!*J107/1000))),"-")</f>
        <v/>
      </c>
      <c r="N107" s="1023" t="str">
        <f>IFERROR(IF((OR($D107="",$D107="-")),"",IF(H107="kg/km",K107*E107/1000,IF(H107="kg/p.km",E107*#REF!*K107/1000,E107*#REF!*K107/1000))),"-")</f>
        <v/>
      </c>
      <c r="O107" s="961" t="str">
        <f>IF(B107="","",IF(D107="","",L107*'Fatores de Emissão'!$E$252+'Combustão Móvel'!M107*'Fatores de Emissão'!$E$248+'Combustão Móvel'!N107*'Fatores de Emissão'!$E$249))</f>
        <v/>
      </c>
    </row>
    <row r="108" spans="2:15" s="357" customFormat="1" ht="19.899999999999999" hidden="1" customHeight="1" outlineLevel="2" x14ac:dyDescent="0.35">
      <c r="B108" s="454"/>
      <c r="C108" s="454"/>
      <c r="D108" s="454"/>
      <c r="E108" s="541"/>
      <c r="F108" s="455"/>
      <c r="G108" s="456"/>
      <c r="H108" s="542" t="str">
        <f>IF(D108="","",VLOOKUP(D108,'Fatores de Emissão'!$D$86:$F$96,3,FALSE))</f>
        <v/>
      </c>
      <c r="I108" s="1023" t="str">
        <f>IF(OR($D108="",$D108="-"),"",VLOOKUP($D108,'Fatores de Emissão'!$D$86:$E$96,2,FALSE))</f>
        <v/>
      </c>
      <c r="J108" s="1023" t="str">
        <f>IF(OR($D108="",$D108="-"),"",VLOOKUP($D108,'Fatores de Emissão'!$D$86:$G$96,4,FALSE))</f>
        <v/>
      </c>
      <c r="K108" s="1023" t="str">
        <f>IF(OR($D108="",$D108="-"),"",VLOOKUP($D108,'Fatores de Emissão'!$D$86:$I$96,6,FALSE))</f>
        <v/>
      </c>
      <c r="L108" s="960" t="str">
        <f>IFERROR(IF((OR($D108="",$D108="-")),"",IF(H108="kg/km",I108*E108/1000,IF(H108="kg/p.km",E108*#REF!*I108/1000,E108*#REF!*I108/1000))),"-")</f>
        <v/>
      </c>
      <c r="M108" s="1023" t="str">
        <f>IFERROR(IF((OR($D108="",$D108="-")),"",IF(H108="kg/km",J108*E108/1000,IF(H108="kg/p.km",E108*#REF!*J108/1000,E108*#REF!*J108/1000))),"-")</f>
        <v/>
      </c>
      <c r="N108" s="1023" t="str">
        <f>IFERROR(IF((OR($D108="",$D108="-")),"",IF(H108="kg/km",K108*E108/1000,IF(H108="kg/p.km",E108*#REF!*K108/1000,E108*#REF!*K108/1000))),"-")</f>
        <v/>
      </c>
      <c r="O108" s="961" t="str">
        <f>IF(B108="","",IF(D108="","",L108*'Fatores de Emissão'!$E$252+'Combustão Móvel'!M108*'Fatores de Emissão'!$E$248+'Combustão Móvel'!N108*'Fatores de Emissão'!$E$249))</f>
        <v/>
      </c>
    </row>
    <row r="109" spans="2:15" s="357" customFormat="1" ht="19.899999999999999" hidden="1" customHeight="1" outlineLevel="2" x14ac:dyDescent="0.35">
      <c r="B109" s="454"/>
      <c r="C109" s="454"/>
      <c r="D109" s="454"/>
      <c r="E109" s="541"/>
      <c r="F109" s="455"/>
      <c r="G109" s="456"/>
      <c r="H109" s="542" t="str">
        <f>IF(D109="","",VLOOKUP(D109,'Fatores de Emissão'!$D$86:$F$96,3,FALSE))</f>
        <v/>
      </c>
      <c r="I109" s="1023" t="str">
        <f>IF(OR($D109="",$D109="-"),"",VLOOKUP($D109,'Fatores de Emissão'!$D$86:$E$96,2,FALSE))</f>
        <v/>
      </c>
      <c r="J109" s="1023" t="str">
        <f>IF(OR($D109="",$D109="-"),"",VLOOKUP($D109,'Fatores de Emissão'!$D$86:$G$96,4,FALSE))</f>
        <v/>
      </c>
      <c r="K109" s="1023" t="str">
        <f>IF(OR($D109="",$D109="-"),"",VLOOKUP($D109,'Fatores de Emissão'!$D$86:$I$96,6,FALSE))</f>
        <v/>
      </c>
      <c r="L109" s="960" t="str">
        <f>IFERROR(IF((OR($D109="",$D109="-")),"",IF(H109="kg/km",I109*E109/1000,IF(H109="kg/p.km",E109*#REF!*I109/1000,E109*#REF!*I109/1000))),"-")</f>
        <v/>
      </c>
      <c r="M109" s="1023" t="str">
        <f>IFERROR(IF((OR($D109="",$D109="-")),"",IF(H109="kg/km",J109*E109/1000,IF(H109="kg/p.km",E109*#REF!*J109/1000,E109*#REF!*J109/1000))),"-")</f>
        <v/>
      </c>
      <c r="N109" s="1023" t="str">
        <f>IFERROR(IF((OR($D109="",$D109="-")),"",IF(H109="kg/km",K109*E109/1000,IF(H109="kg/p.km",E109*#REF!*K109/1000,E109*#REF!*K109/1000))),"-")</f>
        <v/>
      </c>
      <c r="O109" s="961" t="str">
        <f>IF(B109="","",IF(D109="","",L109*'Fatores de Emissão'!$E$252+'Combustão Móvel'!M109*'Fatores de Emissão'!$E$248+'Combustão Móvel'!N109*'Fatores de Emissão'!$E$249))</f>
        <v/>
      </c>
    </row>
    <row r="110" spans="2:15" s="357" customFormat="1" ht="19.899999999999999" hidden="1" customHeight="1" outlineLevel="2" x14ac:dyDescent="0.35">
      <c r="B110" s="454"/>
      <c r="C110" s="454"/>
      <c r="D110" s="454"/>
      <c r="E110" s="541"/>
      <c r="F110" s="455"/>
      <c r="G110" s="456"/>
      <c r="H110" s="542" t="str">
        <f>IF(D110="","",VLOOKUP(D110,'Fatores de Emissão'!$D$86:$F$96,3,FALSE))</f>
        <v/>
      </c>
      <c r="I110" s="1023" t="str">
        <f>IF(OR($D110="",$D110="-"),"",VLOOKUP($D110,'Fatores de Emissão'!$D$86:$E$96,2,FALSE))</f>
        <v/>
      </c>
      <c r="J110" s="1023" t="str">
        <f>IF(OR($D110="",$D110="-"),"",VLOOKUP($D110,'Fatores de Emissão'!$D$86:$G$96,4,FALSE))</f>
        <v/>
      </c>
      <c r="K110" s="1023" t="str">
        <f>IF(OR($D110="",$D110="-"),"",VLOOKUP($D110,'Fatores de Emissão'!$D$86:$I$96,6,FALSE))</f>
        <v/>
      </c>
      <c r="L110" s="960" t="str">
        <f>IFERROR(IF((OR($D110="",$D110="-")),"",IF(H110="kg/km",I110*E110/1000,IF(H110="kg/p.km",E110*#REF!*I110/1000,E110*#REF!*I110/1000))),"-")</f>
        <v/>
      </c>
      <c r="M110" s="1023" t="str">
        <f>IFERROR(IF((OR($D110="",$D110="-")),"",IF(H110="kg/km",J110*E110/1000,IF(H110="kg/p.km",E110*#REF!*J110/1000,E110*#REF!*J110/1000))),"-")</f>
        <v/>
      </c>
      <c r="N110" s="1023" t="str">
        <f>IFERROR(IF((OR($D110="",$D110="-")),"",IF(H110="kg/km",K110*E110/1000,IF(H110="kg/p.km",E110*#REF!*K110/1000,E110*#REF!*K110/1000))),"-")</f>
        <v/>
      </c>
      <c r="O110" s="961" t="str">
        <f>IF(B110="","",IF(D110="","",L110*'Fatores de Emissão'!$E$252+'Combustão Móvel'!M110*'Fatores de Emissão'!$E$248+'Combustão Móvel'!N110*'Fatores de Emissão'!$E$249))</f>
        <v/>
      </c>
    </row>
    <row r="111" spans="2:15" s="357" customFormat="1" ht="19.899999999999999" hidden="1" customHeight="1" outlineLevel="2" x14ac:dyDescent="0.35">
      <c r="B111" s="454"/>
      <c r="C111" s="454"/>
      <c r="D111" s="454"/>
      <c r="E111" s="541"/>
      <c r="F111" s="455"/>
      <c r="G111" s="456"/>
      <c r="H111" s="542" t="str">
        <f>IF(D111="","",VLOOKUP(D111,'Fatores de Emissão'!$D$86:$F$96,3,FALSE))</f>
        <v/>
      </c>
      <c r="I111" s="1023" t="str">
        <f>IF(OR($D111="",$D111="-"),"",VLOOKUP($D111,'Fatores de Emissão'!$D$86:$E$96,2,FALSE))</f>
        <v/>
      </c>
      <c r="J111" s="1023" t="str">
        <f>IF(OR($D111="",$D111="-"),"",VLOOKUP($D111,'Fatores de Emissão'!$D$86:$G$96,4,FALSE))</f>
        <v/>
      </c>
      <c r="K111" s="1023" t="str">
        <f>IF(OR($D111="",$D111="-"),"",VLOOKUP($D111,'Fatores de Emissão'!$D$86:$I$96,6,FALSE))</f>
        <v/>
      </c>
      <c r="L111" s="960" t="str">
        <f>IFERROR(IF((OR($D111="",$D111="-")),"",IF(H111="kg/km",I111*E111/1000,IF(H111="kg/p.km",E111*#REF!*I111/1000,E111*#REF!*I111/1000))),"-")</f>
        <v/>
      </c>
      <c r="M111" s="1023" t="str">
        <f>IFERROR(IF((OR($D111="",$D111="-")),"",IF(H111="kg/km",J111*E111/1000,IF(H111="kg/p.km",E111*#REF!*J111/1000,E111*#REF!*J111/1000))),"-")</f>
        <v/>
      </c>
      <c r="N111" s="1023" t="str">
        <f>IFERROR(IF((OR($D111="",$D111="-")),"",IF(H111="kg/km",K111*E111/1000,IF(H111="kg/p.km",E111*#REF!*K111/1000,E111*#REF!*K111/1000))),"-")</f>
        <v/>
      </c>
      <c r="O111" s="961" t="str">
        <f>IF(B111="","",IF(D111="","",L111*'Fatores de Emissão'!$E$252+'Combustão Móvel'!M111*'Fatores de Emissão'!$E$248+'Combustão Móvel'!N111*'Fatores de Emissão'!$E$249))</f>
        <v/>
      </c>
    </row>
    <row r="112" spans="2:15" s="357" customFormat="1" ht="19.899999999999999" hidden="1" customHeight="1" outlineLevel="2" x14ac:dyDescent="0.35">
      <c r="B112" s="454"/>
      <c r="C112" s="454"/>
      <c r="D112" s="454"/>
      <c r="E112" s="541"/>
      <c r="F112" s="455"/>
      <c r="G112" s="456"/>
      <c r="H112" s="542" t="str">
        <f>IF(D112="","",VLOOKUP(D112,'Fatores de Emissão'!$D$86:$F$96,3,FALSE))</f>
        <v/>
      </c>
      <c r="I112" s="1023" t="str">
        <f>IF(OR($D112="",$D112="-"),"",VLOOKUP($D112,'Fatores de Emissão'!$D$86:$E$96,2,FALSE))</f>
        <v/>
      </c>
      <c r="J112" s="1023" t="str">
        <f>IF(OR($D112="",$D112="-"),"",VLOOKUP($D112,'Fatores de Emissão'!$D$86:$G$96,4,FALSE))</f>
        <v/>
      </c>
      <c r="K112" s="1023" t="str">
        <f>IF(OR($D112="",$D112="-"),"",VLOOKUP($D112,'Fatores de Emissão'!$D$86:$I$96,6,FALSE))</f>
        <v/>
      </c>
      <c r="L112" s="960" t="str">
        <f>IFERROR(IF((OR($D112="",$D112="-")),"",IF(H112="kg/km",I112*E112/1000,IF(H112="kg/p.km",E112*#REF!*I112/1000,E112*#REF!*I112/1000))),"-")</f>
        <v/>
      </c>
      <c r="M112" s="1023" t="str">
        <f>IFERROR(IF((OR($D112="",$D112="-")),"",IF(H112="kg/km",J112*E112/1000,IF(H112="kg/p.km",E112*#REF!*J112/1000,E112*#REF!*J112/1000))),"-")</f>
        <v/>
      </c>
      <c r="N112" s="1023" t="str">
        <f>IFERROR(IF((OR($D112="",$D112="-")),"",IF(H112="kg/km",K112*E112/1000,IF(H112="kg/p.km",E112*#REF!*K112/1000,E112*#REF!*K112/1000))),"-")</f>
        <v/>
      </c>
      <c r="O112" s="961" t="str">
        <f>IF(B112="","",IF(D112="","",L112*'Fatores de Emissão'!$E$252+'Combustão Móvel'!M112*'Fatores de Emissão'!$E$248+'Combustão Móvel'!N112*'Fatores de Emissão'!$E$249))</f>
        <v/>
      </c>
    </row>
    <row r="113" spans="2:15" s="357" customFormat="1" ht="19.899999999999999" hidden="1" customHeight="1" outlineLevel="2" x14ac:dyDescent="0.35">
      <c r="B113" s="454"/>
      <c r="C113" s="454"/>
      <c r="D113" s="454"/>
      <c r="E113" s="541"/>
      <c r="F113" s="455"/>
      <c r="G113" s="456"/>
      <c r="H113" s="542" t="str">
        <f>IF(D113="","",VLOOKUP(D113,'Fatores de Emissão'!$D$86:$F$96,3,FALSE))</f>
        <v/>
      </c>
      <c r="I113" s="1023" t="str">
        <f>IF(OR($D113="",$D113="-"),"",VLOOKUP($D113,'Fatores de Emissão'!$D$86:$E$96,2,FALSE))</f>
        <v/>
      </c>
      <c r="J113" s="1023" t="str">
        <f>IF(OR($D113="",$D113="-"),"",VLOOKUP($D113,'Fatores de Emissão'!$D$86:$G$96,4,FALSE))</f>
        <v/>
      </c>
      <c r="K113" s="1023" t="str">
        <f>IF(OR($D113="",$D113="-"),"",VLOOKUP($D113,'Fatores de Emissão'!$D$86:$I$96,6,FALSE))</f>
        <v/>
      </c>
      <c r="L113" s="960" t="str">
        <f>IFERROR(IF((OR($D113="",$D113="-")),"",IF(H113="kg/km",I113*E113/1000,IF(H113="kg/p.km",E113*#REF!*I113/1000,E113*#REF!*I113/1000))),"-")</f>
        <v/>
      </c>
      <c r="M113" s="1023" t="str">
        <f>IFERROR(IF((OR($D113="",$D113="-")),"",IF(H113="kg/km",J113*E113/1000,IF(H113="kg/p.km",E113*#REF!*J113/1000,E113*#REF!*J113/1000))),"-")</f>
        <v/>
      </c>
      <c r="N113" s="1023" t="str">
        <f>IFERROR(IF((OR($D113="",$D113="-")),"",IF(H113="kg/km",K113*E113/1000,IF(H113="kg/p.km",E113*#REF!*K113/1000,E113*#REF!*K113/1000))),"-")</f>
        <v/>
      </c>
      <c r="O113" s="961" t="str">
        <f>IF(B113="","",IF(D113="","",L113*'Fatores de Emissão'!$E$252+'Combustão Móvel'!M113*'Fatores de Emissão'!$E$248+'Combustão Móvel'!N113*'Fatores de Emissão'!$E$249))</f>
        <v/>
      </c>
    </row>
    <row r="114" spans="2:15" s="357" customFormat="1" ht="19.899999999999999" hidden="1" customHeight="1" outlineLevel="2" x14ac:dyDescent="0.35">
      <c r="B114" s="454"/>
      <c r="C114" s="454"/>
      <c r="D114" s="454"/>
      <c r="E114" s="541"/>
      <c r="F114" s="455"/>
      <c r="G114" s="456"/>
      <c r="H114" s="542" t="str">
        <f>IF(D114="","",VLOOKUP(D114,'Fatores de Emissão'!$D$86:$F$96,3,FALSE))</f>
        <v/>
      </c>
      <c r="I114" s="1023" t="str">
        <f>IF(OR($D114="",$D114="-"),"",VLOOKUP($D114,'Fatores de Emissão'!$D$86:$E$96,2,FALSE))</f>
        <v/>
      </c>
      <c r="J114" s="1023" t="str">
        <f>IF(OR($D114="",$D114="-"),"",VLOOKUP($D114,'Fatores de Emissão'!$D$86:$G$96,4,FALSE))</f>
        <v/>
      </c>
      <c r="K114" s="1023" t="str">
        <f>IF(OR($D114="",$D114="-"),"",VLOOKUP($D114,'Fatores de Emissão'!$D$86:$I$96,6,FALSE))</f>
        <v/>
      </c>
      <c r="L114" s="960" t="str">
        <f>IFERROR(IF((OR($D114="",$D114="-")),"",IF(H114="kg/km",I114*E114/1000,IF(H114="kg/p.km",E114*#REF!*I114/1000,E114*#REF!*I114/1000))),"-")</f>
        <v/>
      </c>
      <c r="M114" s="1023" t="str">
        <f>IFERROR(IF((OR($D114="",$D114="-")),"",IF(H114="kg/km",J114*E114/1000,IF(H114="kg/p.km",E114*#REF!*J114/1000,E114*#REF!*J114/1000))),"-")</f>
        <v/>
      </c>
      <c r="N114" s="1023" t="str">
        <f>IFERROR(IF((OR($D114="",$D114="-")),"",IF(H114="kg/km",K114*E114/1000,IF(H114="kg/p.km",E114*#REF!*K114/1000,E114*#REF!*K114/1000))),"-")</f>
        <v/>
      </c>
      <c r="O114" s="961" t="str">
        <f>IF(B114="","",IF(D114="","",L114*'Fatores de Emissão'!$E$252+'Combustão Móvel'!M114*'Fatores de Emissão'!$E$248+'Combustão Móvel'!N114*'Fatores de Emissão'!$E$249))</f>
        <v/>
      </c>
    </row>
    <row r="115" spans="2:15" s="357" customFormat="1" ht="19.899999999999999" hidden="1" customHeight="1" outlineLevel="2" x14ac:dyDescent="0.35">
      <c r="B115" s="454"/>
      <c r="C115" s="454"/>
      <c r="D115" s="454"/>
      <c r="E115" s="541"/>
      <c r="F115" s="455"/>
      <c r="G115" s="456"/>
      <c r="H115" s="542" t="str">
        <f>IF(D115="","",VLOOKUP(D115,'Fatores de Emissão'!$D$86:$F$96,3,FALSE))</f>
        <v/>
      </c>
      <c r="I115" s="1023" t="str">
        <f>IF(OR($D115="",$D115="-"),"",VLOOKUP($D115,'Fatores de Emissão'!$D$86:$E$96,2,FALSE))</f>
        <v/>
      </c>
      <c r="J115" s="1023" t="str">
        <f>IF(OR($D115="",$D115="-"),"",VLOOKUP($D115,'Fatores de Emissão'!$D$86:$G$96,4,FALSE))</f>
        <v/>
      </c>
      <c r="K115" s="1023" t="str">
        <f>IF(OR($D115="",$D115="-"),"",VLOOKUP($D115,'Fatores de Emissão'!$D$86:$I$96,6,FALSE))</f>
        <v/>
      </c>
      <c r="L115" s="960" t="str">
        <f>IFERROR(IF((OR($D115="",$D115="-")),"",IF(H115="kg/km",I115*E115/1000,IF(H115="kg/p.km",E115*#REF!*I115/1000,E115*#REF!*I115/1000))),"-")</f>
        <v/>
      </c>
      <c r="M115" s="1023" t="str">
        <f>IFERROR(IF((OR($D115="",$D115="-")),"",IF(H115="kg/km",J115*E115/1000,IF(H115="kg/p.km",E115*#REF!*J115/1000,E115*#REF!*J115/1000))),"-")</f>
        <v/>
      </c>
      <c r="N115" s="1023" t="str">
        <f>IFERROR(IF((OR($D115="",$D115="-")),"",IF(H115="kg/km",K115*E115/1000,IF(H115="kg/p.km",E115*#REF!*K115/1000,E115*#REF!*K115/1000))),"-")</f>
        <v/>
      </c>
      <c r="O115" s="961" t="str">
        <f>IF(B115="","",IF(D115="","",L115*'Fatores de Emissão'!$E$252+'Combustão Móvel'!M115*'Fatores de Emissão'!$E$248+'Combustão Móvel'!N115*'Fatores de Emissão'!$E$249))</f>
        <v/>
      </c>
    </row>
    <row r="116" spans="2:15" s="357" customFormat="1" ht="19.899999999999999" hidden="1" customHeight="1" outlineLevel="2" x14ac:dyDescent="0.35">
      <c r="B116" s="454"/>
      <c r="C116" s="454"/>
      <c r="D116" s="454"/>
      <c r="E116" s="541"/>
      <c r="F116" s="455"/>
      <c r="G116" s="456"/>
      <c r="H116" s="542" t="str">
        <f>IF(D116="","",VLOOKUP(D116,'Fatores de Emissão'!$D$86:$F$96,3,FALSE))</f>
        <v/>
      </c>
      <c r="I116" s="1023" t="str">
        <f>IF(OR($D116="",$D116="-"),"",VLOOKUP($D116,'Fatores de Emissão'!$D$86:$E$96,2,FALSE))</f>
        <v/>
      </c>
      <c r="J116" s="1023" t="str">
        <f>IF(OR($D116="",$D116="-"),"",VLOOKUP($D116,'Fatores de Emissão'!$D$86:$G$96,4,FALSE))</f>
        <v/>
      </c>
      <c r="K116" s="1023" t="str">
        <f>IF(OR($D116="",$D116="-"),"",VLOOKUP($D116,'Fatores de Emissão'!$D$86:$I$96,6,FALSE))</f>
        <v/>
      </c>
      <c r="L116" s="960" t="str">
        <f>IFERROR(IF((OR($D116="",$D116="-")),"",IF(H116="kg/km",I116*E116/1000,IF(H116="kg/p.km",E116*#REF!*I116/1000,E116*#REF!*I116/1000))),"-")</f>
        <v/>
      </c>
      <c r="M116" s="1023" t="str">
        <f>IFERROR(IF((OR($D116="",$D116="-")),"",IF(H116="kg/km",J116*E116/1000,IF(H116="kg/p.km",E116*#REF!*J116/1000,E116*#REF!*J116/1000))),"-")</f>
        <v/>
      </c>
      <c r="N116" s="1023" t="str">
        <f>IFERROR(IF((OR($D116="",$D116="-")),"",IF(H116="kg/km",K116*E116/1000,IF(H116="kg/p.km",E116*#REF!*K116/1000,E116*#REF!*K116/1000))),"-")</f>
        <v/>
      </c>
      <c r="O116" s="961" t="str">
        <f>IF(B116="","",IF(D116="","",L116*'Fatores de Emissão'!$E$252+'Combustão Móvel'!M116*'Fatores de Emissão'!$E$248+'Combustão Móvel'!N116*'Fatores de Emissão'!$E$249))</f>
        <v/>
      </c>
    </row>
    <row r="117" spans="2:15" s="357" customFormat="1" ht="19.899999999999999" hidden="1" customHeight="1" outlineLevel="2" x14ac:dyDescent="0.35">
      <c r="B117" s="454"/>
      <c r="C117" s="454"/>
      <c r="D117" s="454"/>
      <c r="E117" s="541"/>
      <c r="F117" s="455"/>
      <c r="G117" s="456"/>
      <c r="H117" s="542" t="str">
        <f>IF(D117="","",VLOOKUP(D117,'Fatores de Emissão'!$D$86:$F$96,3,FALSE))</f>
        <v/>
      </c>
      <c r="I117" s="1023" t="str">
        <f>IF(OR($D117="",$D117="-"),"",VLOOKUP($D117,'Fatores de Emissão'!$D$86:$E$96,2,FALSE))</f>
        <v/>
      </c>
      <c r="J117" s="1023" t="str">
        <f>IF(OR($D117="",$D117="-"),"",VLOOKUP($D117,'Fatores de Emissão'!$D$86:$G$96,4,FALSE))</f>
        <v/>
      </c>
      <c r="K117" s="1023" t="str">
        <f>IF(OR($D117="",$D117="-"),"",VLOOKUP($D117,'Fatores de Emissão'!$D$86:$I$96,6,FALSE))</f>
        <v/>
      </c>
      <c r="L117" s="960" t="str">
        <f>IFERROR(IF((OR($D117="",$D117="-")),"",IF(H117="kg/km",I117*E117/1000,IF(H117="kg/p.km",E117*#REF!*I117/1000,E117*#REF!*I117/1000))),"-")</f>
        <v/>
      </c>
      <c r="M117" s="1023" t="str">
        <f>IFERROR(IF((OR($D117="",$D117="-")),"",IF(H117="kg/km",J117*E117/1000,IF(H117="kg/p.km",E117*#REF!*J117/1000,E117*#REF!*J117/1000))),"-")</f>
        <v/>
      </c>
      <c r="N117" s="1023" t="str">
        <f>IFERROR(IF((OR($D117="",$D117="-")),"",IF(H117="kg/km",K117*E117/1000,IF(H117="kg/p.km",E117*#REF!*K117/1000,E117*#REF!*K117/1000))),"-")</f>
        <v/>
      </c>
      <c r="O117" s="961" t="str">
        <f>IF(B117="","",IF(D117="","",L117*'Fatores de Emissão'!$E$252+'Combustão Móvel'!M117*'Fatores de Emissão'!$E$248+'Combustão Móvel'!N117*'Fatores de Emissão'!$E$249))</f>
        <v/>
      </c>
    </row>
    <row r="118" spans="2:15" s="357" customFormat="1" ht="19.899999999999999" hidden="1" customHeight="1" outlineLevel="2" x14ac:dyDescent="0.35">
      <c r="B118" s="454"/>
      <c r="C118" s="454"/>
      <c r="D118" s="454"/>
      <c r="E118" s="541"/>
      <c r="F118" s="455"/>
      <c r="G118" s="456"/>
      <c r="H118" s="542" t="str">
        <f>IF(D118="","",VLOOKUP(D118,'Fatores de Emissão'!$D$86:$F$96,3,FALSE))</f>
        <v/>
      </c>
      <c r="I118" s="1023" t="str">
        <f>IF(OR($D118="",$D118="-"),"",VLOOKUP($D118,'Fatores de Emissão'!$D$86:$E$96,2,FALSE))</f>
        <v/>
      </c>
      <c r="J118" s="1023" t="str">
        <f>IF(OR($D118="",$D118="-"),"",VLOOKUP($D118,'Fatores de Emissão'!$D$86:$G$96,4,FALSE))</f>
        <v/>
      </c>
      <c r="K118" s="1023" t="str">
        <f>IF(OR($D118="",$D118="-"),"",VLOOKUP($D118,'Fatores de Emissão'!$D$86:$I$96,6,FALSE))</f>
        <v/>
      </c>
      <c r="L118" s="960" t="str">
        <f>IFERROR(IF((OR($D118="",$D118="-")),"",IF(H118="kg/km",I118*E118/1000,IF(H118="kg/p.km",E118*#REF!*I118/1000,E118*#REF!*I118/1000))),"-")</f>
        <v/>
      </c>
      <c r="M118" s="1023" t="str">
        <f>IFERROR(IF((OR($D118="",$D118="-")),"",IF(H118="kg/km",J118*E118/1000,IF(H118="kg/p.km",E118*#REF!*J118/1000,E118*#REF!*J118/1000))),"-")</f>
        <v/>
      </c>
      <c r="N118" s="1023" t="str">
        <f>IFERROR(IF((OR($D118="",$D118="-")),"",IF(H118="kg/km",K118*E118/1000,IF(H118="kg/p.km",E118*#REF!*K118/1000,E118*#REF!*K118/1000))),"-")</f>
        <v/>
      </c>
      <c r="O118" s="961" t="str">
        <f>IF(B118="","",IF(D118="","",L118*'Fatores de Emissão'!$E$252+'Combustão Móvel'!M118*'Fatores de Emissão'!$E$248+'Combustão Móvel'!N118*'Fatores de Emissão'!$E$249))</f>
        <v/>
      </c>
    </row>
    <row r="119" spans="2:15" s="357" customFormat="1" ht="19.899999999999999" hidden="1" customHeight="1" outlineLevel="2" x14ac:dyDescent="0.35">
      <c r="B119" s="454"/>
      <c r="C119" s="454"/>
      <c r="D119" s="454"/>
      <c r="E119" s="541"/>
      <c r="F119" s="455"/>
      <c r="G119" s="456"/>
      <c r="H119" s="542" t="str">
        <f>IF(D119="","",VLOOKUP(D119,'Fatores de Emissão'!$D$86:$F$96,3,FALSE))</f>
        <v/>
      </c>
      <c r="I119" s="1023" t="str">
        <f>IF(OR($D119="",$D119="-"),"",VLOOKUP($D119,'Fatores de Emissão'!$D$86:$E$96,2,FALSE))</f>
        <v/>
      </c>
      <c r="J119" s="1023" t="str">
        <f>IF(OR($D119="",$D119="-"),"",VLOOKUP($D119,'Fatores de Emissão'!$D$86:$G$96,4,FALSE))</f>
        <v/>
      </c>
      <c r="K119" s="1023" t="str">
        <f>IF(OR($D119="",$D119="-"),"",VLOOKUP($D119,'Fatores de Emissão'!$D$86:$I$96,6,FALSE))</f>
        <v/>
      </c>
      <c r="L119" s="960" t="str">
        <f>IFERROR(IF((OR($D119="",$D119="-")),"",IF(H119="kg/km",I119*E119/1000,IF(H119="kg/p.km",E119*#REF!*I119/1000,E119*#REF!*I119/1000))),"-")</f>
        <v/>
      </c>
      <c r="M119" s="1023" t="str">
        <f>IFERROR(IF((OR($D119="",$D119="-")),"",IF(H119="kg/km",J119*E119/1000,IF(H119="kg/p.km",E119*#REF!*J119/1000,E119*#REF!*J119/1000))),"-")</f>
        <v/>
      </c>
      <c r="N119" s="1023" t="str">
        <f>IFERROR(IF((OR($D119="",$D119="-")),"",IF(H119="kg/km",K119*E119/1000,IF(H119="kg/p.km",E119*#REF!*K119/1000,E119*#REF!*K119/1000))),"-")</f>
        <v/>
      </c>
      <c r="O119" s="961" t="str">
        <f>IF(B119="","",IF(D119="","",L119*'Fatores de Emissão'!$E$252+'Combustão Móvel'!M119*'Fatores de Emissão'!$E$248+'Combustão Móvel'!N119*'Fatores de Emissão'!$E$249))</f>
        <v/>
      </c>
    </row>
    <row r="120" spans="2:15" s="357" customFormat="1" ht="19.899999999999999" hidden="1" customHeight="1" outlineLevel="2" x14ac:dyDescent="0.35">
      <c r="B120" s="454"/>
      <c r="C120" s="454"/>
      <c r="D120" s="454"/>
      <c r="E120" s="541"/>
      <c r="F120" s="455"/>
      <c r="G120" s="456"/>
      <c r="H120" s="542" t="str">
        <f>IF(D120="","",VLOOKUP(D120,'Fatores de Emissão'!$D$86:$F$96,3,FALSE))</f>
        <v/>
      </c>
      <c r="I120" s="1023" t="str">
        <f>IF(OR($D120="",$D120="-"),"",VLOOKUP($D120,'Fatores de Emissão'!$D$86:$E$96,2,FALSE))</f>
        <v/>
      </c>
      <c r="J120" s="1023" t="str">
        <f>IF(OR($D120="",$D120="-"),"",VLOOKUP($D120,'Fatores de Emissão'!$D$86:$G$96,4,FALSE))</f>
        <v/>
      </c>
      <c r="K120" s="1023" t="str">
        <f>IF(OR($D120="",$D120="-"),"",VLOOKUP($D120,'Fatores de Emissão'!$D$86:$I$96,6,FALSE))</f>
        <v/>
      </c>
      <c r="L120" s="960" t="str">
        <f>IFERROR(IF((OR($D120="",$D120="-")),"",IF(H120="kg/km",I120*E120/1000,IF(H120="kg/p.km",E120*#REF!*I120/1000,E120*#REF!*I120/1000))),"-")</f>
        <v/>
      </c>
      <c r="M120" s="1023" t="str">
        <f>IFERROR(IF((OR($D120="",$D120="-")),"",IF(H120="kg/km",J120*E120/1000,IF(H120="kg/p.km",E120*#REF!*J120/1000,E120*#REF!*J120/1000))),"-")</f>
        <v/>
      </c>
      <c r="N120" s="1023" t="str">
        <f>IFERROR(IF((OR($D120="",$D120="-")),"",IF(H120="kg/km",K120*E120/1000,IF(H120="kg/p.km",E120*#REF!*K120/1000,E120*#REF!*K120/1000))),"-")</f>
        <v/>
      </c>
      <c r="O120" s="961" t="str">
        <f>IF(B120="","",IF(D120="","",L120*'Fatores de Emissão'!$E$252+'Combustão Móvel'!M120*'Fatores de Emissão'!$E$248+'Combustão Móvel'!N120*'Fatores de Emissão'!$E$249))</f>
        <v/>
      </c>
    </row>
    <row r="121" spans="2:15" s="357" customFormat="1" ht="19.899999999999999" hidden="1" customHeight="1" outlineLevel="2" x14ac:dyDescent="0.35">
      <c r="B121" s="454"/>
      <c r="C121" s="454"/>
      <c r="D121" s="454"/>
      <c r="E121" s="541"/>
      <c r="F121" s="455"/>
      <c r="G121" s="456"/>
      <c r="H121" s="542" t="str">
        <f>IF(D121="","",VLOOKUP(D121,'Fatores de Emissão'!$D$86:$F$96,3,FALSE))</f>
        <v/>
      </c>
      <c r="I121" s="1023" t="str">
        <f>IF(OR($D121="",$D121="-"),"",VLOOKUP($D121,'Fatores de Emissão'!$D$86:$E$96,2,FALSE))</f>
        <v/>
      </c>
      <c r="J121" s="1023" t="str">
        <f>IF(OR($D121="",$D121="-"),"",VLOOKUP($D121,'Fatores de Emissão'!$D$86:$G$96,4,FALSE))</f>
        <v/>
      </c>
      <c r="K121" s="1023" t="str">
        <f>IF(OR($D121="",$D121="-"),"",VLOOKUP($D121,'Fatores de Emissão'!$D$86:$I$96,6,FALSE))</f>
        <v/>
      </c>
      <c r="L121" s="960" t="str">
        <f>IFERROR(IF((OR($D121="",$D121="-")),"",IF(H121="kg/km",I121*E121/1000,IF(H121="kg/p.km",E121*#REF!*I121/1000,E121*#REF!*I121/1000))),"-")</f>
        <v/>
      </c>
      <c r="M121" s="1023" t="str">
        <f>IFERROR(IF((OR($D121="",$D121="-")),"",IF(H121="kg/km",J121*E121/1000,IF(H121="kg/p.km",E121*#REF!*J121/1000,E121*#REF!*J121/1000))),"-")</f>
        <v/>
      </c>
      <c r="N121" s="1023" t="str">
        <f>IFERROR(IF((OR($D121="",$D121="-")),"",IF(H121="kg/km",K121*E121/1000,IF(H121="kg/p.km",E121*#REF!*K121/1000,E121*#REF!*K121/1000))),"-")</f>
        <v/>
      </c>
      <c r="O121" s="961" t="str">
        <f>IF(B121="","",IF(D121="","",L121*'Fatores de Emissão'!$E$252+'Combustão Móvel'!M121*'Fatores de Emissão'!$E$248+'Combustão Móvel'!N121*'Fatores de Emissão'!$E$249))</f>
        <v/>
      </c>
    </row>
    <row r="122" spans="2:15" s="357" customFormat="1" ht="19.899999999999999" hidden="1" customHeight="1" outlineLevel="2" x14ac:dyDescent="0.35">
      <c r="B122" s="454"/>
      <c r="C122" s="454"/>
      <c r="D122" s="454"/>
      <c r="E122" s="541"/>
      <c r="F122" s="455"/>
      <c r="G122" s="456"/>
      <c r="H122" s="542" t="str">
        <f>IF(D122="","",VLOOKUP(D122,'Fatores de Emissão'!$D$86:$F$96,3,FALSE))</f>
        <v/>
      </c>
      <c r="I122" s="1023" t="str">
        <f>IF(OR($D122="",$D122="-"),"",VLOOKUP($D122,'Fatores de Emissão'!$D$86:$E$96,2,FALSE))</f>
        <v/>
      </c>
      <c r="J122" s="1023" t="str">
        <f>IF(OR($D122="",$D122="-"),"",VLOOKUP($D122,'Fatores de Emissão'!$D$86:$G$96,4,FALSE))</f>
        <v/>
      </c>
      <c r="K122" s="1023" t="str">
        <f>IF(OR($D122="",$D122="-"),"",VLOOKUP($D122,'Fatores de Emissão'!$D$86:$I$96,6,FALSE))</f>
        <v/>
      </c>
      <c r="L122" s="960" t="str">
        <f>IFERROR(IF((OR($D122="",$D122="-")),"",IF(H122="kg/km",I122*E122/1000,IF(H122="kg/p.km",E122*#REF!*I122/1000,E122*#REF!*I122/1000))),"-")</f>
        <v/>
      </c>
      <c r="M122" s="1023" t="str">
        <f>IFERROR(IF((OR($D122="",$D122="-")),"",IF(H122="kg/km",J122*E122/1000,IF(H122="kg/p.km",E122*#REF!*J122/1000,E122*#REF!*J122/1000))),"-")</f>
        <v/>
      </c>
      <c r="N122" s="1023" t="str">
        <f>IFERROR(IF((OR($D122="",$D122="-")),"",IF(H122="kg/km",K122*E122/1000,IF(H122="kg/p.km",E122*#REF!*K122/1000,E122*#REF!*K122/1000))),"-")</f>
        <v/>
      </c>
      <c r="O122" s="961" t="str">
        <f>IF(B122="","",IF(D122="","",L122*'Fatores de Emissão'!$E$252+'Combustão Móvel'!M122*'Fatores de Emissão'!$E$248+'Combustão Móvel'!N122*'Fatores de Emissão'!$E$249))</f>
        <v/>
      </c>
    </row>
    <row r="123" spans="2:15" s="357" customFormat="1" ht="19.899999999999999" hidden="1" customHeight="1" outlineLevel="2" x14ac:dyDescent="0.35">
      <c r="B123" s="454"/>
      <c r="C123" s="454"/>
      <c r="D123" s="454"/>
      <c r="E123" s="541"/>
      <c r="F123" s="455"/>
      <c r="G123" s="456"/>
      <c r="H123" s="542" t="str">
        <f>IF(D123="","",VLOOKUP(D123,'Fatores de Emissão'!$D$86:$F$96,3,FALSE))</f>
        <v/>
      </c>
      <c r="I123" s="1023" t="str">
        <f>IF(OR($D123="",$D123="-"),"",VLOOKUP($D123,'Fatores de Emissão'!$D$86:$E$96,2,FALSE))</f>
        <v/>
      </c>
      <c r="J123" s="1023" t="str">
        <f>IF(OR($D123="",$D123="-"),"",VLOOKUP($D123,'Fatores de Emissão'!$D$86:$G$96,4,FALSE))</f>
        <v/>
      </c>
      <c r="K123" s="1023" t="str">
        <f>IF(OR($D123="",$D123="-"),"",VLOOKUP($D123,'Fatores de Emissão'!$D$86:$I$96,6,FALSE))</f>
        <v/>
      </c>
      <c r="L123" s="960" t="str">
        <f>IFERROR(IF((OR($D123="",$D123="-")),"",IF(H123="kg/km",I123*E123/1000,IF(H123="kg/p.km",E123*#REF!*I123/1000,E123*#REF!*I123/1000))),"-")</f>
        <v/>
      </c>
      <c r="M123" s="1023" t="str">
        <f>IFERROR(IF((OR($D123="",$D123="-")),"",IF(H123="kg/km",J123*E123/1000,IF(H123="kg/p.km",E123*#REF!*J123/1000,E123*#REF!*J123/1000))),"-")</f>
        <v/>
      </c>
      <c r="N123" s="1023" t="str">
        <f>IFERROR(IF((OR($D123="",$D123="-")),"",IF(H123="kg/km",K123*E123/1000,IF(H123="kg/p.km",E123*#REF!*K123/1000,E123*#REF!*K123/1000))),"-")</f>
        <v/>
      </c>
      <c r="O123" s="961" t="str">
        <f>IF(B123="","",IF(D123="","",L123*'Fatores de Emissão'!$E$252+'Combustão Móvel'!M123*'Fatores de Emissão'!$E$248+'Combustão Móvel'!N123*'Fatores de Emissão'!$E$249))</f>
        <v/>
      </c>
    </row>
    <row r="124" spans="2:15" s="357" customFormat="1" ht="19.899999999999999" hidden="1" customHeight="1" outlineLevel="2" x14ac:dyDescent="0.35">
      <c r="B124" s="454"/>
      <c r="C124" s="454"/>
      <c r="D124" s="454"/>
      <c r="E124" s="541"/>
      <c r="F124" s="455"/>
      <c r="G124" s="456"/>
      <c r="H124" s="542" t="str">
        <f>IF(D124="","",VLOOKUP(D124,'Fatores de Emissão'!$D$86:$F$96,3,FALSE))</f>
        <v/>
      </c>
      <c r="I124" s="1023" t="str">
        <f>IF(OR($D124="",$D124="-"),"",VLOOKUP($D124,'Fatores de Emissão'!$D$86:$E$96,2,FALSE))</f>
        <v/>
      </c>
      <c r="J124" s="1023" t="str">
        <f>IF(OR($D124="",$D124="-"),"",VLOOKUP($D124,'Fatores de Emissão'!$D$86:$G$96,4,FALSE))</f>
        <v/>
      </c>
      <c r="K124" s="1023" t="str">
        <f>IF(OR($D124="",$D124="-"),"",VLOOKUP($D124,'Fatores de Emissão'!$D$86:$I$96,6,FALSE))</f>
        <v/>
      </c>
      <c r="L124" s="960" t="str">
        <f>IFERROR(IF((OR($D124="",$D124="-")),"",IF(H124="kg/km",I124*E124/1000,IF(H124="kg/p.km",E124*#REF!*I124/1000,E124*#REF!*I124/1000))),"-")</f>
        <v/>
      </c>
      <c r="M124" s="1023" t="str">
        <f>IFERROR(IF((OR($D124="",$D124="-")),"",IF(H124="kg/km",J124*E124/1000,IF(H124="kg/p.km",E124*#REF!*J124/1000,E124*#REF!*J124/1000))),"-")</f>
        <v/>
      </c>
      <c r="N124" s="1023" t="str">
        <f>IFERROR(IF((OR($D124="",$D124="-")),"",IF(H124="kg/km",K124*E124/1000,IF(H124="kg/p.km",E124*#REF!*K124/1000,E124*#REF!*K124/1000))),"-")</f>
        <v/>
      </c>
      <c r="O124" s="961" t="str">
        <f>IF(B124="","",IF(D124="","",L124*'Fatores de Emissão'!$E$252+'Combustão Móvel'!M124*'Fatores de Emissão'!$E$248+'Combustão Móvel'!N124*'Fatores de Emissão'!$E$249))</f>
        <v/>
      </c>
    </row>
    <row r="125" spans="2:15" s="357" customFormat="1" ht="19.899999999999999" hidden="1" customHeight="1" outlineLevel="2" x14ac:dyDescent="0.35">
      <c r="B125" s="454"/>
      <c r="C125" s="454"/>
      <c r="D125" s="454"/>
      <c r="E125" s="541"/>
      <c r="F125" s="455"/>
      <c r="G125" s="456"/>
      <c r="H125" s="542" t="str">
        <f>IF(D125="","",VLOOKUP(D125,'Fatores de Emissão'!$D$86:$F$96,3,FALSE))</f>
        <v/>
      </c>
      <c r="I125" s="1023" t="str">
        <f>IF(OR($D125="",$D125="-"),"",VLOOKUP($D125,'Fatores de Emissão'!$D$86:$E$96,2,FALSE))</f>
        <v/>
      </c>
      <c r="J125" s="1023" t="str">
        <f>IF(OR($D125="",$D125="-"),"",VLOOKUP($D125,'Fatores de Emissão'!$D$86:$G$96,4,FALSE))</f>
        <v/>
      </c>
      <c r="K125" s="1023" t="str">
        <f>IF(OR($D125="",$D125="-"),"",VLOOKUP($D125,'Fatores de Emissão'!$D$86:$I$96,6,FALSE))</f>
        <v/>
      </c>
      <c r="L125" s="960" t="str">
        <f>IFERROR(IF((OR($D125="",$D125="-")),"",IF(H125="kg/km",I125*E125/1000,IF(H125="kg/p.km",E125*#REF!*I125/1000,E125*#REF!*I125/1000))),"-")</f>
        <v/>
      </c>
      <c r="M125" s="1023" t="str">
        <f>IFERROR(IF((OR($D125="",$D125="-")),"",IF(H125="kg/km",J125*E125/1000,IF(H125="kg/p.km",E125*#REF!*J125/1000,E125*#REF!*J125/1000))),"-")</f>
        <v/>
      </c>
      <c r="N125" s="1023" t="str">
        <f>IFERROR(IF((OR($D125="",$D125="-")),"",IF(H125="kg/km",K125*E125/1000,IF(H125="kg/p.km",E125*#REF!*K125/1000,E125*#REF!*K125/1000))),"-")</f>
        <v/>
      </c>
      <c r="O125" s="961" t="str">
        <f>IF(B125="","",IF(D125="","",L125*'Fatores de Emissão'!$E$252+'Combustão Móvel'!M125*'Fatores de Emissão'!$E$248+'Combustão Móvel'!N125*'Fatores de Emissão'!$E$249))</f>
        <v/>
      </c>
    </row>
    <row r="126" spans="2:15" s="357" customFormat="1" ht="19.899999999999999" hidden="1" customHeight="1" outlineLevel="2" x14ac:dyDescent="0.35">
      <c r="B126" s="454"/>
      <c r="C126" s="454"/>
      <c r="D126" s="454"/>
      <c r="E126" s="541"/>
      <c r="F126" s="455"/>
      <c r="G126" s="456"/>
      <c r="H126" s="542" t="str">
        <f>IF(D126="","",VLOOKUP(D126,'Fatores de Emissão'!$D$86:$F$96,3,FALSE))</f>
        <v/>
      </c>
      <c r="I126" s="1023" t="str">
        <f>IF(OR($D126="",$D126="-"),"",VLOOKUP($D126,'Fatores de Emissão'!$D$86:$E$96,2,FALSE))</f>
        <v/>
      </c>
      <c r="J126" s="1023" t="str">
        <f>IF(OR($D126="",$D126="-"),"",VLOOKUP($D126,'Fatores de Emissão'!$D$86:$G$96,4,FALSE))</f>
        <v/>
      </c>
      <c r="K126" s="1023" t="str">
        <f>IF(OR($D126="",$D126="-"),"",VLOOKUP($D126,'Fatores de Emissão'!$D$86:$I$96,6,FALSE))</f>
        <v/>
      </c>
      <c r="L126" s="960" t="str">
        <f>IFERROR(IF((OR($D126="",$D126="-")),"",IF(H126="kg/km",I126*E126/1000,IF(H126="kg/p.km",E126*#REF!*I126/1000,E126*#REF!*I126/1000))),"-")</f>
        <v/>
      </c>
      <c r="M126" s="1023" t="str">
        <f>IFERROR(IF((OR($D126="",$D126="-")),"",IF(H126="kg/km",J126*E126/1000,IF(H126="kg/p.km",E126*#REF!*J126/1000,E126*#REF!*J126/1000))),"-")</f>
        <v/>
      </c>
      <c r="N126" s="1023" t="str">
        <f>IFERROR(IF((OR($D126="",$D126="-")),"",IF(H126="kg/km",K126*E126/1000,IF(H126="kg/p.km",E126*#REF!*K126/1000,E126*#REF!*K126/1000))),"-")</f>
        <v/>
      </c>
      <c r="O126" s="961" t="str">
        <f>IF(B126="","",IF(D126="","",L126*'Fatores de Emissão'!$E$252+'Combustão Móvel'!M126*'Fatores de Emissão'!$E$248+'Combustão Móvel'!N126*'Fatores de Emissão'!$E$249))</f>
        <v/>
      </c>
    </row>
    <row r="127" spans="2:15" s="357" customFormat="1" ht="19.899999999999999" hidden="1" customHeight="1" outlineLevel="2" x14ac:dyDescent="0.35">
      <c r="B127" s="454"/>
      <c r="C127" s="454"/>
      <c r="D127" s="454"/>
      <c r="E127" s="541"/>
      <c r="F127" s="455"/>
      <c r="G127" s="456"/>
      <c r="H127" s="542" t="str">
        <f>IF(D127="","",VLOOKUP(D127,'Fatores de Emissão'!$D$86:$F$96,3,FALSE))</f>
        <v/>
      </c>
      <c r="I127" s="1023" t="str">
        <f>IF(OR($D127="",$D127="-"),"",VLOOKUP($D127,'Fatores de Emissão'!$D$86:$E$96,2,FALSE))</f>
        <v/>
      </c>
      <c r="J127" s="1023" t="str">
        <f>IF(OR($D127="",$D127="-"),"",VLOOKUP($D127,'Fatores de Emissão'!$D$86:$G$96,4,FALSE))</f>
        <v/>
      </c>
      <c r="K127" s="1023" t="str">
        <f>IF(OR($D127="",$D127="-"),"",VLOOKUP($D127,'Fatores de Emissão'!$D$86:$I$96,6,FALSE))</f>
        <v/>
      </c>
      <c r="L127" s="960" t="str">
        <f>IFERROR(IF((OR($D127="",$D127="-")),"",IF(H127="kg/km",I127*E127/1000,IF(H127="kg/p.km",E127*#REF!*I127/1000,E127*#REF!*I127/1000))),"-")</f>
        <v/>
      </c>
      <c r="M127" s="1023" t="str">
        <f>IFERROR(IF((OR($D127="",$D127="-")),"",IF(H127="kg/km",J127*E127/1000,IF(H127="kg/p.km",E127*#REF!*J127/1000,E127*#REF!*J127/1000))),"-")</f>
        <v/>
      </c>
      <c r="N127" s="1023" t="str">
        <f>IFERROR(IF((OR($D127="",$D127="-")),"",IF(H127="kg/km",K127*E127/1000,IF(H127="kg/p.km",E127*#REF!*K127/1000,E127*#REF!*K127/1000))),"-")</f>
        <v/>
      </c>
      <c r="O127" s="961" t="str">
        <f>IF(B127="","",IF(D127="","",L127*'Fatores de Emissão'!$E$252+'Combustão Móvel'!M127*'Fatores de Emissão'!$E$248+'Combustão Móvel'!N127*'Fatores de Emissão'!$E$249))</f>
        <v/>
      </c>
    </row>
    <row r="128" spans="2:15" s="357" customFormat="1" ht="19.899999999999999" hidden="1" customHeight="1" outlineLevel="2" x14ac:dyDescent="0.35">
      <c r="B128" s="454"/>
      <c r="C128" s="454"/>
      <c r="D128" s="454"/>
      <c r="E128" s="541"/>
      <c r="F128" s="455"/>
      <c r="G128" s="456"/>
      <c r="H128" s="542" t="str">
        <f>IF(D128="","",VLOOKUP(D128,'Fatores de Emissão'!$D$86:$F$96,3,FALSE))</f>
        <v/>
      </c>
      <c r="I128" s="1023" t="str">
        <f>IF(OR($D128="",$D128="-"),"",VLOOKUP($D128,'Fatores de Emissão'!$D$86:$E$96,2,FALSE))</f>
        <v/>
      </c>
      <c r="J128" s="1023" t="str">
        <f>IF(OR($D128="",$D128="-"),"",VLOOKUP($D128,'Fatores de Emissão'!$D$86:$G$96,4,FALSE))</f>
        <v/>
      </c>
      <c r="K128" s="1023" t="str">
        <f>IF(OR($D128="",$D128="-"),"",VLOOKUP($D128,'Fatores de Emissão'!$D$86:$I$96,6,FALSE))</f>
        <v/>
      </c>
      <c r="L128" s="960" t="str">
        <f>IFERROR(IF((OR($D128="",$D128="-")),"",IF(H128="kg/km",I128*E128/1000,IF(H128="kg/p.km",E128*#REF!*I128/1000,E128*#REF!*I128/1000))),"-")</f>
        <v/>
      </c>
      <c r="M128" s="1023" t="str">
        <f>IFERROR(IF((OR($D128="",$D128="-")),"",IF(H128="kg/km",J128*E128/1000,IF(H128="kg/p.km",E128*#REF!*J128/1000,E128*#REF!*J128/1000))),"-")</f>
        <v/>
      </c>
      <c r="N128" s="1023" t="str">
        <f>IFERROR(IF((OR($D128="",$D128="-")),"",IF(H128="kg/km",K128*E128/1000,IF(H128="kg/p.km",E128*#REF!*K128/1000,E128*#REF!*K128/1000))),"-")</f>
        <v/>
      </c>
      <c r="O128" s="961" t="str">
        <f>IF(B128="","",IF(D128="","",L128*'Fatores de Emissão'!$E$252+'Combustão Móvel'!M128*'Fatores de Emissão'!$E$248+'Combustão Móvel'!N128*'Fatores de Emissão'!$E$249))</f>
        <v/>
      </c>
    </row>
    <row r="129" spans="2:15" s="357" customFormat="1" ht="19.899999999999999" hidden="1" customHeight="1" outlineLevel="2" x14ac:dyDescent="0.35">
      <c r="B129" s="454"/>
      <c r="C129" s="454"/>
      <c r="D129" s="454"/>
      <c r="E129" s="541"/>
      <c r="F129" s="455"/>
      <c r="G129" s="456"/>
      <c r="H129" s="542" t="str">
        <f>IF(D129="","",VLOOKUP(D129,'Fatores de Emissão'!$D$86:$F$96,3,FALSE))</f>
        <v/>
      </c>
      <c r="I129" s="1023" t="str">
        <f>IF(OR($D129="",$D129="-"),"",VLOOKUP($D129,'Fatores de Emissão'!$D$86:$E$96,2,FALSE))</f>
        <v/>
      </c>
      <c r="J129" s="1023" t="str">
        <f>IF(OR($D129="",$D129="-"),"",VLOOKUP($D129,'Fatores de Emissão'!$D$86:$G$96,4,FALSE))</f>
        <v/>
      </c>
      <c r="K129" s="1023" t="str">
        <f>IF(OR($D129="",$D129="-"),"",VLOOKUP($D129,'Fatores de Emissão'!$D$86:$I$96,6,FALSE))</f>
        <v/>
      </c>
      <c r="L129" s="960" t="str">
        <f>IFERROR(IF((OR($D129="",$D129="-")),"",IF(H129="kg/km",I129*E129/1000,IF(H129="kg/p.km",E129*#REF!*I129/1000,E129*#REF!*I129/1000))),"-")</f>
        <v/>
      </c>
      <c r="M129" s="1023" t="str">
        <f>IFERROR(IF((OR($D129="",$D129="-")),"",IF(H129="kg/km",J129*E129/1000,IF(H129="kg/p.km",E129*#REF!*J129/1000,E129*#REF!*J129/1000))),"-")</f>
        <v/>
      </c>
      <c r="N129" s="1023" t="str">
        <f>IFERROR(IF((OR($D129="",$D129="-")),"",IF(H129="kg/km",K129*E129/1000,IF(H129="kg/p.km",E129*#REF!*K129/1000,E129*#REF!*K129/1000))),"-")</f>
        <v/>
      </c>
      <c r="O129" s="961" t="str">
        <f>IF(B129="","",IF(D129="","",L129*'Fatores de Emissão'!$E$252+'Combustão Móvel'!M129*'Fatores de Emissão'!$E$248+'Combustão Móvel'!N129*'Fatores de Emissão'!$E$249))</f>
        <v/>
      </c>
    </row>
    <row r="130" spans="2:15" s="357" customFormat="1" ht="19.899999999999999" hidden="1" customHeight="1" outlineLevel="2" x14ac:dyDescent="0.35">
      <c r="B130" s="454"/>
      <c r="C130" s="454"/>
      <c r="D130" s="454"/>
      <c r="E130" s="541"/>
      <c r="F130" s="455"/>
      <c r="G130" s="456"/>
      <c r="H130" s="542" t="str">
        <f>IF(D130="","",VLOOKUP(D130,'Fatores de Emissão'!$D$86:$F$96,3,FALSE))</f>
        <v/>
      </c>
      <c r="I130" s="1023" t="str">
        <f>IF(OR($D130="",$D130="-"),"",VLOOKUP($D130,'Fatores de Emissão'!$D$86:$E$96,2,FALSE))</f>
        <v/>
      </c>
      <c r="J130" s="1023" t="str">
        <f>IF(OR($D130="",$D130="-"),"",VLOOKUP($D130,'Fatores de Emissão'!$D$86:$G$96,4,FALSE))</f>
        <v/>
      </c>
      <c r="K130" s="1023" t="str">
        <f>IF(OR($D130="",$D130="-"),"",VLOOKUP($D130,'Fatores de Emissão'!$D$86:$I$96,6,FALSE))</f>
        <v/>
      </c>
      <c r="L130" s="960" t="str">
        <f>IFERROR(IF((OR($D130="",$D130="-")),"",IF(H130="kg/km",I130*E130/1000,IF(H130="kg/p.km",E130*#REF!*I130/1000,E130*#REF!*I130/1000))),"-")</f>
        <v/>
      </c>
      <c r="M130" s="1023" t="str">
        <f>IFERROR(IF((OR($D130="",$D130="-")),"",IF(H130="kg/km",J130*E130/1000,IF(H130="kg/p.km",E130*#REF!*J130/1000,E130*#REF!*J130/1000))),"-")</f>
        <v/>
      </c>
      <c r="N130" s="1023" t="str">
        <f>IFERROR(IF((OR($D130="",$D130="-")),"",IF(H130="kg/km",K130*E130/1000,IF(H130="kg/p.km",E130*#REF!*K130/1000,E130*#REF!*K130/1000))),"-")</f>
        <v/>
      </c>
      <c r="O130" s="961" t="str">
        <f>IF(B130="","",IF(D130="","",L130*'Fatores de Emissão'!$E$252+'Combustão Móvel'!M130*'Fatores de Emissão'!$E$248+'Combustão Móvel'!N130*'Fatores de Emissão'!$E$249))</f>
        <v/>
      </c>
    </row>
    <row r="131" spans="2:15" s="357" customFormat="1" ht="19.899999999999999" hidden="1" customHeight="1" outlineLevel="2" x14ac:dyDescent="0.35">
      <c r="B131" s="454"/>
      <c r="C131" s="454"/>
      <c r="D131" s="454"/>
      <c r="E131" s="541"/>
      <c r="F131" s="455"/>
      <c r="G131" s="456"/>
      <c r="H131" s="542" t="str">
        <f>IF(D131="","",VLOOKUP(D131,'Fatores de Emissão'!$D$86:$F$96,3,FALSE))</f>
        <v/>
      </c>
      <c r="I131" s="1023" t="str">
        <f>IF(OR($D131="",$D131="-"),"",VLOOKUP($D131,'Fatores de Emissão'!$D$86:$E$96,2,FALSE))</f>
        <v/>
      </c>
      <c r="J131" s="1023" t="str">
        <f>IF(OR($D131="",$D131="-"),"",VLOOKUP($D131,'Fatores de Emissão'!$D$86:$G$96,4,FALSE))</f>
        <v/>
      </c>
      <c r="K131" s="1023" t="str">
        <f>IF(OR($D131="",$D131="-"),"",VLOOKUP($D131,'Fatores de Emissão'!$D$86:$I$96,6,FALSE))</f>
        <v/>
      </c>
      <c r="L131" s="960" t="str">
        <f>IFERROR(IF((OR($D131="",$D131="-")),"",IF(H131="kg/km",I131*E131/1000,IF(H131="kg/p.km",E131*#REF!*I131/1000,E131*#REF!*I131/1000))),"-")</f>
        <v/>
      </c>
      <c r="M131" s="1023" t="str">
        <f>IFERROR(IF((OR($D131="",$D131="-")),"",IF(H131="kg/km",J131*E131/1000,IF(H131="kg/p.km",E131*#REF!*J131/1000,E131*#REF!*J131/1000))),"-")</f>
        <v/>
      </c>
      <c r="N131" s="1023" t="str">
        <f>IFERROR(IF((OR($D131="",$D131="-")),"",IF(H131="kg/km",K131*E131/1000,IF(H131="kg/p.km",E131*#REF!*K131/1000,E131*#REF!*K131/1000))),"-")</f>
        <v/>
      </c>
      <c r="O131" s="961" t="str">
        <f>IF(B131="","",IF(D131="","",L131*'Fatores de Emissão'!$E$252+'Combustão Móvel'!M131*'Fatores de Emissão'!$E$248+'Combustão Móvel'!N131*'Fatores de Emissão'!$E$249))</f>
        <v/>
      </c>
    </row>
    <row r="132" spans="2:15" s="357" customFormat="1" ht="19.899999999999999" hidden="1" customHeight="1" outlineLevel="2" x14ac:dyDescent="0.35">
      <c r="B132" s="454"/>
      <c r="C132" s="454"/>
      <c r="D132" s="454"/>
      <c r="E132" s="541"/>
      <c r="F132" s="455"/>
      <c r="G132" s="456"/>
      <c r="H132" s="542" t="str">
        <f>IF(D132="","",VLOOKUP(D132,'Fatores de Emissão'!$D$86:$F$96,3,FALSE))</f>
        <v/>
      </c>
      <c r="I132" s="1023" t="str">
        <f>IF(OR($D132="",$D132="-"),"",VLOOKUP($D132,'Fatores de Emissão'!$D$86:$E$96,2,FALSE))</f>
        <v/>
      </c>
      <c r="J132" s="1023" t="str">
        <f>IF(OR($D132="",$D132="-"),"",VLOOKUP($D132,'Fatores de Emissão'!$D$86:$G$96,4,FALSE))</f>
        <v/>
      </c>
      <c r="K132" s="1023" t="str">
        <f>IF(OR($D132="",$D132="-"),"",VLOOKUP($D132,'Fatores de Emissão'!$D$86:$I$96,6,FALSE))</f>
        <v/>
      </c>
      <c r="L132" s="960" t="str">
        <f>IFERROR(IF((OR($D132="",$D132="-")),"",IF(H132="kg/km",I132*E132/1000,IF(H132="kg/p.km",E132*#REF!*I132/1000,E132*#REF!*I132/1000))),"-")</f>
        <v/>
      </c>
      <c r="M132" s="1023" t="str">
        <f>IFERROR(IF((OR($D132="",$D132="-")),"",IF(H132="kg/km",J132*E132/1000,IF(H132="kg/p.km",E132*#REF!*J132/1000,E132*#REF!*J132/1000))),"-")</f>
        <v/>
      </c>
      <c r="N132" s="1023" t="str">
        <f>IFERROR(IF((OR($D132="",$D132="-")),"",IF(H132="kg/km",K132*E132/1000,IF(H132="kg/p.km",E132*#REF!*K132/1000,E132*#REF!*K132/1000))),"-")</f>
        <v/>
      </c>
      <c r="O132" s="961" t="str">
        <f>IF(B132="","",IF(D132="","",L132*'Fatores de Emissão'!$E$252+'Combustão Móvel'!M132*'Fatores de Emissão'!$E$248+'Combustão Móvel'!N132*'Fatores de Emissão'!$E$249))</f>
        <v/>
      </c>
    </row>
    <row r="133" spans="2:15" s="357" customFormat="1" ht="19.899999999999999" hidden="1" customHeight="1" outlineLevel="2" x14ac:dyDescent="0.35">
      <c r="B133" s="454"/>
      <c r="C133" s="454"/>
      <c r="D133" s="454"/>
      <c r="E133" s="541"/>
      <c r="F133" s="455"/>
      <c r="G133" s="456"/>
      <c r="H133" s="542" t="str">
        <f>IF(D133="","",VLOOKUP(D133,'Fatores de Emissão'!$D$86:$F$96,3,FALSE))</f>
        <v/>
      </c>
      <c r="I133" s="1023" t="str">
        <f>IF(OR($D133="",$D133="-"),"",VLOOKUP($D133,'Fatores de Emissão'!$D$86:$E$96,2,FALSE))</f>
        <v/>
      </c>
      <c r="J133" s="1023" t="str">
        <f>IF(OR($D133="",$D133="-"),"",VLOOKUP($D133,'Fatores de Emissão'!$D$86:$G$96,4,FALSE))</f>
        <v/>
      </c>
      <c r="K133" s="1023" t="str">
        <f>IF(OR($D133="",$D133="-"),"",VLOOKUP($D133,'Fatores de Emissão'!$D$86:$I$96,6,FALSE))</f>
        <v/>
      </c>
      <c r="L133" s="960" t="str">
        <f>IFERROR(IF((OR($D133="",$D133="-")),"",IF(H133="kg/km",I133*E133/1000,IF(H133="kg/p.km",E133*#REF!*I133/1000,E133*#REF!*I133/1000))),"-")</f>
        <v/>
      </c>
      <c r="M133" s="1023" t="str">
        <f>IFERROR(IF((OR($D133="",$D133="-")),"",IF(H133="kg/km",J133*E133/1000,IF(H133="kg/p.km",E133*#REF!*J133/1000,E133*#REF!*J133/1000))),"-")</f>
        <v/>
      </c>
      <c r="N133" s="1023" t="str">
        <f>IFERROR(IF((OR($D133="",$D133="-")),"",IF(H133="kg/km",K133*E133/1000,IF(H133="kg/p.km",E133*#REF!*K133/1000,E133*#REF!*K133/1000))),"-")</f>
        <v/>
      </c>
      <c r="O133" s="961" t="str">
        <f>IF(B133="","",IF(D133="","",L133*'Fatores de Emissão'!$E$252+'Combustão Móvel'!M133*'Fatores de Emissão'!$E$248+'Combustão Móvel'!N133*'Fatores de Emissão'!$E$249))</f>
        <v/>
      </c>
    </row>
    <row r="134" spans="2:15" s="357" customFormat="1" ht="19.899999999999999" hidden="1" customHeight="1" outlineLevel="2" x14ac:dyDescent="0.35">
      <c r="B134" s="454"/>
      <c r="C134" s="454"/>
      <c r="D134" s="454"/>
      <c r="E134" s="541"/>
      <c r="F134" s="455"/>
      <c r="G134" s="456"/>
      <c r="H134" s="542" t="str">
        <f>IF(D134="","",VLOOKUP(D134,'Fatores de Emissão'!$D$86:$F$96,3,FALSE))</f>
        <v/>
      </c>
      <c r="I134" s="1023" t="str">
        <f>IF(OR($D134="",$D134="-"),"",VLOOKUP($D134,'Fatores de Emissão'!$D$86:$E$96,2,FALSE))</f>
        <v/>
      </c>
      <c r="J134" s="1023" t="str">
        <f>IF(OR($D134="",$D134="-"),"",VLOOKUP($D134,'Fatores de Emissão'!$D$86:$G$96,4,FALSE))</f>
        <v/>
      </c>
      <c r="K134" s="1023" t="str">
        <f>IF(OR($D134="",$D134="-"),"",VLOOKUP($D134,'Fatores de Emissão'!$D$86:$I$96,6,FALSE))</f>
        <v/>
      </c>
      <c r="L134" s="960" t="str">
        <f>IFERROR(IF((OR($D134="",$D134="-")),"",IF(H134="kg/km",I134*E134/1000,IF(H134="kg/p.km",E134*#REF!*I134/1000,E134*#REF!*I134/1000))),"-")</f>
        <v/>
      </c>
      <c r="M134" s="1023" t="str">
        <f>IFERROR(IF((OR($D134="",$D134="-")),"",IF(H134="kg/km",J134*E134/1000,IF(H134="kg/p.km",E134*#REF!*J134/1000,E134*#REF!*J134/1000))),"-")</f>
        <v/>
      </c>
      <c r="N134" s="1023" t="str">
        <f>IFERROR(IF((OR($D134="",$D134="-")),"",IF(H134="kg/km",K134*E134/1000,IF(H134="kg/p.km",E134*#REF!*K134/1000,E134*#REF!*K134/1000))),"-")</f>
        <v/>
      </c>
      <c r="O134" s="961" t="str">
        <f>IF(B134="","",IF(D134="","",L134*'Fatores de Emissão'!$E$252+'Combustão Móvel'!M134*'Fatores de Emissão'!$E$248+'Combustão Móvel'!N134*'Fatores de Emissão'!$E$249))</f>
        <v/>
      </c>
    </row>
    <row r="135" spans="2:15" s="357" customFormat="1" ht="19.899999999999999" hidden="1" customHeight="1" outlineLevel="2" x14ac:dyDescent="0.35">
      <c r="B135" s="454"/>
      <c r="C135" s="454"/>
      <c r="D135" s="454"/>
      <c r="E135" s="541"/>
      <c r="F135" s="455"/>
      <c r="G135" s="456"/>
      <c r="H135" s="542" t="str">
        <f>IF(D135="","",VLOOKUP(D135,'Fatores de Emissão'!$D$86:$F$96,3,FALSE))</f>
        <v/>
      </c>
      <c r="I135" s="1023" t="str">
        <f>IF(OR($D135="",$D135="-"),"",VLOOKUP($D135,'Fatores de Emissão'!$D$86:$E$96,2,FALSE))</f>
        <v/>
      </c>
      <c r="J135" s="1023" t="str">
        <f>IF(OR($D135="",$D135="-"),"",VLOOKUP($D135,'Fatores de Emissão'!$D$86:$G$96,4,FALSE))</f>
        <v/>
      </c>
      <c r="K135" s="1023" t="str">
        <f>IF(OR($D135="",$D135="-"),"",VLOOKUP($D135,'Fatores de Emissão'!$D$86:$I$96,6,FALSE))</f>
        <v/>
      </c>
      <c r="L135" s="960" t="str">
        <f>IFERROR(IF((OR($D135="",$D135="-")),"",IF(H135="kg/km",I135*E135/1000,IF(H135="kg/p.km",E135*#REF!*I135/1000,E135*#REF!*I135/1000))),"-")</f>
        <v/>
      </c>
      <c r="M135" s="1023" t="str">
        <f>IFERROR(IF((OR($D135="",$D135="-")),"",IF(H135="kg/km",J135*E135/1000,IF(H135="kg/p.km",E135*#REF!*J135/1000,E135*#REF!*J135/1000))),"-")</f>
        <v/>
      </c>
      <c r="N135" s="1023" t="str">
        <f>IFERROR(IF((OR($D135="",$D135="-")),"",IF(H135="kg/km",K135*E135/1000,IF(H135="kg/p.km",E135*#REF!*K135/1000,E135*#REF!*K135/1000))),"-")</f>
        <v/>
      </c>
      <c r="O135" s="961" t="str">
        <f>IF(B135="","",IF(D135="","",L135*'Fatores de Emissão'!$E$252+'Combustão Móvel'!M135*'Fatores de Emissão'!$E$248+'Combustão Móvel'!N135*'Fatores de Emissão'!$E$249))</f>
        <v/>
      </c>
    </row>
    <row r="136" spans="2:15" s="357" customFormat="1" ht="19.899999999999999" hidden="1" customHeight="1" outlineLevel="2" x14ac:dyDescent="0.35">
      <c r="B136" s="454"/>
      <c r="C136" s="454"/>
      <c r="D136" s="454"/>
      <c r="E136" s="541"/>
      <c r="F136" s="455"/>
      <c r="G136" s="456"/>
      <c r="H136" s="542" t="str">
        <f>IF(D136="","",VLOOKUP(D136,'Fatores de Emissão'!$D$86:$F$96,3,FALSE))</f>
        <v/>
      </c>
      <c r="I136" s="1023" t="str">
        <f>IF(OR($D136="",$D136="-"),"",VLOOKUP($D136,'Fatores de Emissão'!$D$86:$E$96,2,FALSE))</f>
        <v/>
      </c>
      <c r="J136" s="1023" t="str">
        <f>IF(OR($D136="",$D136="-"),"",VLOOKUP($D136,'Fatores de Emissão'!$D$86:$G$96,4,FALSE))</f>
        <v/>
      </c>
      <c r="K136" s="1023" t="str">
        <f>IF(OR($D136="",$D136="-"),"",VLOOKUP($D136,'Fatores de Emissão'!$D$86:$I$96,6,FALSE))</f>
        <v/>
      </c>
      <c r="L136" s="960" t="str">
        <f>IFERROR(IF((OR($D136="",$D136="-")),"",IF(H136="kg/km",I136*E136/1000,IF(H136="kg/p.km",E136*#REF!*I136/1000,E136*#REF!*I136/1000))),"-")</f>
        <v/>
      </c>
      <c r="M136" s="1023" t="str">
        <f>IFERROR(IF((OR($D136="",$D136="-")),"",IF(H136="kg/km",J136*E136/1000,IF(H136="kg/p.km",E136*#REF!*J136/1000,E136*#REF!*J136/1000))),"-")</f>
        <v/>
      </c>
      <c r="N136" s="1023" t="str">
        <f>IFERROR(IF((OR($D136="",$D136="-")),"",IF(H136="kg/km",K136*E136/1000,IF(H136="kg/p.km",E136*#REF!*K136/1000,E136*#REF!*K136/1000))),"-")</f>
        <v/>
      </c>
      <c r="O136" s="961" t="str">
        <f>IF(B136="","",IF(D136="","",L136*'Fatores de Emissão'!$E$252+'Combustão Móvel'!M136*'Fatores de Emissão'!$E$248+'Combustão Móvel'!N136*'Fatores de Emissão'!$E$249))</f>
        <v/>
      </c>
    </row>
    <row r="137" spans="2:15" s="357" customFormat="1" ht="19.899999999999999" hidden="1" customHeight="1" outlineLevel="2" x14ac:dyDescent="0.35">
      <c r="B137" s="454"/>
      <c r="C137" s="454"/>
      <c r="D137" s="454"/>
      <c r="E137" s="541"/>
      <c r="F137" s="455"/>
      <c r="G137" s="456"/>
      <c r="H137" s="542" t="str">
        <f>IF(D137="","",VLOOKUP(D137,'Fatores de Emissão'!$D$86:$F$96,3,FALSE))</f>
        <v/>
      </c>
      <c r="I137" s="1023" t="str">
        <f>IF(OR($D137="",$D137="-"),"",VLOOKUP($D137,'Fatores de Emissão'!$D$86:$E$96,2,FALSE))</f>
        <v/>
      </c>
      <c r="J137" s="1023" t="str">
        <f>IF(OR($D137="",$D137="-"),"",VLOOKUP($D137,'Fatores de Emissão'!$D$86:$G$96,4,FALSE))</f>
        <v/>
      </c>
      <c r="K137" s="1023" t="str">
        <f>IF(OR($D137="",$D137="-"),"",VLOOKUP($D137,'Fatores de Emissão'!$D$86:$I$96,6,FALSE))</f>
        <v/>
      </c>
      <c r="L137" s="960" t="str">
        <f>IFERROR(IF((OR($D137="",$D137="-")),"",IF(H137="kg/km",I137*E137/1000,IF(H137="kg/p.km",E137*#REF!*I137/1000,E137*#REF!*I137/1000))),"-")</f>
        <v/>
      </c>
      <c r="M137" s="1023" t="str">
        <f>IFERROR(IF((OR($D137="",$D137="-")),"",IF(H137="kg/km",J137*E137/1000,IF(H137="kg/p.km",E137*#REF!*J137/1000,E137*#REF!*J137/1000))),"-")</f>
        <v/>
      </c>
      <c r="N137" s="1023" t="str">
        <f>IFERROR(IF((OR($D137="",$D137="-")),"",IF(H137="kg/km",K137*E137/1000,IF(H137="kg/p.km",E137*#REF!*K137/1000,E137*#REF!*K137/1000))),"-")</f>
        <v/>
      </c>
      <c r="O137" s="961" t="str">
        <f>IF(B137="","",IF(D137="","",L137*'Fatores de Emissão'!$E$252+'Combustão Móvel'!M137*'Fatores de Emissão'!$E$248+'Combustão Móvel'!N137*'Fatores de Emissão'!$E$249))</f>
        <v/>
      </c>
    </row>
    <row r="138" spans="2:15" s="357" customFormat="1" ht="19.899999999999999" hidden="1" customHeight="1" outlineLevel="2" x14ac:dyDescent="0.35">
      <c r="B138" s="454"/>
      <c r="C138" s="454"/>
      <c r="D138" s="454"/>
      <c r="E138" s="541"/>
      <c r="F138" s="455"/>
      <c r="G138" s="456"/>
      <c r="H138" s="542" t="str">
        <f>IF(D138="","",VLOOKUP(D138,'Fatores de Emissão'!$D$86:$F$96,3,FALSE))</f>
        <v/>
      </c>
      <c r="I138" s="1023" t="str">
        <f>IF(OR($D138="",$D138="-"),"",VLOOKUP($D138,'Fatores de Emissão'!$D$86:$E$96,2,FALSE))</f>
        <v/>
      </c>
      <c r="J138" s="1023" t="str">
        <f>IF(OR($D138="",$D138="-"),"",VLOOKUP($D138,'Fatores de Emissão'!$D$86:$G$96,4,FALSE))</f>
        <v/>
      </c>
      <c r="K138" s="1023" t="str">
        <f>IF(OR($D138="",$D138="-"),"",VLOOKUP($D138,'Fatores de Emissão'!$D$86:$I$96,6,FALSE))</f>
        <v/>
      </c>
      <c r="L138" s="960" t="str">
        <f>IFERROR(IF((OR($D138="",$D138="-")),"",IF(H138="kg/km",I138*E138/1000,IF(H138="kg/p.km",E138*#REF!*I138/1000,E138*#REF!*I138/1000))),"-")</f>
        <v/>
      </c>
      <c r="M138" s="1023" t="str">
        <f>IFERROR(IF((OR($D138="",$D138="-")),"",IF(H138="kg/km",J138*E138/1000,IF(H138="kg/p.km",E138*#REF!*J138/1000,E138*#REF!*J138/1000))),"-")</f>
        <v/>
      </c>
      <c r="N138" s="1023" t="str">
        <f>IFERROR(IF((OR($D138="",$D138="-")),"",IF(H138="kg/km",K138*E138/1000,IF(H138="kg/p.km",E138*#REF!*K138/1000,E138*#REF!*K138/1000))),"-")</f>
        <v/>
      </c>
      <c r="O138" s="961" t="str">
        <f>IF(B138="","",IF(D138="","",L138*'Fatores de Emissão'!$E$252+'Combustão Móvel'!M138*'Fatores de Emissão'!$E$248+'Combustão Móvel'!N138*'Fatores de Emissão'!$E$249))</f>
        <v/>
      </c>
    </row>
    <row r="139" spans="2:15" s="357" customFormat="1" ht="19.899999999999999" hidden="1" customHeight="1" outlineLevel="2" x14ac:dyDescent="0.35">
      <c r="B139" s="454"/>
      <c r="C139" s="454"/>
      <c r="D139" s="454"/>
      <c r="E139" s="541"/>
      <c r="F139" s="455"/>
      <c r="G139" s="456"/>
      <c r="H139" s="542" t="str">
        <f>IF(D139="","",VLOOKUP(D139,'Fatores de Emissão'!$D$86:$F$96,3,FALSE))</f>
        <v/>
      </c>
      <c r="I139" s="1023" t="str">
        <f>IF(OR($D139="",$D139="-"),"",VLOOKUP($D139,'Fatores de Emissão'!$D$86:$E$96,2,FALSE))</f>
        <v/>
      </c>
      <c r="J139" s="1023" t="str">
        <f>IF(OR($D139="",$D139="-"),"",VLOOKUP($D139,'Fatores de Emissão'!$D$86:$G$96,4,FALSE))</f>
        <v/>
      </c>
      <c r="K139" s="1023" t="str">
        <f>IF(OR($D139="",$D139="-"),"",VLOOKUP($D139,'Fatores de Emissão'!$D$86:$I$96,6,FALSE))</f>
        <v/>
      </c>
      <c r="L139" s="960" t="str">
        <f>IFERROR(IF((OR($D139="",$D139="-")),"",IF(H139="kg/km",I139*E139/1000,IF(H139="kg/p.km",E139*#REF!*I139/1000,E139*#REF!*I139/1000))),"-")</f>
        <v/>
      </c>
      <c r="M139" s="1023" t="str">
        <f>IFERROR(IF((OR($D139="",$D139="-")),"",IF(H139="kg/km",J139*E139/1000,IF(H139="kg/p.km",E139*#REF!*J139/1000,E139*#REF!*J139/1000))),"-")</f>
        <v/>
      </c>
      <c r="N139" s="1023" t="str">
        <f>IFERROR(IF((OR($D139="",$D139="-")),"",IF(H139="kg/km",K139*E139/1000,IF(H139="kg/p.km",E139*#REF!*K139/1000,E139*#REF!*K139/1000))),"-")</f>
        <v/>
      </c>
      <c r="O139" s="961" t="str">
        <f>IF(B139="","",IF(D139="","",L139*'Fatores de Emissão'!$E$252+'Combustão Móvel'!M139*'Fatores de Emissão'!$E$248+'Combustão Móvel'!N139*'Fatores de Emissão'!$E$249))</f>
        <v/>
      </c>
    </row>
    <row r="140" spans="2:15" s="357" customFormat="1" ht="19.899999999999999" hidden="1" customHeight="1" outlineLevel="2" x14ac:dyDescent="0.35">
      <c r="B140" s="454"/>
      <c r="C140" s="454"/>
      <c r="D140" s="454"/>
      <c r="E140" s="541"/>
      <c r="F140" s="455"/>
      <c r="G140" s="456"/>
      <c r="H140" s="542" t="str">
        <f>IF(D140="","",VLOOKUP(D140,'Fatores de Emissão'!$D$86:$F$96,3,FALSE))</f>
        <v/>
      </c>
      <c r="I140" s="1023" t="str">
        <f>IF(OR($D140="",$D140="-"),"",VLOOKUP($D140,'Fatores de Emissão'!$D$86:$E$96,2,FALSE))</f>
        <v/>
      </c>
      <c r="J140" s="1023" t="str">
        <f>IF(OR($D140="",$D140="-"),"",VLOOKUP($D140,'Fatores de Emissão'!$D$86:$G$96,4,FALSE))</f>
        <v/>
      </c>
      <c r="K140" s="1023" t="str">
        <f>IF(OR($D140="",$D140="-"),"",VLOOKUP($D140,'Fatores de Emissão'!$D$86:$I$96,6,FALSE))</f>
        <v/>
      </c>
      <c r="L140" s="960" t="str">
        <f>IFERROR(IF((OR($D140="",$D140="-")),"",IF(H140="kg/km",I140*E140/1000,IF(H140="kg/p.km",E140*#REF!*I140/1000,E140*#REF!*I140/1000))),"-")</f>
        <v/>
      </c>
      <c r="M140" s="1023" t="str">
        <f>IFERROR(IF((OR($D140="",$D140="-")),"",IF(H140="kg/km",J140*E140/1000,IF(H140="kg/p.km",E140*#REF!*J140/1000,E140*#REF!*J140/1000))),"-")</f>
        <v/>
      </c>
      <c r="N140" s="1023" t="str">
        <f>IFERROR(IF((OR($D140="",$D140="-")),"",IF(H140="kg/km",K140*E140/1000,IF(H140="kg/p.km",E140*#REF!*K140/1000,E140*#REF!*K140/1000))),"-")</f>
        <v/>
      </c>
      <c r="O140" s="961" t="str">
        <f>IF(B140="","",IF(D140="","",L140*'Fatores de Emissão'!$E$252+'Combustão Móvel'!M140*'Fatores de Emissão'!$E$248+'Combustão Móvel'!N140*'Fatores de Emissão'!$E$249))</f>
        <v/>
      </c>
    </row>
    <row r="141" spans="2:15" s="357" customFormat="1" ht="19.899999999999999" hidden="1" customHeight="1" outlineLevel="2" x14ac:dyDescent="0.35">
      <c r="B141" s="454"/>
      <c r="C141" s="454"/>
      <c r="D141" s="454"/>
      <c r="E141" s="541"/>
      <c r="F141" s="455"/>
      <c r="G141" s="456"/>
      <c r="H141" s="542" t="str">
        <f>IF(D141="","",VLOOKUP(D141,'Fatores de Emissão'!$D$86:$F$96,3,FALSE))</f>
        <v/>
      </c>
      <c r="I141" s="1023" t="str">
        <f>IF(OR($D141="",$D141="-"),"",VLOOKUP($D141,'Fatores de Emissão'!$D$86:$E$96,2,FALSE))</f>
        <v/>
      </c>
      <c r="J141" s="1023" t="str">
        <f>IF(OR($D141="",$D141="-"),"",VLOOKUP($D141,'Fatores de Emissão'!$D$86:$G$96,4,FALSE))</f>
        <v/>
      </c>
      <c r="K141" s="1023" t="str">
        <f>IF(OR($D141="",$D141="-"),"",VLOOKUP($D141,'Fatores de Emissão'!$D$86:$I$96,6,FALSE))</f>
        <v/>
      </c>
      <c r="L141" s="960" t="str">
        <f>IFERROR(IF((OR($D141="",$D141="-")),"",IF(H141="kg/km",I141*E141/1000,IF(H141="kg/p.km",E141*#REF!*I141/1000,E141*#REF!*I141/1000))),"-")</f>
        <v/>
      </c>
      <c r="M141" s="1023" t="str">
        <f>IFERROR(IF((OR($D141="",$D141="-")),"",IF(H141="kg/km",J141*E141/1000,IF(H141="kg/p.km",E141*#REF!*J141/1000,E141*#REF!*J141/1000))),"-")</f>
        <v/>
      </c>
      <c r="N141" s="1023" t="str">
        <f>IFERROR(IF((OR($D141="",$D141="-")),"",IF(H141="kg/km",K141*E141/1000,IF(H141="kg/p.km",E141*#REF!*K141/1000,E141*#REF!*K141/1000))),"-")</f>
        <v/>
      </c>
      <c r="O141" s="961" t="str">
        <f>IF(B141="","",IF(D141="","",L141*'Fatores de Emissão'!$E$252+'Combustão Móvel'!M141*'Fatores de Emissão'!$E$248+'Combustão Móvel'!N141*'Fatores de Emissão'!$E$249))</f>
        <v/>
      </c>
    </row>
    <row r="142" spans="2:15" s="357" customFormat="1" ht="19.899999999999999" hidden="1" customHeight="1" outlineLevel="2" x14ac:dyDescent="0.35">
      <c r="B142" s="454"/>
      <c r="C142" s="454"/>
      <c r="D142" s="454"/>
      <c r="E142" s="541"/>
      <c r="F142" s="455"/>
      <c r="G142" s="456"/>
      <c r="H142" s="542" t="str">
        <f>IF(D142="","",VLOOKUP(D142,'Fatores de Emissão'!$D$86:$F$96,3,FALSE))</f>
        <v/>
      </c>
      <c r="I142" s="1023" t="str">
        <f>IF(OR($D142="",$D142="-"),"",VLOOKUP($D142,'Fatores de Emissão'!$D$86:$E$96,2,FALSE))</f>
        <v/>
      </c>
      <c r="J142" s="1023" t="str">
        <f>IF(OR($D142="",$D142="-"),"",VLOOKUP($D142,'Fatores de Emissão'!$D$86:$G$96,4,FALSE))</f>
        <v/>
      </c>
      <c r="K142" s="1023" t="str">
        <f>IF(OR($D142="",$D142="-"),"",VLOOKUP($D142,'Fatores de Emissão'!$D$86:$I$96,6,FALSE))</f>
        <v/>
      </c>
      <c r="L142" s="960" t="str">
        <f>IFERROR(IF((OR($D142="",$D142="-")),"",IF(H142="kg/km",I142*E142/1000,IF(H142="kg/p.km",E142*#REF!*I142/1000,E142*#REF!*I142/1000))),"-")</f>
        <v/>
      </c>
      <c r="M142" s="1023" t="str">
        <f>IFERROR(IF((OR($D142="",$D142="-")),"",IF(H142="kg/km",J142*E142/1000,IF(H142="kg/p.km",E142*#REF!*J142/1000,E142*#REF!*J142/1000))),"-")</f>
        <v/>
      </c>
      <c r="N142" s="1023" t="str">
        <f>IFERROR(IF((OR($D142="",$D142="-")),"",IF(H142="kg/km",K142*E142/1000,IF(H142="kg/p.km",E142*#REF!*K142/1000,E142*#REF!*K142/1000))),"-")</f>
        <v/>
      </c>
      <c r="O142" s="961" t="str">
        <f>IF(B142="","",IF(D142="","",L142*'Fatores de Emissão'!$E$252+'Combustão Móvel'!M142*'Fatores de Emissão'!$E$248+'Combustão Móvel'!N142*'Fatores de Emissão'!$E$249))</f>
        <v/>
      </c>
    </row>
    <row r="143" spans="2:15" s="357" customFormat="1" ht="19.899999999999999" hidden="1" customHeight="1" outlineLevel="2" x14ac:dyDescent="0.35">
      <c r="B143" s="454"/>
      <c r="C143" s="454"/>
      <c r="D143" s="454"/>
      <c r="E143" s="541"/>
      <c r="F143" s="455"/>
      <c r="G143" s="456"/>
      <c r="H143" s="542" t="str">
        <f>IF(D143="","",VLOOKUP(D143,'Fatores de Emissão'!$D$86:$F$96,3,FALSE))</f>
        <v/>
      </c>
      <c r="I143" s="1023" t="str">
        <f>IF(OR($D143="",$D143="-"),"",VLOOKUP($D143,'Fatores de Emissão'!$D$86:$E$96,2,FALSE))</f>
        <v/>
      </c>
      <c r="J143" s="1023" t="str">
        <f>IF(OR($D143="",$D143="-"),"",VLOOKUP($D143,'Fatores de Emissão'!$D$86:$G$96,4,FALSE))</f>
        <v/>
      </c>
      <c r="K143" s="1023" t="str">
        <f>IF(OR($D143="",$D143="-"),"",VLOOKUP($D143,'Fatores de Emissão'!$D$86:$I$96,6,FALSE))</f>
        <v/>
      </c>
      <c r="L143" s="960" t="str">
        <f>IFERROR(IF((OR($D143="",$D143="-")),"",IF(H143="kg/km",I143*E143/1000,IF(H143="kg/p.km",E143*#REF!*I143/1000,E143*#REF!*I143/1000))),"-")</f>
        <v/>
      </c>
      <c r="M143" s="1023" t="str">
        <f>IFERROR(IF((OR($D143="",$D143="-")),"",IF(H143="kg/km",J143*E143/1000,IF(H143="kg/p.km",E143*#REF!*J143/1000,E143*#REF!*J143/1000))),"-")</f>
        <v/>
      </c>
      <c r="N143" s="1023" t="str">
        <f>IFERROR(IF((OR($D143="",$D143="-")),"",IF(H143="kg/km",K143*E143/1000,IF(H143="kg/p.km",E143*#REF!*K143/1000,E143*#REF!*K143/1000))),"-")</f>
        <v/>
      </c>
      <c r="O143" s="961" t="str">
        <f>IF(B143="","",IF(D143="","",L143*'Fatores de Emissão'!$E$252+'Combustão Móvel'!M143*'Fatores de Emissão'!$E$248+'Combustão Móvel'!N143*'Fatores de Emissão'!$E$249))</f>
        <v/>
      </c>
    </row>
    <row r="144" spans="2:15" s="357" customFormat="1" ht="19.899999999999999" hidden="1" customHeight="1" outlineLevel="2" x14ac:dyDescent="0.35">
      <c r="B144" s="454"/>
      <c r="C144" s="454"/>
      <c r="D144" s="454"/>
      <c r="E144" s="541"/>
      <c r="F144" s="455"/>
      <c r="G144" s="456"/>
      <c r="H144" s="542" t="str">
        <f>IF(D144="","",VLOOKUP(D144,'Fatores de Emissão'!$D$86:$F$96,3,FALSE))</f>
        <v/>
      </c>
      <c r="I144" s="1023" t="str">
        <f>IF(OR($D144="",$D144="-"),"",VLOOKUP($D144,'Fatores de Emissão'!$D$86:$E$96,2,FALSE))</f>
        <v/>
      </c>
      <c r="J144" s="1023" t="str">
        <f>IF(OR($D144="",$D144="-"),"",VLOOKUP($D144,'Fatores de Emissão'!$D$86:$G$96,4,FALSE))</f>
        <v/>
      </c>
      <c r="K144" s="1023" t="str">
        <f>IF(OR($D144="",$D144="-"),"",VLOOKUP($D144,'Fatores de Emissão'!$D$86:$I$96,6,FALSE))</f>
        <v/>
      </c>
      <c r="L144" s="960" t="str">
        <f>IFERROR(IF((OR($D144="",$D144="-")),"",IF(H144="kg/km",I144*E144/1000,IF(H144="kg/p.km",E144*#REF!*I144/1000,E144*#REF!*I144/1000))),"-")</f>
        <v/>
      </c>
      <c r="M144" s="1023" t="str">
        <f>IFERROR(IF((OR($D144="",$D144="-")),"",IF(H144="kg/km",J144*E144/1000,IF(H144="kg/p.km",E144*#REF!*J144/1000,E144*#REF!*J144/1000))),"-")</f>
        <v/>
      </c>
      <c r="N144" s="1023" t="str">
        <f>IFERROR(IF((OR($D144="",$D144="-")),"",IF(H144="kg/km",K144*E144/1000,IF(H144="kg/p.km",E144*#REF!*K144/1000,E144*#REF!*K144/1000))),"-")</f>
        <v/>
      </c>
      <c r="O144" s="961" t="str">
        <f>IF(B144="","",IF(D144="","",L144*'Fatores de Emissão'!$E$252+'Combustão Móvel'!M144*'Fatores de Emissão'!$E$248+'Combustão Móvel'!N144*'Fatores de Emissão'!$E$249))</f>
        <v/>
      </c>
    </row>
    <row r="145" spans="2:17" s="357" customFormat="1" ht="19.899999999999999" hidden="1" customHeight="1" outlineLevel="2" x14ac:dyDescent="0.35">
      <c r="B145" s="454"/>
      <c r="C145" s="454"/>
      <c r="D145" s="454"/>
      <c r="E145" s="541"/>
      <c r="F145" s="455"/>
      <c r="G145" s="456"/>
      <c r="H145" s="542" t="str">
        <f>IF(D145="","",VLOOKUP(D145,'Fatores de Emissão'!$D$86:$F$96,3,FALSE))</f>
        <v/>
      </c>
      <c r="I145" s="1023" t="str">
        <f>IF(OR($D145="",$D145="-"),"",VLOOKUP($D145,'Fatores de Emissão'!$D$86:$E$96,2,FALSE))</f>
        <v/>
      </c>
      <c r="J145" s="1023" t="str">
        <f>IF(OR($D145="",$D145="-"),"",VLOOKUP($D145,'Fatores de Emissão'!$D$86:$G$96,4,FALSE))</f>
        <v/>
      </c>
      <c r="K145" s="1023" t="str">
        <f>IF(OR($D145="",$D145="-"),"",VLOOKUP($D145,'Fatores de Emissão'!$D$86:$I$96,6,FALSE))</f>
        <v/>
      </c>
      <c r="L145" s="960" t="str">
        <f>IFERROR(IF((OR($D145="",$D145="-")),"",IF(H145="kg/km",I145*E145/1000,IF(H145="kg/p.km",E145*#REF!*I145/1000,E145*#REF!*I145/1000))),"-")</f>
        <v/>
      </c>
      <c r="M145" s="1023" t="str">
        <f>IFERROR(IF((OR($D145="",$D145="-")),"",IF(H145="kg/km",J145*E145/1000,IF(H145="kg/p.km",E145*#REF!*J145/1000,E145*#REF!*J145/1000))),"-")</f>
        <v/>
      </c>
      <c r="N145" s="1023" t="str">
        <f>IFERROR(IF((OR($D145="",$D145="-")),"",IF(H145="kg/km",K145*E145/1000,IF(H145="kg/p.km",E145*#REF!*K145/1000,E145*#REF!*K145/1000))),"-")</f>
        <v/>
      </c>
      <c r="O145" s="961" t="str">
        <f>IF(B145="","",IF(D145="","",L145*'Fatores de Emissão'!$E$252+'Combustão Móvel'!M145*'Fatores de Emissão'!$E$248+'Combustão Móvel'!N145*'Fatores de Emissão'!$E$249))</f>
        <v/>
      </c>
    </row>
    <row r="146" spans="2:17" s="357" customFormat="1" ht="19.899999999999999" hidden="1" customHeight="1" outlineLevel="2" x14ac:dyDescent="0.35">
      <c r="B146" s="454"/>
      <c r="C146" s="454"/>
      <c r="D146" s="454"/>
      <c r="E146" s="541"/>
      <c r="F146" s="455"/>
      <c r="G146" s="456"/>
      <c r="H146" s="542" t="str">
        <f>IF(D146="","",VLOOKUP(D146,'Fatores de Emissão'!$D$86:$F$96,3,FALSE))</f>
        <v/>
      </c>
      <c r="I146" s="1023" t="str">
        <f>IF(OR($D146="",$D146="-"),"",VLOOKUP($D146,'Fatores de Emissão'!$D$86:$E$96,2,FALSE))</f>
        <v/>
      </c>
      <c r="J146" s="1023" t="str">
        <f>IF(OR($D146="",$D146="-"),"",VLOOKUP($D146,'Fatores de Emissão'!$D$86:$G$96,4,FALSE))</f>
        <v/>
      </c>
      <c r="K146" s="1023" t="str">
        <f>IF(OR($D146="",$D146="-"),"",VLOOKUP($D146,'Fatores de Emissão'!$D$86:$I$96,6,FALSE))</f>
        <v/>
      </c>
      <c r="L146" s="960" t="str">
        <f>IFERROR(IF((OR($D146="",$D146="-")),"",IF(H146="kg/km",I146*E146/1000,IF(H146="kg/p.km",E146*#REF!*I146/1000,E146*#REF!*I146/1000))),"-")</f>
        <v/>
      </c>
      <c r="M146" s="1023" t="str">
        <f>IFERROR(IF((OR($D146="",$D146="-")),"",IF(H146="kg/km",J146*E146/1000,IF(H146="kg/p.km",E146*#REF!*J146/1000,E146*#REF!*J146/1000))),"-")</f>
        <v/>
      </c>
      <c r="N146" s="1023" t="str">
        <f>IFERROR(IF((OR($D146="",$D146="-")),"",IF(H146="kg/km",K146*E146/1000,IF(H146="kg/p.km",E146*#REF!*K146/1000,E146*#REF!*K146/1000))),"-")</f>
        <v/>
      </c>
      <c r="O146" s="961" t="str">
        <f>IF(B146="","",IF(D146="","",L146*'Fatores de Emissão'!$E$252+'Combustão Móvel'!M146*'Fatores de Emissão'!$E$248+'Combustão Móvel'!N146*'Fatores de Emissão'!$E$249))</f>
        <v/>
      </c>
    </row>
    <row r="147" spans="2:17" s="357" customFormat="1" ht="19.899999999999999" hidden="1" customHeight="1" outlineLevel="2" x14ac:dyDescent="0.35">
      <c r="B147" s="454"/>
      <c r="C147" s="454"/>
      <c r="D147" s="454"/>
      <c r="E147" s="541"/>
      <c r="F147" s="455"/>
      <c r="G147" s="456"/>
      <c r="H147" s="542" t="str">
        <f>IF(D147="","",VLOOKUP(D147,'Fatores de Emissão'!$D$86:$F$96,3,FALSE))</f>
        <v/>
      </c>
      <c r="I147" s="1023" t="str">
        <f>IF(OR($D147="",$D147="-"),"",VLOOKUP($D147,'Fatores de Emissão'!$D$86:$E$96,2,FALSE))</f>
        <v/>
      </c>
      <c r="J147" s="1023" t="str">
        <f>IF(OR($D147="",$D147="-"),"",VLOOKUP($D147,'Fatores de Emissão'!$D$86:$G$96,4,FALSE))</f>
        <v/>
      </c>
      <c r="K147" s="1023" t="str">
        <f>IF(OR($D147="",$D147="-"),"",VLOOKUP($D147,'Fatores de Emissão'!$D$86:$I$96,6,FALSE))</f>
        <v/>
      </c>
      <c r="L147" s="960" t="str">
        <f>IFERROR(IF((OR($D147="",$D147="-")),"",IF(H147="kg/km",I147*E147/1000,IF(H147="kg/p.km",E147*#REF!*I147/1000,E147*#REF!*I147/1000))),"-")</f>
        <v/>
      </c>
      <c r="M147" s="1023" t="str">
        <f>IFERROR(IF((OR($D147="",$D147="-")),"",IF(H147="kg/km",J147*E147/1000,IF(H147="kg/p.km",E147*#REF!*J147/1000,E147*#REF!*J147/1000))),"-")</f>
        <v/>
      </c>
      <c r="N147" s="1023" t="str">
        <f>IFERROR(IF((OR($D147="",$D147="-")),"",IF(H147="kg/km",K147*E147/1000,IF(H147="kg/p.km",E147*#REF!*K147/1000,E147*#REF!*K147/1000))),"-")</f>
        <v/>
      </c>
      <c r="O147" s="961" t="str">
        <f>IF(B147="","",IF(D147="","",L147*'Fatores de Emissão'!$E$252+'Combustão Móvel'!M147*'Fatores de Emissão'!$E$248+'Combustão Móvel'!N147*'Fatores de Emissão'!$E$249))</f>
        <v/>
      </c>
    </row>
    <row r="148" spans="2:17" s="357" customFormat="1" ht="19.899999999999999" hidden="1" customHeight="1" outlineLevel="2" x14ac:dyDescent="0.35">
      <c r="B148" s="454"/>
      <c r="C148" s="454"/>
      <c r="D148" s="454"/>
      <c r="E148" s="541"/>
      <c r="F148" s="455"/>
      <c r="G148" s="456"/>
      <c r="H148" s="542" t="str">
        <f>IF(D148="","",VLOOKUP(D148,'Fatores de Emissão'!$D$86:$F$96,3,FALSE))</f>
        <v/>
      </c>
      <c r="I148" s="1023" t="str">
        <f>IF(OR($D148="",$D148="-"),"",VLOOKUP($D148,'Fatores de Emissão'!$D$86:$E$96,2,FALSE))</f>
        <v/>
      </c>
      <c r="J148" s="1023" t="str">
        <f>IF(OR($D148="",$D148="-"),"",VLOOKUP($D148,'Fatores de Emissão'!$D$86:$G$96,4,FALSE))</f>
        <v/>
      </c>
      <c r="K148" s="1023" t="str">
        <f>IF(OR($D148="",$D148="-"),"",VLOOKUP($D148,'Fatores de Emissão'!$D$86:$I$96,6,FALSE))</f>
        <v/>
      </c>
      <c r="L148" s="960" t="str">
        <f>IFERROR(IF((OR($D148="",$D148="-")),"",IF(H148="kg/km",I148*E148/1000,IF(H148="kg/p.km",E148*#REF!*I148/1000,E148*#REF!*I148/1000))),"-")</f>
        <v/>
      </c>
      <c r="M148" s="1023" t="str">
        <f>IFERROR(IF((OR($D148="",$D148="-")),"",IF(H148="kg/km",J148*E148/1000,IF(H148="kg/p.km",E148*#REF!*J148/1000,E148*#REF!*J148/1000))),"-")</f>
        <v/>
      </c>
      <c r="N148" s="1023" t="str">
        <f>IFERROR(IF((OR($D148="",$D148="-")),"",IF(H148="kg/km",K148*E148/1000,IF(H148="kg/p.km",E148*#REF!*K148/1000,E148*#REF!*K148/1000))),"-")</f>
        <v/>
      </c>
      <c r="O148" s="961" t="str">
        <f>IF(B148="","",IF(D148="","",L148*'Fatores de Emissão'!$E$252+'Combustão Móvel'!M148*'Fatores de Emissão'!$E$248+'Combustão Móvel'!N148*'Fatores de Emissão'!$E$249))</f>
        <v/>
      </c>
    </row>
    <row r="149" spans="2:17" s="357" customFormat="1" ht="19.899999999999999" hidden="1" customHeight="1" outlineLevel="2" x14ac:dyDescent="0.35">
      <c r="B149" s="454"/>
      <c r="C149" s="454"/>
      <c r="D149" s="454"/>
      <c r="E149" s="541"/>
      <c r="F149" s="455"/>
      <c r="G149" s="456"/>
      <c r="H149" s="542" t="str">
        <f>IF(D149="","",VLOOKUP(D149,'Fatores de Emissão'!$D$86:$F$96,3,FALSE))</f>
        <v/>
      </c>
      <c r="I149" s="1023" t="str">
        <f>IF(OR($D149="",$D149="-"),"",VLOOKUP($D149,'Fatores de Emissão'!$D$86:$E$96,2,FALSE))</f>
        <v/>
      </c>
      <c r="J149" s="1023" t="str">
        <f>IF(OR($D149="",$D149="-"),"",VLOOKUP($D149,'Fatores de Emissão'!$D$86:$G$96,4,FALSE))</f>
        <v/>
      </c>
      <c r="K149" s="1023" t="str">
        <f>IF(OR($D149="",$D149="-"),"",VLOOKUP($D149,'Fatores de Emissão'!$D$86:$I$96,6,FALSE))</f>
        <v/>
      </c>
      <c r="L149" s="960" t="str">
        <f>IFERROR(IF((OR($D149="",$D149="-")),"",IF(H149="kg/km",I149*E149/1000,IF(H149="kg/p.km",E149*#REF!*I149/1000,E149*#REF!*I149/1000))),"-")</f>
        <v/>
      </c>
      <c r="M149" s="1023" t="str">
        <f>IFERROR(IF((OR($D149="",$D149="-")),"",IF(H149="kg/km",J149*E149/1000,IF(H149="kg/p.km",E149*#REF!*J149/1000,E149*#REF!*J149/1000))),"-")</f>
        <v/>
      </c>
      <c r="N149" s="1023" t="str">
        <f>IFERROR(IF((OR($D149="",$D149="-")),"",IF(H149="kg/km",K149*E149/1000,IF(H149="kg/p.km",E149*#REF!*K149/1000,E149*#REF!*K149/1000))),"-")</f>
        <v/>
      </c>
      <c r="O149" s="961" t="str">
        <f>IF(B149="","",IF(D149="","",L149*'Fatores de Emissão'!$E$252+'Combustão Móvel'!M149*'Fatores de Emissão'!$E$248+'Combustão Móvel'!N149*'Fatores de Emissão'!$E$249))</f>
        <v/>
      </c>
    </row>
    <row r="150" spans="2:17" s="357" customFormat="1" ht="19.899999999999999" hidden="1" customHeight="1" outlineLevel="2" x14ac:dyDescent="0.35">
      <c r="B150" s="454"/>
      <c r="C150" s="454"/>
      <c r="D150" s="454"/>
      <c r="E150" s="541"/>
      <c r="F150" s="455"/>
      <c r="G150" s="456"/>
      <c r="H150" s="542" t="str">
        <f>IF(D150="","",VLOOKUP(D150,'Fatores de Emissão'!$D$86:$F$96,3,FALSE))</f>
        <v/>
      </c>
      <c r="I150" s="1023" t="str">
        <f>IF(OR($D150="",$D150="-"),"",VLOOKUP($D150,'Fatores de Emissão'!$D$86:$E$96,2,FALSE))</f>
        <v/>
      </c>
      <c r="J150" s="1023" t="str">
        <f>IF(OR($D150="",$D150="-"),"",VLOOKUP($D150,'Fatores de Emissão'!$D$86:$G$96,4,FALSE))</f>
        <v/>
      </c>
      <c r="K150" s="1023" t="str">
        <f>IF(OR($D150="",$D150="-"),"",VLOOKUP($D150,'Fatores de Emissão'!$D$86:$I$96,6,FALSE))</f>
        <v/>
      </c>
      <c r="L150" s="960" t="str">
        <f>IFERROR(IF((OR($D150="",$D150="-")),"",IF(H150="kg/km",I150*E150/1000,IF(H150="kg/p.km",E150*#REF!*I150/1000,E150*#REF!*I150/1000))),"-")</f>
        <v/>
      </c>
      <c r="M150" s="1023" t="str">
        <f>IFERROR(IF((OR($D150="",$D150="-")),"",IF(H150="kg/km",J150*E150/1000,IF(H150="kg/p.km",E150*#REF!*J150/1000,E150*#REF!*J150/1000))),"-")</f>
        <v/>
      </c>
      <c r="N150" s="1023" t="str">
        <f>IFERROR(IF((OR($D150="",$D150="-")),"",IF(H150="kg/km",K150*E150/1000,IF(H150="kg/p.km",E150*#REF!*K150/1000,E150*#REF!*K150/1000))),"-")</f>
        <v/>
      </c>
      <c r="O150" s="961" t="str">
        <f>IF(B150="","",IF(D150="","",L150*'Fatores de Emissão'!$E$252+'Combustão Móvel'!M150*'Fatores de Emissão'!$E$248+'Combustão Móvel'!N150*'Fatores de Emissão'!$E$249))</f>
        <v/>
      </c>
    </row>
    <row r="151" spans="2:17" outlineLevel="1" collapsed="1" x14ac:dyDescent="0.35">
      <c r="B151" s="323" t="s">
        <v>40</v>
      </c>
      <c r="C151" s="280"/>
      <c r="D151" s="280"/>
      <c r="E151" s="280"/>
      <c r="F151" s="280"/>
      <c r="G151" s="280"/>
      <c r="H151" s="280"/>
      <c r="I151" s="280"/>
      <c r="J151" s="550"/>
      <c r="K151" s="550"/>
      <c r="L151" s="962">
        <f>SUM(L51:L150)</f>
        <v>0</v>
      </c>
      <c r="M151" s="1024">
        <f>SUM(M51:M150)</f>
        <v>0</v>
      </c>
      <c r="N151" s="1024">
        <f>SUM(N51:N150)</f>
        <v>0</v>
      </c>
      <c r="O151" s="963">
        <f>SUM(O51:O150)</f>
        <v>0</v>
      </c>
    </row>
    <row r="152" spans="2:17" outlineLevel="1" x14ac:dyDescent="0.35"/>
    <row r="153" spans="2:17" outlineLevel="1" x14ac:dyDescent="0.35"/>
    <row r="154" spans="2:17" s="538" customFormat="1" ht="30" customHeight="1" x14ac:dyDescent="0.35">
      <c r="B154" s="296" t="s">
        <v>689</v>
      </c>
    </row>
    <row r="155" spans="2:17" x14ac:dyDescent="0.35"/>
    <row r="156" spans="2:17" outlineLevel="1" x14ac:dyDescent="0.35">
      <c r="B156" s="167" t="s">
        <v>27</v>
      </c>
      <c r="C156" s="172"/>
      <c r="D156" s="172"/>
      <c r="E156" s="172"/>
      <c r="F156" s="172"/>
      <c r="G156" s="172"/>
      <c r="H156" s="172"/>
      <c r="I156" s="172"/>
      <c r="J156" s="172"/>
      <c r="K156" s="172"/>
      <c r="L156" s="172"/>
      <c r="M156" s="172"/>
      <c r="N156" s="172"/>
      <c r="O156" s="172"/>
      <c r="P156" s="172"/>
      <c r="Q156" s="172"/>
    </row>
    <row r="157" spans="2:17" outlineLevel="1" x14ac:dyDescent="0.35">
      <c r="B157" s="422" t="s">
        <v>600</v>
      </c>
      <c r="C157" s="912"/>
      <c r="D157" s="172"/>
      <c r="E157" s="172"/>
      <c r="F157" s="172"/>
      <c r="G157" s="172"/>
      <c r="H157" s="172"/>
      <c r="I157" s="172"/>
      <c r="J157" s="172"/>
      <c r="K157" s="172"/>
      <c r="L157" s="172"/>
      <c r="M157" s="172"/>
      <c r="N157" s="172"/>
      <c r="O157" s="172"/>
      <c r="P157" s="172"/>
      <c r="Q157" s="172"/>
    </row>
    <row r="158" spans="2:17" outlineLevel="1" x14ac:dyDescent="0.35">
      <c r="B158" s="345" t="s">
        <v>1339</v>
      </c>
      <c r="C158" s="912"/>
      <c r="D158" s="172"/>
      <c r="E158" s="172"/>
      <c r="F158" s="172"/>
      <c r="G158" s="172"/>
      <c r="H158" s="172"/>
      <c r="I158" s="172"/>
      <c r="J158" s="172"/>
      <c r="K158" s="172"/>
      <c r="L158" s="172"/>
      <c r="M158" s="172"/>
      <c r="N158" s="172"/>
      <c r="O158" s="172"/>
      <c r="P158" s="172"/>
      <c r="Q158" s="172"/>
    </row>
    <row r="159" spans="2:17" outlineLevel="1" x14ac:dyDescent="0.35">
      <c r="B159" s="422" t="s">
        <v>220</v>
      </c>
      <c r="C159" s="912"/>
      <c r="D159" s="172"/>
      <c r="E159" s="172"/>
      <c r="F159" s="172"/>
      <c r="G159" s="172"/>
      <c r="H159" s="172"/>
      <c r="I159" s="172"/>
      <c r="J159" s="172"/>
      <c r="K159" s="172"/>
      <c r="L159" s="172"/>
      <c r="M159" s="172"/>
      <c r="N159" s="172"/>
      <c r="O159" s="172"/>
      <c r="P159" s="172"/>
      <c r="Q159" s="172"/>
    </row>
    <row r="160" spans="2:17" outlineLevel="1" x14ac:dyDescent="0.35">
      <c r="B160" s="422" t="s">
        <v>1340</v>
      </c>
      <c r="C160" s="912"/>
      <c r="D160" s="172"/>
      <c r="E160" s="172"/>
      <c r="F160" s="172"/>
      <c r="G160" s="172"/>
      <c r="H160" s="172"/>
      <c r="I160" s="172"/>
      <c r="J160" s="172"/>
      <c r="K160" s="172"/>
      <c r="L160" s="172"/>
      <c r="M160" s="172"/>
      <c r="N160" s="172"/>
      <c r="O160" s="172"/>
      <c r="P160" s="172"/>
      <c r="Q160" s="172"/>
    </row>
    <row r="161" spans="1:17" outlineLevel="1" x14ac:dyDescent="0.35">
      <c r="B161" s="422" t="s">
        <v>1341</v>
      </c>
      <c r="C161" s="912"/>
      <c r="D161" s="172"/>
      <c r="E161" s="172"/>
      <c r="F161" s="172"/>
      <c r="G161" s="172"/>
      <c r="H161" s="172"/>
      <c r="I161" s="172"/>
      <c r="J161" s="172"/>
      <c r="K161" s="172"/>
      <c r="L161" s="172"/>
      <c r="M161" s="172"/>
      <c r="N161" s="172"/>
      <c r="O161" s="172"/>
      <c r="P161" s="172"/>
      <c r="Q161" s="172"/>
    </row>
    <row r="162" spans="1:17" s="458" customFormat="1" outlineLevel="1" x14ac:dyDescent="0.35">
      <c r="B162" s="313" t="s">
        <v>601</v>
      </c>
      <c r="C162" s="313"/>
      <c r="D162" s="313"/>
      <c r="E162" s="313"/>
      <c r="F162" s="313"/>
      <c r="G162" s="313"/>
      <c r="H162" s="313"/>
      <c r="I162" s="313"/>
      <c r="J162" s="313"/>
      <c r="K162" s="313"/>
      <c r="L162" s="313"/>
      <c r="M162" s="313"/>
      <c r="N162" s="313"/>
      <c r="O162" s="313"/>
      <c r="P162" s="313"/>
      <c r="Q162" s="313"/>
    </row>
    <row r="163" spans="1:17" outlineLevel="1" x14ac:dyDescent="0.35">
      <c r="P163" s="307"/>
    </row>
    <row r="164" spans="1:17" outlineLevel="1" x14ac:dyDescent="0.35">
      <c r="B164" s="169" t="s">
        <v>522</v>
      </c>
      <c r="P164" s="307"/>
    </row>
    <row r="165" spans="1:17" ht="16.899999999999999" customHeight="1" outlineLevel="1" x14ac:dyDescent="0.35">
      <c r="A165" s="314"/>
      <c r="B165" s="1089" t="s">
        <v>691</v>
      </c>
      <c r="C165" s="1089" t="s">
        <v>211</v>
      </c>
      <c r="D165" s="1089" t="s">
        <v>212</v>
      </c>
      <c r="E165" s="1089" t="s">
        <v>597</v>
      </c>
      <c r="F165" s="1089" t="s">
        <v>215</v>
      </c>
      <c r="G165" s="1089" t="s">
        <v>213</v>
      </c>
      <c r="H165" s="1089" t="s">
        <v>1536</v>
      </c>
      <c r="I165" s="1089" t="s">
        <v>544</v>
      </c>
      <c r="J165" s="1089" t="s">
        <v>214</v>
      </c>
      <c r="K165" s="1121" t="s">
        <v>604</v>
      </c>
      <c r="L165" s="1122"/>
      <c r="M165" s="1123"/>
      <c r="N165" s="1089" t="s">
        <v>1342</v>
      </c>
      <c r="O165" s="1089" t="s">
        <v>1343</v>
      </c>
      <c r="P165" s="1089" t="s">
        <v>1344</v>
      </c>
      <c r="Q165" s="1089" t="s">
        <v>1345</v>
      </c>
    </row>
    <row r="166" spans="1:17" ht="11.5" customHeight="1" outlineLevel="1" x14ac:dyDescent="0.35">
      <c r="A166" s="314"/>
      <c r="B166" s="1090"/>
      <c r="C166" s="1090"/>
      <c r="D166" s="1090"/>
      <c r="E166" s="1090"/>
      <c r="F166" s="1090"/>
      <c r="G166" s="1090"/>
      <c r="H166" s="1090"/>
      <c r="I166" s="1090"/>
      <c r="J166" s="1090"/>
      <c r="K166" s="1124"/>
      <c r="L166" s="1125"/>
      <c r="M166" s="1126"/>
      <c r="N166" s="1090"/>
      <c r="O166" s="1090"/>
      <c r="P166" s="1090"/>
      <c r="Q166" s="1090"/>
    </row>
    <row r="167" spans="1:17" ht="30" customHeight="1" outlineLevel="1" x14ac:dyDescent="0.35">
      <c r="A167" s="314"/>
      <c r="B167" s="1100"/>
      <c r="C167" s="1100"/>
      <c r="D167" s="1100"/>
      <c r="E167" s="1100"/>
      <c r="F167" s="1100"/>
      <c r="G167" s="1100"/>
      <c r="H167" s="1100"/>
      <c r="I167" s="1100"/>
      <c r="J167" s="1100"/>
      <c r="K167" s="257" t="s">
        <v>1336</v>
      </c>
      <c r="L167" s="257" t="s">
        <v>1337</v>
      </c>
      <c r="M167" s="257" t="s">
        <v>1338</v>
      </c>
      <c r="N167" s="1100"/>
      <c r="O167" s="1100"/>
      <c r="P167" s="1100"/>
      <c r="Q167" s="1100"/>
    </row>
    <row r="168" spans="1:17" s="314" customFormat="1" ht="31" outlineLevel="1" x14ac:dyDescent="0.35">
      <c r="A168" s="317" t="s">
        <v>39</v>
      </c>
      <c r="B168" s="451" t="s">
        <v>255</v>
      </c>
      <c r="C168" s="551" t="s">
        <v>1446</v>
      </c>
      <c r="D168" s="551" t="s">
        <v>218</v>
      </c>
      <c r="E168" s="552">
        <v>1000</v>
      </c>
      <c r="F168" s="553"/>
      <c r="G168" s="552">
        <v>1000</v>
      </c>
      <c r="H168" s="452" t="s">
        <v>542</v>
      </c>
      <c r="I168" s="452" t="s">
        <v>548</v>
      </c>
      <c r="J168" s="551" t="str">
        <f>IF(D168="","",VLOOKUP(D168,'Fatores de Emissão'!$D$105:$F$108,3,FALSE))</f>
        <v>kg/t.km</v>
      </c>
      <c r="K168" s="1027">
        <v>5.3399999999999996E-2</v>
      </c>
      <c r="L168" s="1027">
        <v>2.8600000000000001E-6</v>
      </c>
      <c r="M168" s="1027">
        <v>9.7999999999999977E-6</v>
      </c>
      <c r="N168" s="1029">
        <v>5.34</v>
      </c>
      <c r="O168" s="1029">
        <v>2.8600000000000001E-4</v>
      </c>
      <c r="P168" s="1029">
        <v>9.7999999999999975E-4</v>
      </c>
      <c r="Q168" s="965">
        <f>IF(B168="","",IF(D168="","",N168*'Fatores de Emissão'!$E$252+'Combustão Móvel'!O168*'Fatores de Emissão'!$E$248+'Combustão Móvel'!P168*'Fatores de Emissão'!$E$249))</f>
        <v>5.6077079999999997</v>
      </c>
    </row>
    <row r="169" spans="1:17" s="314" customFormat="1" outlineLevel="1" x14ac:dyDescent="0.35">
      <c r="B169" s="454"/>
      <c r="C169" s="194"/>
      <c r="D169" s="194"/>
      <c r="E169" s="342"/>
      <c r="F169" s="546"/>
      <c r="G169" s="342"/>
      <c r="H169" s="456"/>
      <c r="I169" s="456"/>
      <c r="J169" s="544" t="str">
        <f>IF(D169="","",VLOOKUP(D169,'Fatores de Emissão'!$D$105:$F$108,3,FALSE))</f>
        <v/>
      </c>
      <c r="K169" s="1024" t="str">
        <f>IF(OR(D169="",D169="-"),"",VLOOKUP(D169,'Fatores de Emissão'!$D$105:$E$108,2,FALSE))</f>
        <v/>
      </c>
      <c r="L169" s="1024" t="str">
        <f>IF(OR(D169="",D169="-"),"",VLOOKUP(D169,'Fatores de Emissão'!$D$105:$G$108,4,FALSE))</f>
        <v/>
      </c>
      <c r="M169" s="1024" t="str">
        <f>IF(OR(D169="",D169="-"),"",VLOOKUP(D169,'Fatores de Emissão'!$D$105:$I$108,6,FALSE))</f>
        <v/>
      </c>
      <c r="N169" s="1024" t="str">
        <f t="shared" ref="N169" si="0">IF(D169="","",IF(J169="kg/km",E169*K169/1000,IF(J169="kg/p.km",E169*F169*K169/1000,E169*G169*K169/1000)))</f>
        <v/>
      </c>
      <c r="O169" s="1024" t="str">
        <f t="shared" ref="O169:O232" si="1">IF(D169="","",IF(J169="kg/km",E169*L169/1000,IF(J169="kg/p.km",E169*F169*L169/1000,E169*G169*L169/1000)))</f>
        <v/>
      </c>
      <c r="P169" s="962" t="str">
        <f t="shared" ref="P169:P199" si="2">IF(D169="","",IF(J169="kg/km",E169*M169/1000,IF(J169="kg/p.km",E169*F169*M169/1000,E169*G169*M169/1000)))</f>
        <v/>
      </c>
      <c r="Q169" s="961" t="str">
        <f>IF(B169="","",IF(D169="","",N169*'Fatores de Emissão'!$E$252+'Combustão Móvel'!O169*'Fatores de Emissão'!$E$248+'Combustão Móvel'!P169*'Fatores de Emissão'!$E$249))</f>
        <v/>
      </c>
    </row>
    <row r="170" spans="1:17" s="314" customFormat="1" outlineLevel="1" x14ac:dyDescent="0.35">
      <c r="B170" s="454"/>
      <c r="C170" s="194"/>
      <c r="D170" s="194"/>
      <c r="E170" s="342"/>
      <c r="F170" s="546"/>
      <c r="G170" s="342"/>
      <c r="H170" s="456"/>
      <c r="I170" s="456"/>
      <c r="J170" s="544" t="str">
        <f>IF(D170="","",VLOOKUP(D170,'Fatores de Emissão'!$D$105:$F$108,3,FALSE))</f>
        <v/>
      </c>
      <c r="K170" s="1024" t="str">
        <f>IF(OR(D170="",D170="-"),"",VLOOKUP(D170,'Fatores de Emissão'!$D$105:$E$108,2,FALSE))</f>
        <v/>
      </c>
      <c r="L170" s="1024" t="str">
        <f>IF(OR(D170="",D170="-"),"",VLOOKUP(D170,'Fatores de Emissão'!$D$105:$G$108,4,FALSE))</f>
        <v/>
      </c>
      <c r="M170" s="1024" t="str">
        <f>IF(OR(D170="",D170="-"),"",VLOOKUP(D170,'Fatores de Emissão'!$D$105:$I$108,6,FALSE))</f>
        <v/>
      </c>
      <c r="N170" s="1024" t="str">
        <f t="shared" ref="N170:N233" si="3">IF(D170="","",IF(J170="kg/km",E170*K170/1000,IF(J170="kg/p.km",E170*F170*K170/1000,E170*G170*K170/1000)))</f>
        <v/>
      </c>
      <c r="O170" s="1024" t="str">
        <f t="shared" si="1"/>
        <v/>
      </c>
      <c r="P170" s="962" t="str">
        <f t="shared" si="2"/>
        <v/>
      </c>
      <c r="Q170" s="961" t="str">
        <f>IF(B170="","",IF(D170="","",N170*'Fatores de Emissão'!$E$252+'Combustão Móvel'!O170*'Fatores de Emissão'!$E$248+'Combustão Móvel'!P170*'Fatores de Emissão'!$E$249))</f>
        <v/>
      </c>
    </row>
    <row r="171" spans="1:17" s="314" customFormat="1" outlineLevel="1" x14ac:dyDescent="0.35">
      <c r="B171" s="454"/>
      <c r="C171" s="194"/>
      <c r="D171" s="194"/>
      <c r="E171" s="342"/>
      <c r="F171" s="546"/>
      <c r="G171" s="342"/>
      <c r="H171" s="456"/>
      <c r="I171" s="456"/>
      <c r="J171" s="544" t="str">
        <f>IF(D171="","",VLOOKUP(D171,'Fatores de Emissão'!$D$105:$F$108,3,FALSE))</f>
        <v/>
      </c>
      <c r="K171" s="1024" t="str">
        <f>IF(OR(D171="",D171="-"),"",VLOOKUP(D171,'Fatores de Emissão'!$D$105:$E$108,2,FALSE))</f>
        <v/>
      </c>
      <c r="L171" s="1024" t="str">
        <f>IF(OR(D171="",D171="-"),"",VLOOKUP(D171,'Fatores de Emissão'!$D$105:$G$108,4,FALSE))</f>
        <v/>
      </c>
      <c r="M171" s="1024" t="str">
        <f>IF(OR(D171="",D171="-"),"",VLOOKUP(D171,'Fatores de Emissão'!$D$105:$I$108,6,FALSE))</f>
        <v/>
      </c>
      <c r="N171" s="1024" t="str">
        <f t="shared" si="3"/>
        <v/>
      </c>
      <c r="O171" s="1024" t="str">
        <f t="shared" si="1"/>
        <v/>
      </c>
      <c r="P171" s="962" t="str">
        <f t="shared" si="2"/>
        <v/>
      </c>
      <c r="Q171" s="961" t="str">
        <f>IF(B171="","",IF(D171="","",N171*'Fatores de Emissão'!$E$252+'Combustão Móvel'!O171*'Fatores de Emissão'!$E$248+'Combustão Móvel'!P171*'Fatores de Emissão'!$E$249))</f>
        <v/>
      </c>
    </row>
    <row r="172" spans="1:17" s="314" customFormat="1" outlineLevel="1" x14ac:dyDescent="0.35">
      <c r="B172" s="454"/>
      <c r="C172" s="194"/>
      <c r="D172" s="194"/>
      <c r="E172" s="342"/>
      <c r="F172" s="546"/>
      <c r="G172" s="342"/>
      <c r="H172" s="456"/>
      <c r="I172" s="456"/>
      <c r="J172" s="544" t="str">
        <f>IF(D172="","",VLOOKUP(D172,'Fatores de Emissão'!$D$105:$F$108,3,FALSE))</f>
        <v/>
      </c>
      <c r="K172" s="1024" t="str">
        <f>IF(OR(D172="",D172="-"),"",VLOOKUP(D172,'Fatores de Emissão'!$D$105:$E$108,2,FALSE))</f>
        <v/>
      </c>
      <c r="L172" s="1024" t="str">
        <f>IF(OR(D172="",D172="-"),"",VLOOKUP(D172,'Fatores de Emissão'!$D$105:$G$108,4,FALSE))</f>
        <v/>
      </c>
      <c r="M172" s="1024" t="str">
        <f>IF(OR(D172="",D172="-"),"",VLOOKUP(D172,'Fatores de Emissão'!$D$105:$I$108,6,FALSE))</f>
        <v/>
      </c>
      <c r="N172" s="1024" t="str">
        <f t="shared" si="3"/>
        <v/>
      </c>
      <c r="O172" s="1024" t="str">
        <f t="shared" si="1"/>
        <v/>
      </c>
      <c r="P172" s="962" t="str">
        <f t="shared" si="2"/>
        <v/>
      </c>
      <c r="Q172" s="961" t="str">
        <f>IF(B172="","",IF(D172="","",N172*'Fatores de Emissão'!$E$252+'Combustão Móvel'!O172*'Fatores de Emissão'!$E$248+'Combustão Móvel'!P172*'Fatores de Emissão'!$E$249))</f>
        <v/>
      </c>
    </row>
    <row r="173" spans="1:17" s="314" customFormat="1" outlineLevel="1" x14ac:dyDescent="0.35">
      <c r="B173" s="454"/>
      <c r="C173" s="194"/>
      <c r="D173" s="194"/>
      <c r="E173" s="342"/>
      <c r="F173" s="546"/>
      <c r="G173" s="342"/>
      <c r="H173" s="456"/>
      <c r="I173" s="456"/>
      <c r="J173" s="544" t="str">
        <f>IF(D173="","",VLOOKUP(D173,'Fatores de Emissão'!$D$105:$F$108,3,FALSE))</f>
        <v/>
      </c>
      <c r="K173" s="1024" t="str">
        <f>IF(OR(D173="",D173="-"),"",VLOOKUP(D173,'Fatores de Emissão'!$D$105:$E$108,2,FALSE))</f>
        <v/>
      </c>
      <c r="L173" s="1024" t="str">
        <f>IF(OR(D173="",D173="-"),"",VLOOKUP(D173,'Fatores de Emissão'!$D$105:$G$108,4,FALSE))</f>
        <v/>
      </c>
      <c r="M173" s="1024" t="str">
        <f>IF(OR(D173="",D173="-"),"",VLOOKUP(D173,'Fatores de Emissão'!$D$105:$I$108,6,FALSE))</f>
        <v/>
      </c>
      <c r="N173" s="1024" t="str">
        <f t="shared" si="3"/>
        <v/>
      </c>
      <c r="O173" s="1024" t="str">
        <f t="shared" si="1"/>
        <v/>
      </c>
      <c r="P173" s="962" t="str">
        <f t="shared" si="2"/>
        <v/>
      </c>
      <c r="Q173" s="961" t="str">
        <f>IF(B173="","",IF(D173="","",N173*'Fatores de Emissão'!$E$252+'Combustão Móvel'!O173*'Fatores de Emissão'!$E$248+'Combustão Móvel'!P173*'Fatores de Emissão'!$E$249))</f>
        <v/>
      </c>
    </row>
    <row r="174" spans="1:17" s="314" customFormat="1" outlineLevel="1" x14ac:dyDescent="0.35">
      <c r="B174" s="454"/>
      <c r="C174" s="194"/>
      <c r="D174" s="194"/>
      <c r="E174" s="342"/>
      <c r="F174" s="546"/>
      <c r="G174" s="342"/>
      <c r="H174" s="456"/>
      <c r="I174" s="456"/>
      <c r="J174" s="544" t="str">
        <f>IF(D174="","",VLOOKUP(D174,'Fatores de Emissão'!$D$105:$F$108,3,FALSE))</f>
        <v/>
      </c>
      <c r="K174" s="1024" t="str">
        <f>IF(OR(D174="",D174="-"),"",VLOOKUP(D174,'Fatores de Emissão'!$D$105:$E$108,2,FALSE))</f>
        <v/>
      </c>
      <c r="L174" s="1024" t="str">
        <f>IF(OR(D174="",D174="-"),"",VLOOKUP(D174,'Fatores de Emissão'!$D$105:$G$108,4,FALSE))</f>
        <v/>
      </c>
      <c r="M174" s="1024" t="str">
        <f>IF(OR(D174="",D174="-"),"",VLOOKUP(D174,'Fatores de Emissão'!$D$105:$I$108,6,FALSE))</f>
        <v/>
      </c>
      <c r="N174" s="1024" t="str">
        <f t="shared" si="3"/>
        <v/>
      </c>
      <c r="O174" s="1024" t="str">
        <f t="shared" si="1"/>
        <v/>
      </c>
      <c r="P174" s="962" t="str">
        <f t="shared" si="2"/>
        <v/>
      </c>
      <c r="Q174" s="961" t="str">
        <f>IF(B174="","",IF(D174="","",N174*'Fatores de Emissão'!$E$252+'Combustão Móvel'!O174*'Fatores de Emissão'!$E$248+'Combustão Móvel'!P174*'Fatores de Emissão'!$E$249))</f>
        <v/>
      </c>
    </row>
    <row r="175" spans="1:17" s="314" customFormat="1" outlineLevel="1" x14ac:dyDescent="0.35">
      <c r="B175" s="454"/>
      <c r="C175" s="194"/>
      <c r="D175" s="194"/>
      <c r="E175" s="342"/>
      <c r="F175" s="546"/>
      <c r="G175" s="342"/>
      <c r="H175" s="456"/>
      <c r="I175" s="456"/>
      <c r="J175" s="544" t="str">
        <f>IF(D175="","",VLOOKUP(D175,'Fatores de Emissão'!$D$105:$F$108,3,FALSE))</f>
        <v/>
      </c>
      <c r="K175" s="1024" t="str">
        <f>IF(OR(D175="",D175="-"),"",VLOOKUP(D175,'Fatores de Emissão'!$D$105:$E$108,2,FALSE))</f>
        <v/>
      </c>
      <c r="L175" s="1024" t="str">
        <f>IF(OR(D175="",D175="-"),"",VLOOKUP(D175,'Fatores de Emissão'!$D$105:$G$108,4,FALSE))</f>
        <v/>
      </c>
      <c r="M175" s="1024" t="str">
        <f>IF(OR(D175="",D175="-"),"",VLOOKUP(D175,'Fatores de Emissão'!$D$105:$I$108,6,FALSE))</f>
        <v/>
      </c>
      <c r="N175" s="1024" t="str">
        <f t="shared" si="3"/>
        <v/>
      </c>
      <c r="O175" s="1024" t="str">
        <f t="shared" si="1"/>
        <v/>
      </c>
      <c r="P175" s="962" t="str">
        <f t="shared" si="2"/>
        <v/>
      </c>
      <c r="Q175" s="961" t="str">
        <f>IF(B175="","",IF(D175="","",N175*'Fatores de Emissão'!$E$252+'Combustão Móvel'!O175*'Fatores de Emissão'!$E$248+'Combustão Móvel'!P175*'Fatores de Emissão'!$E$249))</f>
        <v/>
      </c>
    </row>
    <row r="176" spans="1:17" s="314" customFormat="1" outlineLevel="1" x14ac:dyDescent="0.35">
      <c r="B176" s="454"/>
      <c r="C176" s="194"/>
      <c r="D176" s="194"/>
      <c r="E176" s="342"/>
      <c r="F176" s="546"/>
      <c r="G176" s="342"/>
      <c r="H176" s="456"/>
      <c r="I176" s="456"/>
      <c r="J176" s="544" t="str">
        <f>IF(D176="","",VLOOKUP(D176,'Fatores de Emissão'!$D$105:$F$108,3,FALSE))</f>
        <v/>
      </c>
      <c r="K176" s="1024" t="str">
        <f>IF(OR(D176="",D176="-"),"",VLOOKUP(D176,'Fatores de Emissão'!$D$105:$E$108,2,FALSE))</f>
        <v/>
      </c>
      <c r="L176" s="1024" t="str">
        <f>IF(OR(D176="",D176="-"),"",VLOOKUP(D176,'Fatores de Emissão'!$D$105:$G$108,4,FALSE))</f>
        <v/>
      </c>
      <c r="M176" s="1024" t="str">
        <f>IF(OR(D176="",D176="-"),"",VLOOKUP(D176,'Fatores de Emissão'!$D$105:$I$108,6,FALSE))</f>
        <v/>
      </c>
      <c r="N176" s="1024" t="str">
        <f t="shared" si="3"/>
        <v/>
      </c>
      <c r="O176" s="1024" t="str">
        <f t="shared" si="1"/>
        <v/>
      </c>
      <c r="P176" s="962" t="str">
        <f t="shared" si="2"/>
        <v/>
      </c>
      <c r="Q176" s="961" t="str">
        <f>IF(B176="","",IF(D176="","",N176*'Fatores de Emissão'!$E$252+'Combustão Móvel'!O176*'Fatores de Emissão'!$E$248+'Combustão Móvel'!P176*'Fatores de Emissão'!$E$249))</f>
        <v/>
      </c>
    </row>
    <row r="177" spans="2:17" s="314" customFormat="1" outlineLevel="1" x14ac:dyDescent="0.35">
      <c r="B177" s="454"/>
      <c r="C177" s="194"/>
      <c r="D177" s="194"/>
      <c r="E177" s="342"/>
      <c r="F177" s="546"/>
      <c r="G177" s="342"/>
      <c r="H177" s="456"/>
      <c r="I177" s="456"/>
      <c r="J177" s="544" t="str">
        <f>IF(D177="","",VLOOKUP(D177,'Fatores de Emissão'!$D$105:$F$108,3,FALSE))</f>
        <v/>
      </c>
      <c r="K177" s="1024" t="str">
        <f>IF(OR(D177="",D177="-"),"",VLOOKUP(D177,'Fatores de Emissão'!$D$105:$E$108,2,FALSE))</f>
        <v/>
      </c>
      <c r="L177" s="1024" t="str">
        <f>IF(OR(D177="",D177="-"),"",VLOOKUP(D177,'Fatores de Emissão'!$D$105:$G$108,4,FALSE))</f>
        <v/>
      </c>
      <c r="M177" s="1024" t="str">
        <f>IF(OR(D177="",D177="-"),"",VLOOKUP(D177,'Fatores de Emissão'!$D$105:$I$108,6,FALSE))</f>
        <v/>
      </c>
      <c r="N177" s="1024" t="str">
        <f t="shared" si="3"/>
        <v/>
      </c>
      <c r="O177" s="1024" t="str">
        <f t="shared" si="1"/>
        <v/>
      </c>
      <c r="P177" s="962" t="str">
        <f t="shared" si="2"/>
        <v/>
      </c>
      <c r="Q177" s="961" t="str">
        <f>IF(B177="","",IF(D177="","",N177*'Fatores de Emissão'!$E$252+'Combustão Móvel'!O177*'Fatores de Emissão'!$E$248+'Combustão Móvel'!P177*'Fatores de Emissão'!$E$249))</f>
        <v/>
      </c>
    </row>
    <row r="178" spans="2:17" s="314" customFormat="1" outlineLevel="1" x14ac:dyDescent="0.35">
      <c r="B178" s="454"/>
      <c r="C178" s="194"/>
      <c r="D178" s="194"/>
      <c r="E178" s="342"/>
      <c r="F178" s="546"/>
      <c r="G178" s="342"/>
      <c r="H178" s="456"/>
      <c r="I178" s="456"/>
      <c r="J178" s="544" t="str">
        <f>IF(D178="","",VLOOKUP(D178,'Fatores de Emissão'!$D$105:$F$108,3,FALSE))</f>
        <v/>
      </c>
      <c r="K178" s="1024" t="str">
        <f>IF(OR(D178="",D178="-"),"",VLOOKUP(D178,'Fatores de Emissão'!$D$105:$E$108,2,FALSE))</f>
        <v/>
      </c>
      <c r="L178" s="1024" t="str">
        <f>IF(OR(D178="",D178="-"),"",VLOOKUP(D178,'Fatores de Emissão'!$D$105:$G$108,4,FALSE))</f>
        <v/>
      </c>
      <c r="M178" s="1024" t="str">
        <f>IF(OR(D178="",D178="-"),"",VLOOKUP(D178,'Fatores de Emissão'!$D$105:$I$108,6,FALSE))</f>
        <v/>
      </c>
      <c r="N178" s="1024" t="str">
        <f t="shared" si="3"/>
        <v/>
      </c>
      <c r="O178" s="1024" t="str">
        <f t="shared" si="1"/>
        <v/>
      </c>
      <c r="P178" s="962" t="str">
        <f t="shared" si="2"/>
        <v/>
      </c>
      <c r="Q178" s="961" t="str">
        <f>IF(B178="","",IF(D178="","",N178*'Fatores de Emissão'!$E$252+'Combustão Móvel'!O178*'Fatores de Emissão'!$E$248+'Combustão Móvel'!P178*'Fatores de Emissão'!$E$249))</f>
        <v/>
      </c>
    </row>
    <row r="179" spans="2:17" s="314" customFormat="1" outlineLevel="1" x14ac:dyDescent="0.35">
      <c r="B179" s="454"/>
      <c r="C179" s="194"/>
      <c r="D179" s="194"/>
      <c r="E179" s="342"/>
      <c r="F179" s="546"/>
      <c r="G179" s="342"/>
      <c r="H179" s="456"/>
      <c r="I179" s="456"/>
      <c r="J179" s="544" t="str">
        <f>IF(D179="","",VLOOKUP(D179,'Fatores de Emissão'!$D$105:$F$108,3,FALSE))</f>
        <v/>
      </c>
      <c r="K179" s="1024" t="str">
        <f>IF(OR(D179="",D179="-"),"",VLOOKUP(D179,'Fatores de Emissão'!$D$105:$E$108,2,FALSE))</f>
        <v/>
      </c>
      <c r="L179" s="1024" t="str">
        <f>IF(OR(D179="",D179="-"),"",VLOOKUP(D179,'Fatores de Emissão'!$D$105:$G$108,4,FALSE))</f>
        <v/>
      </c>
      <c r="M179" s="1024" t="str">
        <f>IF(OR(D179="",D179="-"),"",VLOOKUP(D179,'Fatores de Emissão'!$D$105:$I$108,6,FALSE))</f>
        <v/>
      </c>
      <c r="N179" s="1024" t="str">
        <f t="shared" si="3"/>
        <v/>
      </c>
      <c r="O179" s="1024" t="str">
        <f t="shared" si="1"/>
        <v/>
      </c>
      <c r="P179" s="962" t="str">
        <f t="shared" si="2"/>
        <v/>
      </c>
      <c r="Q179" s="961" t="str">
        <f>IF(B179="","",IF(D179="","",N179*'Fatores de Emissão'!$E$252+'Combustão Móvel'!O179*'Fatores de Emissão'!$E$248+'Combustão Móvel'!P179*'Fatores de Emissão'!$E$249))</f>
        <v/>
      </c>
    </row>
    <row r="180" spans="2:17" s="314" customFormat="1" ht="19.899999999999999" hidden="1" customHeight="1" outlineLevel="2" x14ac:dyDescent="0.35">
      <c r="B180" s="454"/>
      <c r="C180" s="194"/>
      <c r="D180" s="194"/>
      <c r="E180" s="342"/>
      <c r="F180" s="546"/>
      <c r="G180" s="342"/>
      <c r="H180" s="456"/>
      <c r="I180" s="456"/>
      <c r="J180" s="544" t="str">
        <f>IF(D180="","",VLOOKUP(D180,'Fatores de Emissão'!$D$105:$F$108,3,FALSE))</f>
        <v/>
      </c>
      <c r="K180" s="1024" t="str">
        <f>IF(OR(D180="",D180="-"),"",VLOOKUP(D180,'Fatores de Emissão'!$D$105:$E$108,2,FALSE))</f>
        <v/>
      </c>
      <c r="L180" s="1024" t="str">
        <f>IF(OR(D180="",D180="-"),"",VLOOKUP(D180,'Fatores de Emissão'!$D$105:$G$108,4,FALSE))</f>
        <v/>
      </c>
      <c r="M180" s="1024" t="str">
        <f>IF(OR(D180="",D180="-"),"",VLOOKUP(D180,'Fatores de Emissão'!$D$105:$I$108,6,FALSE))</f>
        <v/>
      </c>
      <c r="N180" s="1024" t="str">
        <f t="shared" si="3"/>
        <v/>
      </c>
      <c r="O180" s="1024" t="str">
        <f t="shared" si="1"/>
        <v/>
      </c>
      <c r="P180" s="544" t="str">
        <f t="shared" si="2"/>
        <v/>
      </c>
      <c r="Q180" s="961" t="str">
        <f>IF(B180="","",IF(D180="","",N180*'Fatores de Emissão'!$E$252+'Combustão Móvel'!O180*'Fatores de Emissão'!$E$248+'Combustão Móvel'!P180*'Fatores de Emissão'!$E$249))</f>
        <v/>
      </c>
    </row>
    <row r="181" spans="2:17" s="314" customFormat="1" ht="19.899999999999999" hidden="1" customHeight="1" outlineLevel="2" x14ac:dyDescent="0.35">
      <c r="B181" s="454"/>
      <c r="C181" s="194"/>
      <c r="D181" s="194"/>
      <c r="E181" s="342"/>
      <c r="F181" s="546"/>
      <c r="G181" s="342"/>
      <c r="H181" s="456"/>
      <c r="I181" s="456"/>
      <c r="J181" s="544" t="str">
        <f>IF(D181="","",VLOOKUP(D181,'Fatores de Emissão'!$D$105:$F$108,3,FALSE))</f>
        <v/>
      </c>
      <c r="K181" s="1024" t="str">
        <f>IF(OR(D181="",D181="-"),"",VLOOKUP(D181,'Fatores de Emissão'!$D$105:$E$108,2,FALSE))</f>
        <v/>
      </c>
      <c r="L181" s="1024" t="str">
        <f>IF(OR(D181="",D181="-"),"",VLOOKUP(D181,'Fatores de Emissão'!$D$105:$G$108,4,FALSE))</f>
        <v/>
      </c>
      <c r="M181" s="1024" t="str">
        <f>IF(OR(D181="",D181="-"),"",VLOOKUP(D181,'Fatores de Emissão'!$D$105:$I$108,6,FALSE))</f>
        <v/>
      </c>
      <c r="N181" s="1024" t="str">
        <f t="shared" si="3"/>
        <v/>
      </c>
      <c r="O181" s="1024" t="str">
        <f t="shared" si="1"/>
        <v/>
      </c>
      <c r="P181" s="544" t="str">
        <f t="shared" si="2"/>
        <v/>
      </c>
      <c r="Q181" s="961" t="str">
        <f>IF(B181="","",IF(D181="","",N181*'Fatores de Emissão'!$E$252+'Combustão Móvel'!O181*'Fatores de Emissão'!$E$248+'Combustão Móvel'!P181*'Fatores de Emissão'!$E$249))</f>
        <v/>
      </c>
    </row>
    <row r="182" spans="2:17" s="314" customFormat="1" ht="19.899999999999999" hidden="1" customHeight="1" outlineLevel="2" x14ac:dyDescent="0.35">
      <c r="B182" s="454"/>
      <c r="C182" s="194"/>
      <c r="D182" s="194"/>
      <c r="E182" s="342"/>
      <c r="F182" s="546"/>
      <c r="G182" s="342"/>
      <c r="H182" s="456"/>
      <c r="I182" s="456"/>
      <c r="J182" s="544" t="str">
        <f>IF(D182="","",VLOOKUP(D182,'Fatores de Emissão'!$D$105:$F$108,3,FALSE))</f>
        <v/>
      </c>
      <c r="K182" s="1024" t="str">
        <f>IF(OR(D182="",D182="-"),"",VLOOKUP(D182,'Fatores de Emissão'!$D$105:$E$108,2,FALSE))</f>
        <v/>
      </c>
      <c r="L182" s="1024" t="str">
        <f>IF(OR(D182="",D182="-"),"",VLOOKUP(D182,'Fatores de Emissão'!$D$105:$G$108,4,FALSE))</f>
        <v/>
      </c>
      <c r="M182" s="1024" t="str">
        <f>IF(OR(D182="",D182="-"),"",VLOOKUP(D182,'Fatores de Emissão'!$D$105:$I$108,6,FALSE))</f>
        <v/>
      </c>
      <c r="N182" s="1024" t="str">
        <f t="shared" si="3"/>
        <v/>
      </c>
      <c r="O182" s="1024" t="str">
        <f t="shared" si="1"/>
        <v/>
      </c>
      <c r="P182" s="544" t="str">
        <f t="shared" si="2"/>
        <v/>
      </c>
      <c r="Q182" s="961" t="str">
        <f>IF(B182="","",IF(D182="","",N182*'Fatores de Emissão'!$E$252+'Combustão Móvel'!O182*'Fatores de Emissão'!$E$248+'Combustão Móvel'!P182*'Fatores de Emissão'!$E$249))</f>
        <v/>
      </c>
    </row>
    <row r="183" spans="2:17" s="314" customFormat="1" ht="19.899999999999999" hidden="1" customHeight="1" outlineLevel="2" x14ac:dyDescent="0.35">
      <c r="B183" s="454"/>
      <c r="C183" s="194"/>
      <c r="D183" s="194"/>
      <c r="E183" s="342"/>
      <c r="F183" s="546"/>
      <c r="G183" s="342"/>
      <c r="H183" s="456"/>
      <c r="I183" s="456"/>
      <c r="J183" s="544" t="str">
        <f>IF(D183="","",VLOOKUP(D183,'Fatores de Emissão'!$D$105:$F$108,3,FALSE))</f>
        <v/>
      </c>
      <c r="K183" s="1024" t="str">
        <f>IF(OR(D183="",D183="-"),"",VLOOKUP(D183,'Fatores de Emissão'!$D$105:$E$108,2,FALSE))</f>
        <v/>
      </c>
      <c r="L183" s="1024" t="str">
        <f>IF(OR(D183="",D183="-"),"",VLOOKUP(D183,'Fatores de Emissão'!$D$105:$G$108,4,FALSE))</f>
        <v/>
      </c>
      <c r="M183" s="1024" t="str">
        <f>IF(OR(D183="",D183="-"),"",VLOOKUP(D183,'Fatores de Emissão'!$D$105:$I$108,6,FALSE))</f>
        <v/>
      </c>
      <c r="N183" s="1024" t="str">
        <f t="shared" si="3"/>
        <v/>
      </c>
      <c r="O183" s="1024" t="str">
        <f t="shared" si="1"/>
        <v/>
      </c>
      <c r="P183" s="544" t="str">
        <f t="shared" si="2"/>
        <v/>
      </c>
      <c r="Q183" s="961" t="str">
        <f>IF(B183="","",IF(D183="","",N183*'Fatores de Emissão'!$E$252+'Combustão Móvel'!O183*'Fatores de Emissão'!$E$248+'Combustão Móvel'!P183*'Fatores de Emissão'!$E$249))</f>
        <v/>
      </c>
    </row>
    <row r="184" spans="2:17" s="314" customFormat="1" ht="19.899999999999999" hidden="1" customHeight="1" outlineLevel="2" x14ac:dyDescent="0.35">
      <c r="B184" s="454"/>
      <c r="C184" s="194"/>
      <c r="D184" s="194"/>
      <c r="E184" s="342"/>
      <c r="F184" s="546"/>
      <c r="G184" s="342"/>
      <c r="H184" s="456"/>
      <c r="I184" s="456"/>
      <c r="J184" s="544" t="str">
        <f>IF(D184="","",VLOOKUP(D184,'Fatores de Emissão'!$D$105:$F$108,3,FALSE))</f>
        <v/>
      </c>
      <c r="K184" s="1024" t="str">
        <f>IF(OR(D184="",D184="-"),"",VLOOKUP(D184,'Fatores de Emissão'!$D$105:$E$108,2,FALSE))</f>
        <v/>
      </c>
      <c r="L184" s="1024" t="str">
        <f>IF(OR(D184="",D184="-"),"",VLOOKUP(D184,'Fatores de Emissão'!$D$105:$G$108,4,FALSE))</f>
        <v/>
      </c>
      <c r="M184" s="1024" t="str">
        <f>IF(OR(D184="",D184="-"),"",VLOOKUP(D184,'Fatores de Emissão'!$D$105:$I$108,6,FALSE))</f>
        <v/>
      </c>
      <c r="N184" s="1024" t="str">
        <f t="shared" si="3"/>
        <v/>
      </c>
      <c r="O184" s="1024" t="str">
        <f t="shared" si="1"/>
        <v/>
      </c>
      <c r="P184" s="544" t="str">
        <f t="shared" si="2"/>
        <v/>
      </c>
      <c r="Q184" s="961" t="str">
        <f>IF(B184="","",IF(D184="","",N184*'Fatores de Emissão'!$E$252+'Combustão Móvel'!O184*'Fatores de Emissão'!$E$248+'Combustão Móvel'!P184*'Fatores de Emissão'!$E$249))</f>
        <v/>
      </c>
    </row>
    <row r="185" spans="2:17" s="314" customFormat="1" ht="19.899999999999999" hidden="1" customHeight="1" outlineLevel="2" x14ac:dyDescent="0.35">
      <c r="B185" s="454"/>
      <c r="C185" s="194"/>
      <c r="D185" s="194"/>
      <c r="E185" s="342"/>
      <c r="F185" s="546"/>
      <c r="G185" s="342"/>
      <c r="H185" s="456"/>
      <c r="I185" s="456"/>
      <c r="J185" s="544" t="str">
        <f>IF(D185="","",VLOOKUP(D185,'Fatores de Emissão'!$D$105:$F$108,3,FALSE))</f>
        <v/>
      </c>
      <c r="K185" s="1024" t="str">
        <f>IF(OR(D185="",D185="-"),"",VLOOKUP(D185,'Fatores de Emissão'!$D$105:$E$108,2,FALSE))</f>
        <v/>
      </c>
      <c r="L185" s="1024" t="str">
        <f>IF(OR(D185="",D185="-"),"",VLOOKUP(D185,'Fatores de Emissão'!$D$105:$G$108,4,FALSE))</f>
        <v/>
      </c>
      <c r="M185" s="1024" t="str">
        <f>IF(OR(D185="",D185="-"),"",VLOOKUP(D185,'Fatores de Emissão'!$D$105:$I$108,6,FALSE))</f>
        <v/>
      </c>
      <c r="N185" s="1024" t="str">
        <f t="shared" si="3"/>
        <v/>
      </c>
      <c r="O185" s="1024" t="str">
        <f t="shared" si="1"/>
        <v/>
      </c>
      <c r="P185" s="544" t="str">
        <f t="shared" si="2"/>
        <v/>
      </c>
      <c r="Q185" s="961" t="str">
        <f>IF(B185="","",IF(D185="","",N185*'Fatores de Emissão'!$E$252+'Combustão Móvel'!O185*'Fatores de Emissão'!$E$248+'Combustão Móvel'!P185*'Fatores de Emissão'!$E$249))</f>
        <v/>
      </c>
    </row>
    <row r="186" spans="2:17" s="314" customFormat="1" ht="19.899999999999999" hidden="1" customHeight="1" outlineLevel="2" x14ac:dyDescent="0.35">
      <c r="B186" s="454"/>
      <c r="C186" s="194"/>
      <c r="D186" s="194"/>
      <c r="E186" s="342"/>
      <c r="F186" s="546"/>
      <c r="G186" s="342"/>
      <c r="H186" s="456"/>
      <c r="I186" s="456"/>
      <c r="J186" s="544" t="str">
        <f>IF(D186="","",VLOOKUP(D186,'Fatores de Emissão'!$D$105:$F$108,3,FALSE))</f>
        <v/>
      </c>
      <c r="K186" s="1024" t="str">
        <f>IF(OR(D186="",D186="-"),"",VLOOKUP(D186,'Fatores de Emissão'!$D$105:$E$108,2,FALSE))</f>
        <v/>
      </c>
      <c r="L186" s="1024" t="str">
        <f>IF(OR(D186="",D186="-"),"",VLOOKUP(D186,'Fatores de Emissão'!$D$105:$G$108,4,FALSE))</f>
        <v/>
      </c>
      <c r="M186" s="1024" t="str">
        <f>IF(OR(D186="",D186="-"),"",VLOOKUP(D186,'Fatores de Emissão'!$D$105:$I$108,6,FALSE))</f>
        <v/>
      </c>
      <c r="N186" s="1024" t="str">
        <f t="shared" si="3"/>
        <v/>
      </c>
      <c r="O186" s="1024" t="str">
        <f t="shared" si="1"/>
        <v/>
      </c>
      <c r="P186" s="544" t="str">
        <f t="shared" si="2"/>
        <v/>
      </c>
      <c r="Q186" s="961" t="str">
        <f>IF(B186="","",IF(D186="","",N186*'Fatores de Emissão'!$E$252+'Combustão Móvel'!O186*'Fatores de Emissão'!$E$248+'Combustão Móvel'!P186*'Fatores de Emissão'!$E$249))</f>
        <v/>
      </c>
    </row>
    <row r="187" spans="2:17" s="314" customFormat="1" ht="19.899999999999999" hidden="1" customHeight="1" outlineLevel="2" x14ac:dyDescent="0.35">
      <c r="B187" s="454"/>
      <c r="C187" s="194"/>
      <c r="D187" s="194"/>
      <c r="E187" s="342"/>
      <c r="F187" s="546"/>
      <c r="G187" s="342"/>
      <c r="H187" s="456"/>
      <c r="I187" s="456"/>
      <c r="J187" s="544" t="str">
        <f>IF(D187="","",VLOOKUP(D187,'Fatores de Emissão'!$D$105:$F$108,3,FALSE))</f>
        <v/>
      </c>
      <c r="K187" s="1024" t="str">
        <f>IF(OR(D187="",D187="-"),"",VLOOKUP(D187,'Fatores de Emissão'!$D$105:$E$108,2,FALSE))</f>
        <v/>
      </c>
      <c r="L187" s="1024" t="str">
        <f>IF(OR(D187="",D187="-"),"",VLOOKUP(D187,'Fatores de Emissão'!$D$105:$G$108,4,FALSE))</f>
        <v/>
      </c>
      <c r="M187" s="1024" t="str">
        <f>IF(OR(D187="",D187="-"),"",VLOOKUP(D187,'Fatores de Emissão'!$D$105:$I$108,6,FALSE))</f>
        <v/>
      </c>
      <c r="N187" s="1024" t="str">
        <f t="shared" si="3"/>
        <v/>
      </c>
      <c r="O187" s="1024" t="str">
        <f t="shared" si="1"/>
        <v/>
      </c>
      <c r="P187" s="544" t="str">
        <f t="shared" si="2"/>
        <v/>
      </c>
      <c r="Q187" s="961" t="str">
        <f>IF(B187="","",IF(D187="","",N187*'Fatores de Emissão'!$E$252+'Combustão Móvel'!O187*'Fatores de Emissão'!$E$248+'Combustão Móvel'!P187*'Fatores de Emissão'!$E$249))</f>
        <v/>
      </c>
    </row>
    <row r="188" spans="2:17" s="314" customFormat="1" ht="19.899999999999999" hidden="1" customHeight="1" outlineLevel="2" x14ac:dyDescent="0.35">
      <c r="B188" s="454"/>
      <c r="C188" s="194"/>
      <c r="D188" s="194"/>
      <c r="E188" s="342"/>
      <c r="F188" s="546"/>
      <c r="G188" s="342"/>
      <c r="H188" s="456"/>
      <c r="I188" s="456"/>
      <c r="J188" s="544" t="str">
        <f>IF(D188="","",VLOOKUP(D188,'Fatores de Emissão'!$D$105:$F$108,3,FALSE))</f>
        <v/>
      </c>
      <c r="K188" s="1024" t="str">
        <f>IF(OR(D188="",D188="-"),"",VLOOKUP(D188,'Fatores de Emissão'!$D$105:$E$108,2,FALSE))</f>
        <v/>
      </c>
      <c r="L188" s="1024" t="str">
        <f>IF(OR(D188="",D188="-"),"",VLOOKUP(D188,'Fatores de Emissão'!$D$105:$G$108,4,FALSE))</f>
        <v/>
      </c>
      <c r="M188" s="1024" t="str">
        <f>IF(OR(D188="",D188="-"),"",VLOOKUP(D188,'Fatores de Emissão'!$D$105:$I$108,6,FALSE))</f>
        <v/>
      </c>
      <c r="N188" s="1024" t="str">
        <f t="shared" si="3"/>
        <v/>
      </c>
      <c r="O188" s="1024" t="str">
        <f t="shared" si="1"/>
        <v/>
      </c>
      <c r="P188" s="544" t="str">
        <f t="shared" si="2"/>
        <v/>
      </c>
      <c r="Q188" s="961" t="str">
        <f>IF(B188="","",IF(D188="","",N188*'Fatores de Emissão'!$E$252+'Combustão Móvel'!O188*'Fatores de Emissão'!$E$248+'Combustão Móvel'!P188*'Fatores de Emissão'!$E$249))</f>
        <v/>
      </c>
    </row>
    <row r="189" spans="2:17" s="314" customFormat="1" ht="19.899999999999999" hidden="1" customHeight="1" outlineLevel="2" x14ac:dyDescent="0.35">
      <c r="B189" s="454"/>
      <c r="C189" s="194"/>
      <c r="D189" s="194"/>
      <c r="E189" s="342"/>
      <c r="F189" s="546"/>
      <c r="G189" s="342"/>
      <c r="H189" s="456"/>
      <c r="I189" s="456"/>
      <c r="J189" s="544" t="str">
        <f>IF(D189="","",VLOOKUP(D189,'Fatores de Emissão'!$D$105:$F$108,3,FALSE))</f>
        <v/>
      </c>
      <c r="K189" s="1024" t="str">
        <f>IF(OR(D189="",D189="-"),"",VLOOKUP(D189,'Fatores de Emissão'!$D$105:$E$108,2,FALSE))</f>
        <v/>
      </c>
      <c r="L189" s="1024" t="str">
        <f>IF(OR(D189="",D189="-"),"",VLOOKUP(D189,'Fatores de Emissão'!$D$105:$G$108,4,FALSE))</f>
        <v/>
      </c>
      <c r="M189" s="1024" t="str">
        <f>IF(OR(D189="",D189="-"),"",VLOOKUP(D189,'Fatores de Emissão'!$D$105:$I$108,6,FALSE))</f>
        <v/>
      </c>
      <c r="N189" s="1024" t="str">
        <f t="shared" si="3"/>
        <v/>
      </c>
      <c r="O189" s="1024" t="str">
        <f t="shared" si="1"/>
        <v/>
      </c>
      <c r="P189" s="544" t="str">
        <f t="shared" si="2"/>
        <v/>
      </c>
      <c r="Q189" s="961" t="str">
        <f>IF(B189="","",IF(D189="","",N189*'Fatores de Emissão'!$E$252+'Combustão Móvel'!O189*'Fatores de Emissão'!$E$248+'Combustão Móvel'!P189*'Fatores de Emissão'!$E$249))</f>
        <v/>
      </c>
    </row>
    <row r="190" spans="2:17" s="314" customFormat="1" ht="19.899999999999999" hidden="1" customHeight="1" outlineLevel="2" x14ac:dyDescent="0.35">
      <c r="B190" s="454"/>
      <c r="C190" s="194"/>
      <c r="D190" s="194"/>
      <c r="E190" s="342"/>
      <c r="F190" s="546"/>
      <c r="G190" s="342"/>
      <c r="H190" s="456"/>
      <c r="I190" s="456"/>
      <c r="J190" s="544" t="str">
        <f>IF(D190="","",VLOOKUP(D190,'Fatores de Emissão'!$D$105:$F$108,3,FALSE))</f>
        <v/>
      </c>
      <c r="K190" s="1024" t="str">
        <f>IF(OR(D190="",D190="-"),"",VLOOKUP(D190,'Fatores de Emissão'!$D$105:$E$108,2,FALSE))</f>
        <v/>
      </c>
      <c r="L190" s="1024" t="str">
        <f>IF(OR(D190="",D190="-"),"",VLOOKUP(D190,'Fatores de Emissão'!$D$105:$G$108,4,FALSE))</f>
        <v/>
      </c>
      <c r="M190" s="1024" t="str">
        <f>IF(OR(D190="",D190="-"),"",VLOOKUP(D190,'Fatores de Emissão'!$D$105:$I$108,6,FALSE))</f>
        <v/>
      </c>
      <c r="N190" s="1024" t="str">
        <f t="shared" si="3"/>
        <v/>
      </c>
      <c r="O190" s="1024" t="str">
        <f t="shared" si="1"/>
        <v/>
      </c>
      <c r="P190" s="544" t="str">
        <f t="shared" si="2"/>
        <v/>
      </c>
      <c r="Q190" s="961" t="str">
        <f>IF(B190="","",IF(D190="","",N190*'Fatores de Emissão'!$E$252+'Combustão Móvel'!O190*'Fatores de Emissão'!$E$248+'Combustão Móvel'!P190*'Fatores de Emissão'!$E$249))</f>
        <v/>
      </c>
    </row>
    <row r="191" spans="2:17" s="314" customFormat="1" ht="19.899999999999999" hidden="1" customHeight="1" outlineLevel="2" x14ac:dyDescent="0.35">
      <c r="B191" s="454"/>
      <c r="C191" s="194"/>
      <c r="D191" s="194"/>
      <c r="E191" s="342"/>
      <c r="F191" s="546"/>
      <c r="G191" s="342"/>
      <c r="H191" s="456"/>
      <c r="I191" s="456"/>
      <c r="J191" s="544" t="str">
        <f>IF(D191="","",VLOOKUP(D191,'Fatores de Emissão'!$D$105:$F$108,3,FALSE))</f>
        <v/>
      </c>
      <c r="K191" s="1024" t="str">
        <f>IF(OR(D191="",D191="-"),"",VLOOKUP(D191,'Fatores de Emissão'!$D$105:$E$108,2,FALSE))</f>
        <v/>
      </c>
      <c r="L191" s="1024" t="str">
        <f>IF(OR(D191="",D191="-"),"",VLOOKUP(D191,'Fatores de Emissão'!$D$105:$G$108,4,FALSE))</f>
        <v/>
      </c>
      <c r="M191" s="1024" t="str">
        <f>IF(OR(D191="",D191="-"),"",VLOOKUP(D191,'Fatores de Emissão'!$D$105:$I$108,6,FALSE))</f>
        <v/>
      </c>
      <c r="N191" s="1024" t="str">
        <f t="shared" si="3"/>
        <v/>
      </c>
      <c r="O191" s="1024" t="str">
        <f t="shared" si="1"/>
        <v/>
      </c>
      <c r="P191" s="544" t="str">
        <f t="shared" si="2"/>
        <v/>
      </c>
      <c r="Q191" s="961" t="str">
        <f>IF(B191="","",IF(D191="","",N191*'Fatores de Emissão'!$E$252+'Combustão Móvel'!O191*'Fatores de Emissão'!$E$248+'Combustão Móvel'!P191*'Fatores de Emissão'!$E$249))</f>
        <v/>
      </c>
    </row>
    <row r="192" spans="2:17" s="314" customFormat="1" ht="19.899999999999999" hidden="1" customHeight="1" outlineLevel="2" x14ac:dyDescent="0.35">
      <c r="B192" s="454"/>
      <c r="C192" s="194"/>
      <c r="D192" s="194"/>
      <c r="E192" s="342"/>
      <c r="F192" s="546"/>
      <c r="G192" s="342"/>
      <c r="H192" s="456"/>
      <c r="I192" s="456"/>
      <c r="J192" s="544" t="str">
        <f>IF(D192="","",VLOOKUP(D192,'Fatores de Emissão'!$D$105:$F$108,3,FALSE))</f>
        <v/>
      </c>
      <c r="K192" s="1024" t="str">
        <f>IF(OR(D192="",D192="-"),"",VLOOKUP(D192,'Fatores de Emissão'!$D$105:$E$108,2,FALSE))</f>
        <v/>
      </c>
      <c r="L192" s="1024" t="str">
        <f>IF(OR(D192="",D192="-"),"",VLOOKUP(D192,'Fatores de Emissão'!$D$105:$G$108,4,FALSE))</f>
        <v/>
      </c>
      <c r="M192" s="1024" t="str">
        <f>IF(OR(D192="",D192="-"),"",VLOOKUP(D192,'Fatores de Emissão'!$D$105:$I$108,6,FALSE))</f>
        <v/>
      </c>
      <c r="N192" s="1024" t="str">
        <f t="shared" si="3"/>
        <v/>
      </c>
      <c r="O192" s="1024" t="str">
        <f t="shared" si="1"/>
        <v/>
      </c>
      <c r="P192" s="544" t="str">
        <f t="shared" si="2"/>
        <v/>
      </c>
      <c r="Q192" s="961" t="str">
        <f>IF(B192="","",IF(D192="","",N192*'Fatores de Emissão'!$E$252+'Combustão Móvel'!O192*'Fatores de Emissão'!$E$248+'Combustão Móvel'!P192*'Fatores de Emissão'!$E$249))</f>
        <v/>
      </c>
    </row>
    <row r="193" spans="2:17" s="314" customFormat="1" ht="19.899999999999999" hidden="1" customHeight="1" outlineLevel="2" x14ac:dyDescent="0.35">
      <c r="B193" s="454"/>
      <c r="C193" s="194"/>
      <c r="D193" s="194"/>
      <c r="E193" s="342"/>
      <c r="F193" s="546"/>
      <c r="G193" s="342"/>
      <c r="H193" s="456"/>
      <c r="I193" s="456"/>
      <c r="J193" s="544" t="str">
        <f>IF(D193="","",VLOOKUP(D193,'Fatores de Emissão'!$D$105:$F$108,3,FALSE))</f>
        <v/>
      </c>
      <c r="K193" s="1024" t="str">
        <f>IF(OR(D193="",D193="-"),"",VLOOKUP(D193,'Fatores de Emissão'!$D$105:$E$108,2,FALSE))</f>
        <v/>
      </c>
      <c r="L193" s="1024" t="str">
        <f>IF(OR(D193="",D193="-"),"",VLOOKUP(D193,'Fatores de Emissão'!$D$105:$G$108,4,FALSE))</f>
        <v/>
      </c>
      <c r="M193" s="1024" t="str">
        <f>IF(OR(D193="",D193="-"),"",VLOOKUP(D193,'Fatores de Emissão'!$D$105:$I$108,6,FALSE))</f>
        <v/>
      </c>
      <c r="N193" s="1024" t="str">
        <f t="shared" si="3"/>
        <v/>
      </c>
      <c r="O193" s="1024" t="str">
        <f t="shared" si="1"/>
        <v/>
      </c>
      <c r="P193" s="544" t="str">
        <f t="shared" si="2"/>
        <v/>
      </c>
      <c r="Q193" s="961" t="str">
        <f>IF(B193="","",IF(D193="","",N193*'Fatores de Emissão'!$E$252+'Combustão Móvel'!O193*'Fatores de Emissão'!$E$248+'Combustão Móvel'!P193*'Fatores de Emissão'!$E$249))</f>
        <v/>
      </c>
    </row>
    <row r="194" spans="2:17" s="314" customFormat="1" ht="19.899999999999999" hidden="1" customHeight="1" outlineLevel="2" x14ac:dyDescent="0.35">
      <c r="B194" s="454"/>
      <c r="C194" s="194"/>
      <c r="D194" s="194"/>
      <c r="E194" s="342"/>
      <c r="F194" s="546"/>
      <c r="G194" s="342"/>
      <c r="H194" s="456"/>
      <c r="I194" s="456"/>
      <c r="J194" s="544" t="str">
        <f>IF(D194="","",VLOOKUP(D194,'Fatores de Emissão'!$D$105:$F$108,3,FALSE))</f>
        <v/>
      </c>
      <c r="K194" s="1024" t="str">
        <f>IF(OR(D194="",D194="-"),"",VLOOKUP(D194,'Fatores de Emissão'!$D$105:$E$108,2,FALSE))</f>
        <v/>
      </c>
      <c r="L194" s="1024" t="str">
        <f>IF(OR(D194="",D194="-"),"",VLOOKUP(D194,'Fatores de Emissão'!$D$105:$G$108,4,FALSE))</f>
        <v/>
      </c>
      <c r="M194" s="1024" t="str">
        <f>IF(OR(D194="",D194="-"),"",VLOOKUP(D194,'Fatores de Emissão'!$D$105:$I$108,6,FALSE))</f>
        <v/>
      </c>
      <c r="N194" s="1024" t="str">
        <f t="shared" si="3"/>
        <v/>
      </c>
      <c r="O194" s="1024" t="str">
        <f t="shared" si="1"/>
        <v/>
      </c>
      <c r="P194" s="544" t="str">
        <f t="shared" si="2"/>
        <v/>
      </c>
      <c r="Q194" s="961" t="str">
        <f>IF(B194="","",IF(D194="","",N194*'Fatores de Emissão'!$E$252+'Combustão Móvel'!O194*'Fatores de Emissão'!$E$248+'Combustão Móvel'!P194*'Fatores de Emissão'!$E$249))</f>
        <v/>
      </c>
    </row>
    <row r="195" spans="2:17" s="314" customFormat="1" ht="19.899999999999999" hidden="1" customHeight="1" outlineLevel="2" x14ac:dyDescent="0.35">
      <c r="B195" s="454"/>
      <c r="C195" s="194"/>
      <c r="D195" s="194"/>
      <c r="E195" s="342"/>
      <c r="F195" s="546"/>
      <c r="G195" s="342"/>
      <c r="H195" s="456"/>
      <c r="I195" s="456"/>
      <c r="J195" s="544" t="str">
        <f>IF(D195="","",VLOOKUP(D195,'Fatores de Emissão'!$D$105:$F$108,3,FALSE))</f>
        <v/>
      </c>
      <c r="K195" s="1024" t="str">
        <f>IF(OR(D195="",D195="-"),"",VLOOKUP(D195,'Fatores de Emissão'!$D$105:$E$108,2,FALSE))</f>
        <v/>
      </c>
      <c r="L195" s="1024" t="str">
        <f>IF(OR(D195="",D195="-"),"",VLOOKUP(D195,'Fatores de Emissão'!$D$105:$G$108,4,FALSE))</f>
        <v/>
      </c>
      <c r="M195" s="1024" t="str">
        <f>IF(OR(D195="",D195="-"),"",VLOOKUP(D195,'Fatores de Emissão'!$D$105:$I$108,6,FALSE))</f>
        <v/>
      </c>
      <c r="N195" s="1024" t="str">
        <f t="shared" si="3"/>
        <v/>
      </c>
      <c r="O195" s="1024" t="str">
        <f t="shared" si="1"/>
        <v/>
      </c>
      <c r="P195" s="544" t="str">
        <f t="shared" si="2"/>
        <v/>
      </c>
      <c r="Q195" s="961" t="str">
        <f>IF(B195="","",IF(D195="","",N195*'Fatores de Emissão'!$E$252+'Combustão Móvel'!O195*'Fatores de Emissão'!$E$248+'Combustão Móvel'!P195*'Fatores de Emissão'!$E$249))</f>
        <v/>
      </c>
    </row>
    <row r="196" spans="2:17" s="314" customFormat="1" ht="19.899999999999999" hidden="1" customHeight="1" outlineLevel="2" x14ac:dyDescent="0.35">
      <c r="B196" s="454"/>
      <c r="C196" s="194"/>
      <c r="D196" s="194"/>
      <c r="E196" s="342"/>
      <c r="F196" s="546"/>
      <c r="G196" s="342"/>
      <c r="H196" s="456"/>
      <c r="I196" s="456"/>
      <c r="J196" s="544" t="str">
        <f>IF(D196="","",VLOOKUP(D196,'Fatores de Emissão'!$D$105:$F$108,3,FALSE))</f>
        <v/>
      </c>
      <c r="K196" s="1024" t="str">
        <f>IF(OR(D196="",D196="-"),"",VLOOKUP(D196,'Fatores de Emissão'!$D$105:$E$108,2,FALSE))</f>
        <v/>
      </c>
      <c r="L196" s="1024" t="str">
        <f>IF(OR(D196="",D196="-"),"",VLOOKUP(D196,'Fatores de Emissão'!$D$105:$G$108,4,FALSE))</f>
        <v/>
      </c>
      <c r="M196" s="1024" t="str">
        <f>IF(OR(D196="",D196="-"),"",VLOOKUP(D196,'Fatores de Emissão'!$D$105:$I$108,6,FALSE))</f>
        <v/>
      </c>
      <c r="N196" s="1024" t="str">
        <f t="shared" si="3"/>
        <v/>
      </c>
      <c r="O196" s="1024" t="str">
        <f t="shared" si="1"/>
        <v/>
      </c>
      <c r="P196" s="544" t="str">
        <f t="shared" si="2"/>
        <v/>
      </c>
      <c r="Q196" s="961" t="str">
        <f>IF(B196="","",IF(D196="","",N196*'Fatores de Emissão'!$E$252+'Combustão Móvel'!O196*'Fatores de Emissão'!$E$248+'Combustão Móvel'!P196*'Fatores de Emissão'!$E$249))</f>
        <v/>
      </c>
    </row>
    <row r="197" spans="2:17" s="314" customFormat="1" ht="19.899999999999999" hidden="1" customHeight="1" outlineLevel="2" x14ac:dyDescent="0.35">
      <c r="B197" s="454"/>
      <c r="C197" s="194"/>
      <c r="D197" s="194"/>
      <c r="E197" s="342"/>
      <c r="F197" s="546"/>
      <c r="G197" s="342"/>
      <c r="H197" s="456"/>
      <c r="I197" s="456"/>
      <c r="J197" s="544" t="str">
        <f>IF(D197="","",VLOOKUP(D197,'Fatores de Emissão'!$D$105:$F$108,3,FALSE))</f>
        <v/>
      </c>
      <c r="K197" s="1024" t="str">
        <f>IF(OR(D197="",D197="-"),"",VLOOKUP(D197,'Fatores de Emissão'!$D$105:$E$108,2,FALSE))</f>
        <v/>
      </c>
      <c r="L197" s="1024" t="str">
        <f>IF(OR(D197="",D197="-"),"",VLOOKUP(D197,'Fatores de Emissão'!$D$105:$G$108,4,FALSE))</f>
        <v/>
      </c>
      <c r="M197" s="1024" t="str">
        <f>IF(OR(D197="",D197="-"),"",VLOOKUP(D197,'Fatores de Emissão'!$D$105:$I$108,6,FALSE))</f>
        <v/>
      </c>
      <c r="N197" s="1024" t="str">
        <f t="shared" si="3"/>
        <v/>
      </c>
      <c r="O197" s="1024" t="str">
        <f t="shared" si="1"/>
        <v/>
      </c>
      <c r="P197" s="544" t="str">
        <f t="shared" si="2"/>
        <v/>
      </c>
      <c r="Q197" s="961" t="str">
        <f>IF(B197="","",IF(D197="","",N197*'Fatores de Emissão'!$E$252+'Combustão Móvel'!O197*'Fatores de Emissão'!$E$248+'Combustão Móvel'!P197*'Fatores de Emissão'!$E$249))</f>
        <v/>
      </c>
    </row>
    <row r="198" spans="2:17" s="314" customFormat="1" ht="19.899999999999999" hidden="1" customHeight="1" outlineLevel="2" x14ac:dyDescent="0.35">
      <c r="B198" s="454"/>
      <c r="C198" s="194"/>
      <c r="D198" s="194"/>
      <c r="E198" s="342"/>
      <c r="F198" s="546"/>
      <c r="G198" s="342"/>
      <c r="H198" s="456"/>
      <c r="I198" s="456"/>
      <c r="J198" s="544" t="str">
        <f>IF(D198="","",VLOOKUP(D198,'Fatores de Emissão'!$D$105:$F$108,3,FALSE))</f>
        <v/>
      </c>
      <c r="K198" s="1024" t="str">
        <f>IF(OR(D198="",D198="-"),"",VLOOKUP(D198,'Fatores de Emissão'!$D$105:$E$108,2,FALSE))</f>
        <v/>
      </c>
      <c r="L198" s="1024" t="str">
        <f>IF(OR(D198="",D198="-"),"",VLOOKUP(D198,'Fatores de Emissão'!$D$105:$G$108,4,FALSE))</f>
        <v/>
      </c>
      <c r="M198" s="1024" t="str">
        <f>IF(OR(D198="",D198="-"),"",VLOOKUP(D198,'Fatores de Emissão'!$D$105:$I$108,6,FALSE))</f>
        <v/>
      </c>
      <c r="N198" s="1024" t="str">
        <f t="shared" si="3"/>
        <v/>
      </c>
      <c r="O198" s="1024" t="str">
        <f t="shared" si="1"/>
        <v/>
      </c>
      <c r="P198" s="544" t="str">
        <f t="shared" si="2"/>
        <v/>
      </c>
      <c r="Q198" s="961" t="str">
        <f>IF(B198="","",IF(D198="","",N198*'Fatores de Emissão'!$E$252+'Combustão Móvel'!O198*'Fatores de Emissão'!$E$248+'Combustão Móvel'!P198*'Fatores de Emissão'!$E$249))</f>
        <v/>
      </c>
    </row>
    <row r="199" spans="2:17" s="314" customFormat="1" ht="19.899999999999999" hidden="1" customHeight="1" outlineLevel="2" x14ac:dyDescent="0.35">
      <c r="B199" s="454"/>
      <c r="C199" s="194"/>
      <c r="D199" s="194"/>
      <c r="E199" s="342"/>
      <c r="F199" s="546"/>
      <c r="G199" s="342"/>
      <c r="H199" s="456"/>
      <c r="I199" s="456"/>
      <c r="J199" s="544" t="str">
        <f>IF(D199="","",VLOOKUP(D199,'Fatores de Emissão'!$D$105:$F$108,3,FALSE))</f>
        <v/>
      </c>
      <c r="K199" s="1024" t="str">
        <f>IF(OR(D199="",D199="-"),"",VLOOKUP(D199,'Fatores de Emissão'!$D$105:$E$108,2,FALSE))</f>
        <v/>
      </c>
      <c r="L199" s="1024" t="str">
        <f>IF(OR(D199="",D199="-"),"",VLOOKUP(D199,'Fatores de Emissão'!$D$105:$G$108,4,FALSE))</f>
        <v/>
      </c>
      <c r="M199" s="1024" t="str">
        <f>IF(OR(D199="",D199="-"),"",VLOOKUP(D199,'Fatores de Emissão'!$D$105:$I$108,6,FALSE))</f>
        <v/>
      </c>
      <c r="N199" s="1024" t="str">
        <f t="shared" si="3"/>
        <v/>
      </c>
      <c r="O199" s="1024" t="str">
        <f t="shared" si="1"/>
        <v/>
      </c>
      <c r="P199" s="544" t="str">
        <f t="shared" si="2"/>
        <v/>
      </c>
      <c r="Q199" s="961" t="str">
        <f>IF(B199="","",IF(D199="","",N199*'Fatores de Emissão'!$E$252+'Combustão Móvel'!O199*'Fatores de Emissão'!$E$248+'Combustão Móvel'!P199*'Fatores de Emissão'!$E$249))</f>
        <v/>
      </c>
    </row>
    <row r="200" spans="2:17" s="314" customFormat="1" ht="19.899999999999999" hidden="1" customHeight="1" outlineLevel="2" x14ac:dyDescent="0.35">
      <c r="B200" s="454"/>
      <c r="C200" s="194"/>
      <c r="D200" s="194"/>
      <c r="E200" s="342"/>
      <c r="F200" s="546"/>
      <c r="G200" s="342"/>
      <c r="H200" s="456"/>
      <c r="I200" s="456"/>
      <c r="J200" s="544" t="str">
        <f>IF(D200="","",VLOOKUP(D200,'Fatores de Emissão'!$D$105:$F$108,3,FALSE))</f>
        <v/>
      </c>
      <c r="K200" s="1024" t="str">
        <f>IF(OR(D200="",D200="-"),"",VLOOKUP(D200,'Fatores de Emissão'!$D$105:$E$108,2,FALSE))</f>
        <v/>
      </c>
      <c r="L200" s="1024" t="str">
        <f>IF(OR(D200="",D200="-"),"",VLOOKUP(D200,'Fatores de Emissão'!$D$105:$G$108,4,FALSE))</f>
        <v/>
      </c>
      <c r="M200" s="1024" t="str">
        <f>IF(OR(D200="",D200="-"),"",VLOOKUP(D200,'Fatores de Emissão'!$D$105:$I$108,6,FALSE))</f>
        <v/>
      </c>
      <c r="N200" s="1024" t="str">
        <f t="shared" si="3"/>
        <v/>
      </c>
      <c r="O200" s="1024" t="str">
        <f t="shared" si="1"/>
        <v/>
      </c>
      <c r="P200" s="544" t="str">
        <f t="shared" ref="P200:P231" si="4">IF(D200="","",IF(J200="kg/km",E200*M200/1000,IF(J200="kg/p.km",E200*F200*M200/1000,E200*G200*M200/1000)))</f>
        <v/>
      </c>
      <c r="Q200" s="961" t="str">
        <f>IF(B200="","",IF(D200="","",N200*'Fatores de Emissão'!$E$252+'Combustão Móvel'!O200*'Fatores de Emissão'!$E$248+'Combustão Móvel'!P200*'Fatores de Emissão'!$E$249))</f>
        <v/>
      </c>
    </row>
    <row r="201" spans="2:17" s="314" customFormat="1" ht="19.899999999999999" hidden="1" customHeight="1" outlineLevel="2" x14ac:dyDescent="0.35">
      <c r="B201" s="454"/>
      <c r="C201" s="194"/>
      <c r="D201" s="194"/>
      <c r="E201" s="342"/>
      <c r="F201" s="546"/>
      <c r="G201" s="342"/>
      <c r="H201" s="456"/>
      <c r="I201" s="456"/>
      <c r="J201" s="544" t="str">
        <f>IF(D201="","",VLOOKUP(D201,'Fatores de Emissão'!$D$105:$F$108,3,FALSE))</f>
        <v/>
      </c>
      <c r="K201" s="1024" t="str">
        <f>IF(OR(D201="",D201="-"),"",VLOOKUP(D201,'Fatores de Emissão'!$D$105:$E$108,2,FALSE))</f>
        <v/>
      </c>
      <c r="L201" s="1024" t="str">
        <f>IF(OR(D201="",D201="-"),"",VLOOKUP(D201,'Fatores de Emissão'!$D$105:$G$108,4,FALSE))</f>
        <v/>
      </c>
      <c r="M201" s="1024" t="str">
        <f>IF(OR(D201="",D201="-"),"",VLOOKUP(D201,'Fatores de Emissão'!$D$105:$I$108,6,FALSE))</f>
        <v/>
      </c>
      <c r="N201" s="1024" t="str">
        <f t="shared" si="3"/>
        <v/>
      </c>
      <c r="O201" s="1024" t="str">
        <f t="shared" si="1"/>
        <v/>
      </c>
      <c r="P201" s="544" t="str">
        <f t="shared" si="4"/>
        <v/>
      </c>
      <c r="Q201" s="961" t="str">
        <f>IF(B201="","",IF(D201="","",N201*'Fatores de Emissão'!$E$252+'Combustão Móvel'!O201*'Fatores de Emissão'!$E$248+'Combustão Móvel'!P201*'Fatores de Emissão'!$E$249))</f>
        <v/>
      </c>
    </row>
    <row r="202" spans="2:17" s="314" customFormat="1" ht="19.899999999999999" hidden="1" customHeight="1" outlineLevel="2" x14ac:dyDescent="0.35">
      <c r="B202" s="454"/>
      <c r="C202" s="194"/>
      <c r="D202" s="194"/>
      <c r="E202" s="342"/>
      <c r="F202" s="546"/>
      <c r="G202" s="342"/>
      <c r="H202" s="456"/>
      <c r="I202" s="456"/>
      <c r="J202" s="544" t="str">
        <f>IF(D202="","",VLOOKUP(D202,'Fatores de Emissão'!$D$105:$F$108,3,FALSE))</f>
        <v/>
      </c>
      <c r="K202" s="1024" t="str">
        <f>IF(OR(D202="",D202="-"),"",VLOOKUP(D202,'Fatores de Emissão'!$D$105:$E$108,2,FALSE))</f>
        <v/>
      </c>
      <c r="L202" s="1024" t="str">
        <f>IF(OR(D202="",D202="-"),"",VLOOKUP(D202,'Fatores de Emissão'!$D$105:$G$108,4,FALSE))</f>
        <v/>
      </c>
      <c r="M202" s="1024" t="str">
        <f>IF(OR(D202="",D202="-"),"",VLOOKUP(D202,'Fatores de Emissão'!$D$105:$I$108,6,FALSE))</f>
        <v/>
      </c>
      <c r="N202" s="1024" t="str">
        <f t="shared" si="3"/>
        <v/>
      </c>
      <c r="O202" s="1024" t="str">
        <f t="shared" si="1"/>
        <v/>
      </c>
      <c r="P202" s="544" t="str">
        <f t="shared" si="4"/>
        <v/>
      </c>
      <c r="Q202" s="961" t="str">
        <f>IF(B202="","",IF(D202="","",N202*'Fatores de Emissão'!$E$252+'Combustão Móvel'!O202*'Fatores de Emissão'!$E$248+'Combustão Móvel'!P202*'Fatores de Emissão'!$E$249))</f>
        <v/>
      </c>
    </row>
    <row r="203" spans="2:17" s="314" customFormat="1" ht="19.899999999999999" hidden="1" customHeight="1" outlineLevel="2" x14ac:dyDescent="0.35">
      <c r="B203" s="454"/>
      <c r="C203" s="194"/>
      <c r="D203" s="194"/>
      <c r="E203" s="342"/>
      <c r="F203" s="546"/>
      <c r="G203" s="342"/>
      <c r="H203" s="456"/>
      <c r="I203" s="456"/>
      <c r="J203" s="544" t="str">
        <f>IF(D203="","",VLOOKUP(D203,'Fatores de Emissão'!$D$105:$F$108,3,FALSE))</f>
        <v/>
      </c>
      <c r="K203" s="1024" t="str">
        <f>IF(OR(D203="",D203="-"),"",VLOOKUP(D203,'Fatores de Emissão'!$D$105:$E$108,2,FALSE))</f>
        <v/>
      </c>
      <c r="L203" s="1024" t="str">
        <f>IF(OR(D203="",D203="-"),"",VLOOKUP(D203,'Fatores de Emissão'!$D$105:$G$108,4,FALSE))</f>
        <v/>
      </c>
      <c r="M203" s="1024" t="str">
        <f>IF(OR(D203="",D203="-"),"",VLOOKUP(D203,'Fatores de Emissão'!$D$105:$I$108,6,FALSE))</f>
        <v/>
      </c>
      <c r="N203" s="1024" t="str">
        <f t="shared" si="3"/>
        <v/>
      </c>
      <c r="O203" s="1024" t="str">
        <f t="shared" si="1"/>
        <v/>
      </c>
      <c r="P203" s="544" t="str">
        <f t="shared" si="4"/>
        <v/>
      </c>
      <c r="Q203" s="961" t="str">
        <f>IF(B203="","",IF(D203="","",N203*'Fatores de Emissão'!$E$252+'Combustão Móvel'!O203*'Fatores de Emissão'!$E$248+'Combustão Móvel'!P203*'Fatores de Emissão'!$E$249))</f>
        <v/>
      </c>
    </row>
    <row r="204" spans="2:17" s="314" customFormat="1" ht="19.899999999999999" hidden="1" customHeight="1" outlineLevel="2" x14ac:dyDescent="0.35">
      <c r="B204" s="454"/>
      <c r="C204" s="194"/>
      <c r="D204" s="194"/>
      <c r="E204" s="342"/>
      <c r="F204" s="546"/>
      <c r="G204" s="342"/>
      <c r="H204" s="456"/>
      <c r="I204" s="456"/>
      <c r="J204" s="544" t="str">
        <f>IF(D204="","",VLOOKUP(D204,'Fatores de Emissão'!$D$105:$F$108,3,FALSE))</f>
        <v/>
      </c>
      <c r="K204" s="1024" t="str">
        <f>IF(OR(D204="",D204="-"),"",VLOOKUP(D204,'Fatores de Emissão'!$D$105:$E$108,2,FALSE))</f>
        <v/>
      </c>
      <c r="L204" s="1024" t="str">
        <f>IF(OR(D204="",D204="-"),"",VLOOKUP(D204,'Fatores de Emissão'!$D$105:$G$108,4,FALSE))</f>
        <v/>
      </c>
      <c r="M204" s="1024" t="str">
        <f>IF(OR(D204="",D204="-"),"",VLOOKUP(D204,'Fatores de Emissão'!$D$105:$I$108,6,FALSE))</f>
        <v/>
      </c>
      <c r="N204" s="1024" t="str">
        <f t="shared" si="3"/>
        <v/>
      </c>
      <c r="O204" s="1024" t="str">
        <f t="shared" si="1"/>
        <v/>
      </c>
      <c r="P204" s="544" t="str">
        <f t="shared" si="4"/>
        <v/>
      </c>
      <c r="Q204" s="961" t="str">
        <f>IF(B204="","",IF(D204="","",N204*'Fatores de Emissão'!$E$252+'Combustão Móvel'!O204*'Fatores de Emissão'!$E$248+'Combustão Móvel'!P204*'Fatores de Emissão'!$E$249))</f>
        <v/>
      </c>
    </row>
    <row r="205" spans="2:17" s="314" customFormat="1" ht="19.899999999999999" hidden="1" customHeight="1" outlineLevel="2" x14ac:dyDescent="0.35">
      <c r="B205" s="454"/>
      <c r="C205" s="194"/>
      <c r="D205" s="194"/>
      <c r="E205" s="342"/>
      <c r="F205" s="546"/>
      <c r="G205" s="342"/>
      <c r="H205" s="456"/>
      <c r="I205" s="456"/>
      <c r="J205" s="544" t="str">
        <f>IF(D205="","",VLOOKUP(D205,'Fatores de Emissão'!$D$105:$F$108,3,FALSE))</f>
        <v/>
      </c>
      <c r="K205" s="1024" t="str">
        <f>IF(OR(D205="",D205="-"),"",VLOOKUP(D205,'Fatores de Emissão'!$D$105:$E$108,2,FALSE))</f>
        <v/>
      </c>
      <c r="L205" s="1024" t="str">
        <f>IF(OR(D205="",D205="-"),"",VLOOKUP(D205,'Fatores de Emissão'!$D$105:$G$108,4,FALSE))</f>
        <v/>
      </c>
      <c r="M205" s="1024" t="str">
        <f>IF(OR(D205="",D205="-"),"",VLOOKUP(D205,'Fatores de Emissão'!$D$105:$I$108,6,FALSE))</f>
        <v/>
      </c>
      <c r="N205" s="1024" t="str">
        <f t="shared" si="3"/>
        <v/>
      </c>
      <c r="O205" s="1024" t="str">
        <f t="shared" si="1"/>
        <v/>
      </c>
      <c r="P205" s="544" t="str">
        <f t="shared" si="4"/>
        <v/>
      </c>
      <c r="Q205" s="961" t="str">
        <f>IF(B205="","",IF(D205="","",N205*'Fatores de Emissão'!$E$252+'Combustão Móvel'!O205*'Fatores de Emissão'!$E$248+'Combustão Móvel'!P205*'Fatores de Emissão'!$E$249))</f>
        <v/>
      </c>
    </row>
    <row r="206" spans="2:17" s="314" customFormat="1" ht="19.899999999999999" hidden="1" customHeight="1" outlineLevel="2" x14ac:dyDescent="0.35">
      <c r="B206" s="454"/>
      <c r="C206" s="194"/>
      <c r="D206" s="194"/>
      <c r="E206" s="342"/>
      <c r="F206" s="546"/>
      <c r="G206" s="342"/>
      <c r="H206" s="456"/>
      <c r="I206" s="456"/>
      <c r="J206" s="544" t="str">
        <f>IF(D206="","",VLOOKUP(D206,'Fatores de Emissão'!$D$105:$F$108,3,FALSE))</f>
        <v/>
      </c>
      <c r="K206" s="1024" t="str">
        <f>IF(OR(D206="",D206="-"),"",VLOOKUP(D206,'Fatores de Emissão'!$D$105:$E$108,2,FALSE))</f>
        <v/>
      </c>
      <c r="L206" s="1024" t="str">
        <f>IF(OR(D206="",D206="-"),"",VLOOKUP(D206,'Fatores de Emissão'!$D$105:$G$108,4,FALSE))</f>
        <v/>
      </c>
      <c r="M206" s="1024" t="str">
        <f>IF(OR(D206="",D206="-"),"",VLOOKUP(D206,'Fatores de Emissão'!$D$105:$I$108,6,FALSE))</f>
        <v/>
      </c>
      <c r="N206" s="1024" t="str">
        <f t="shared" si="3"/>
        <v/>
      </c>
      <c r="O206" s="1024" t="str">
        <f t="shared" si="1"/>
        <v/>
      </c>
      <c r="P206" s="544" t="str">
        <f t="shared" si="4"/>
        <v/>
      </c>
      <c r="Q206" s="961" t="str">
        <f>IF(B206="","",IF(D206="","",N206*'Fatores de Emissão'!$E$252+'Combustão Móvel'!O206*'Fatores de Emissão'!$E$248+'Combustão Móvel'!P206*'Fatores de Emissão'!$E$249))</f>
        <v/>
      </c>
    </row>
    <row r="207" spans="2:17" s="314" customFormat="1" ht="19.899999999999999" hidden="1" customHeight="1" outlineLevel="2" x14ac:dyDescent="0.35">
      <c r="B207" s="454"/>
      <c r="C207" s="194"/>
      <c r="D207" s="194"/>
      <c r="E207" s="342"/>
      <c r="F207" s="546"/>
      <c r="G207" s="342"/>
      <c r="H207" s="456"/>
      <c r="I207" s="456"/>
      <c r="J207" s="544" t="str">
        <f>IF(D207="","",VLOOKUP(D207,'Fatores de Emissão'!$D$105:$F$108,3,FALSE))</f>
        <v/>
      </c>
      <c r="K207" s="1024" t="str">
        <f>IF(OR(D207="",D207="-"),"",VLOOKUP(D207,'Fatores de Emissão'!$D$105:$E$108,2,FALSE))</f>
        <v/>
      </c>
      <c r="L207" s="1024" t="str">
        <f>IF(OR(D207="",D207="-"),"",VLOOKUP(D207,'Fatores de Emissão'!$D$105:$G$108,4,FALSE))</f>
        <v/>
      </c>
      <c r="M207" s="1024" t="str">
        <f>IF(OR(D207="",D207="-"),"",VLOOKUP(D207,'Fatores de Emissão'!$D$105:$I$108,6,FALSE))</f>
        <v/>
      </c>
      <c r="N207" s="1024" t="str">
        <f t="shared" si="3"/>
        <v/>
      </c>
      <c r="O207" s="1024" t="str">
        <f t="shared" si="1"/>
        <v/>
      </c>
      <c r="P207" s="544" t="str">
        <f t="shared" si="4"/>
        <v/>
      </c>
      <c r="Q207" s="961" t="str">
        <f>IF(B207="","",IF(D207="","",N207*'Fatores de Emissão'!$E$252+'Combustão Móvel'!O207*'Fatores de Emissão'!$E$248+'Combustão Móvel'!P207*'Fatores de Emissão'!$E$249))</f>
        <v/>
      </c>
    </row>
    <row r="208" spans="2:17" s="314" customFormat="1" ht="19.899999999999999" hidden="1" customHeight="1" outlineLevel="2" x14ac:dyDescent="0.35">
      <c r="B208" s="454"/>
      <c r="C208" s="194"/>
      <c r="D208" s="194"/>
      <c r="E208" s="342"/>
      <c r="F208" s="546"/>
      <c r="G208" s="342"/>
      <c r="H208" s="456"/>
      <c r="I208" s="456"/>
      <c r="J208" s="544" t="str">
        <f>IF(D208="","",VLOOKUP(D208,'Fatores de Emissão'!$D$105:$F$108,3,FALSE))</f>
        <v/>
      </c>
      <c r="K208" s="1024" t="str">
        <f>IF(OR(D208="",D208="-"),"",VLOOKUP(D208,'Fatores de Emissão'!$D$105:$E$108,2,FALSE))</f>
        <v/>
      </c>
      <c r="L208" s="1024" t="str">
        <f>IF(OR(D208="",D208="-"),"",VLOOKUP(D208,'Fatores de Emissão'!$D$105:$G$108,4,FALSE))</f>
        <v/>
      </c>
      <c r="M208" s="1024" t="str">
        <f>IF(OR(D208="",D208="-"),"",VLOOKUP(D208,'Fatores de Emissão'!$D$105:$I$108,6,FALSE))</f>
        <v/>
      </c>
      <c r="N208" s="1024" t="str">
        <f t="shared" si="3"/>
        <v/>
      </c>
      <c r="O208" s="1024" t="str">
        <f t="shared" si="1"/>
        <v/>
      </c>
      <c r="P208" s="544" t="str">
        <f t="shared" si="4"/>
        <v/>
      </c>
      <c r="Q208" s="961" t="str">
        <f>IF(B208="","",IF(D208="","",N208*'Fatores de Emissão'!$E$252+'Combustão Móvel'!O208*'Fatores de Emissão'!$E$248+'Combustão Móvel'!P208*'Fatores de Emissão'!$E$249))</f>
        <v/>
      </c>
    </row>
    <row r="209" spans="2:17" s="314" customFormat="1" ht="19.899999999999999" hidden="1" customHeight="1" outlineLevel="2" x14ac:dyDescent="0.35">
      <c r="B209" s="454"/>
      <c r="C209" s="194"/>
      <c r="D209" s="194"/>
      <c r="E209" s="342"/>
      <c r="F209" s="546"/>
      <c r="G209" s="342"/>
      <c r="H209" s="456"/>
      <c r="I209" s="456"/>
      <c r="J209" s="544" t="str">
        <f>IF(D209="","",VLOOKUP(D209,'Fatores de Emissão'!$D$105:$F$108,3,FALSE))</f>
        <v/>
      </c>
      <c r="K209" s="1024" t="str">
        <f>IF(OR(D209="",D209="-"),"",VLOOKUP(D209,'Fatores de Emissão'!$D$105:$E$108,2,FALSE))</f>
        <v/>
      </c>
      <c r="L209" s="1024" t="str">
        <f>IF(OR(D209="",D209="-"),"",VLOOKUP(D209,'Fatores de Emissão'!$D$105:$G$108,4,FALSE))</f>
        <v/>
      </c>
      <c r="M209" s="1024" t="str">
        <f>IF(OR(D209="",D209="-"),"",VLOOKUP(D209,'Fatores de Emissão'!$D$105:$I$108,6,FALSE))</f>
        <v/>
      </c>
      <c r="N209" s="1024" t="str">
        <f t="shared" si="3"/>
        <v/>
      </c>
      <c r="O209" s="1024" t="str">
        <f t="shared" si="1"/>
        <v/>
      </c>
      <c r="P209" s="544" t="str">
        <f t="shared" si="4"/>
        <v/>
      </c>
      <c r="Q209" s="961" t="str">
        <f>IF(B209="","",IF(D209="","",N209*'Fatores de Emissão'!$E$252+'Combustão Móvel'!O209*'Fatores de Emissão'!$E$248+'Combustão Móvel'!P209*'Fatores de Emissão'!$E$249))</f>
        <v/>
      </c>
    </row>
    <row r="210" spans="2:17" s="314" customFormat="1" ht="19.899999999999999" hidden="1" customHeight="1" outlineLevel="2" x14ac:dyDescent="0.35">
      <c r="B210" s="454"/>
      <c r="C210" s="194"/>
      <c r="D210" s="194"/>
      <c r="E210" s="342"/>
      <c r="F210" s="546"/>
      <c r="G210" s="342"/>
      <c r="H210" s="456"/>
      <c r="I210" s="456"/>
      <c r="J210" s="544" t="str">
        <f>IF(D210="","",VLOOKUP(D210,'Fatores de Emissão'!$D$105:$F$108,3,FALSE))</f>
        <v/>
      </c>
      <c r="K210" s="1024" t="str">
        <f>IF(OR(D210="",D210="-"),"",VLOOKUP(D210,'Fatores de Emissão'!$D$105:$E$108,2,FALSE))</f>
        <v/>
      </c>
      <c r="L210" s="1024" t="str">
        <f>IF(OR(D210="",D210="-"),"",VLOOKUP(D210,'Fatores de Emissão'!$D$105:$G$108,4,FALSE))</f>
        <v/>
      </c>
      <c r="M210" s="1024" t="str">
        <f>IF(OR(D210="",D210="-"),"",VLOOKUP(D210,'Fatores de Emissão'!$D$105:$I$108,6,FALSE))</f>
        <v/>
      </c>
      <c r="N210" s="1024" t="str">
        <f t="shared" si="3"/>
        <v/>
      </c>
      <c r="O210" s="1024" t="str">
        <f t="shared" si="1"/>
        <v/>
      </c>
      <c r="P210" s="544" t="str">
        <f t="shared" si="4"/>
        <v/>
      </c>
      <c r="Q210" s="961" t="str">
        <f>IF(B210="","",IF(D210="","",N210*'Fatores de Emissão'!$E$252+'Combustão Móvel'!O210*'Fatores de Emissão'!$E$248+'Combustão Móvel'!P210*'Fatores de Emissão'!$E$249))</f>
        <v/>
      </c>
    </row>
    <row r="211" spans="2:17" s="314" customFormat="1" ht="19.899999999999999" hidden="1" customHeight="1" outlineLevel="2" x14ac:dyDescent="0.35">
      <c r="B211" s="454"/>
      <c r="C211" s="194"/>
      <c r="D211" s="194"/>
      <c r="E211" s="342"/>
      <c r="F211" s="546"/>
      <c r="G211" s="342"/>
      <c r="H211" s="456"/>
      <c r="I211" s="456"/>
      <c r="J211" s="544" t="str">
        <f>IF(D211="","",VLOOKUP(D211,'Fatores de Emissão'!$D$105:$F$108,3,FALSE))</f>
        <v/>
      </c>
      <c r="K211" s="1024" t="str">
        <f>IF(OR(D211="",D211="-"),"",VLOOKUP(D211,'Fatores de Emissão'!$D$105:$E$108,2,FALSE))</f>
        <v/>
      </c>
      <c r="L211" s="1024" t="str">
        <f>IF(OR(D211="",D211="-"),"",VLOOKUP(D211,'Fatores de Emissão'!$D$105:$G$108,4,FALSE))</f>
        <v/>
      </c>
      <c r="M211" s="1024" t="str">
        <f>IF(OR(D211="",D211="-"),"",VLOOKUP(D211,'Fatores de Emissão'!$D$105:$I$108,6,FALSE))</f>
        <v/>
      </c>
      <c r="N211" s="1024" t="str">
        <f t="shared" si="3"/>
        <v/>
      </c>
      <c r="O211" s="1024" t="str">
        <f t="shared" si="1"/>
        <v/>
      </c>
      <c r="P211" s="544" t="str">
        <f t="shared" si="4"/>
        <v/>
      </c>
      <c r="Q211" s="961" t="str">
        <f>IF(B211="","",IF(D211="","",N211*'Fatores de Emissão'!$E$252+'Combustão Móvel'!O211*'Fatores de Emissão'!$E$248+'Combustão Móvel'!P211*'Fatores de Emissão'!$E$249))</f>
        <v/>
      </c>
    </row>
    <row r="212" spans="2:17" s="314" customFormat="1" ht="19.899999999999999" hidden="1" customHeight="1" outlineLevel="2" x14ac:dyDescent="0.35">
      <c r="B212" s="454"/>
      <c r="C212" s="194"/>
      <c r="D212" s="194"/>
      <c r="E212" s="342"/>
      <c r="F212" s="546"/>
      <c r="G212" s="342"/>
      <c r="H212" s="456"/>
      <c r="I212" s="456"/>
      <c r="J212" s="544" t="str">
        <f>IF(D212="","",VLOOKUP(D212,'Fatores de Emissão'!$D$105:$F$108,3,FALSE))</f>
        <v/>
      </c>
      <c r="K212" s="1024" t="str">
        <f>IF(OR(D212="",D212="-"),"",VLOOKUP(D212,'Fatores de Emissão'!$D$105:$E$108,2,FALSE))</f>
        <v/>
      </c>
      <c r="L212" s="1024" t="str">
        <f>IF(OR(D212="",D212="-"),"",VLOOKUP(D212,'Fatores de Emissão'!$D$105:$G$108,4,FALSE))</f>
        <v/>
      </c>
      <c r="M212" s="1024" t="str">
        <f>IF(OR(D212="",D212="-"),"",VLOOKUP(D212,'Fatores de Emissão'!$D$105:$I$108,6,FALSE))</f>
        <v/>
      </c>
      <c r="N212" s="1024" t="str">
        <f t="shared" si="3"/>
        <v/>
      </c>
      <c r="O212" s="1024" t="str">
        <f t="shared" si="1"/>
        <v/>
      </c>
      <c r="P212" s="544" t="str">
        <f t="shared" si="4"/>
        <v/>
      </c>
      <c r="Q212" s="961" t="str">
        <f>IF(B212="","",IF(D212="","",N212*'Fatores de Emissão'!$E$252+'Combustão Móvel'!O212*'Fatores de Emissão'!$E$248+'Combustão Móvel'!P212*'Fatores de Emissão'!$E$249))</f>
        <v/>
      </c>
    </row>
    <row r="213" spans="2:17" s="314" customFormat="1" ht="19.899999999999999" hidden="1" customHeight="1" outlineLevel="2" x14ac:dyDescent="0.35">
      <c r="B213" s="454"/>
      <c r="C213" s="194"/>
      <c r="D213" s="194"/>
      <c r="E213" s="342"/>
      <c r="F213" s="546"/>
      <c r="G213" s="342"/>
      <c r="H213" s="456"/>
      <c r="I213" s="456"/>
      <c r="J213" s="544" t="str">
        <f>IF(D213="","",VLOOKUP(D213,'Fatores de Emissão'!$D$105:$F$108,3,FALSE))</f>
        <v/>
      </c>
      <c r="K213" s="1024" t="str">
        <f>IF(OR(D213="",D213="-"),"",VLOOKUP(D213,'Fatores de Emissão'!$D$105:$E$108,2,FALSE))</f>
        <v/>
      </c>
      <c r="L213" s="1024" t="str">
        <f>IF(OR(D213="",D213="-"),"",VLOOKUP(D213,'Fatores de Emissão'!$D$105:$G$108,4,FALSE))</f>
        <v/>
      </c>
      <c r="M213" s="1024" t="str">
        <f>IF(OR(D213="",D213="-"),"",VLOOKUP(D213,'Fatores de Emissão'!$D$105:$I$108,6,FALSE))</f>
        <v/>
      </c>
      <c r="N213" s="1024" t="str">
        <f t="shared" si="3"/>
        <v/>
      </c>
      <c r="O213" s="1024" t="str">
        <f t="shared" si="1"/>
        <v/>
      </c>
      <c r="P213" s="544" t="str">
        <f t="shared" si="4"/>
        <v/>
      </c>
      <c r="Q213" s="961" t="str">
        <f>IF(B213="","",IF(D213="","",N213*'Fatores de Emissão'!$E$252+'Combustão Móvel'!O213*'Fatores de Emissão'!$E$248+'Combustão Móvel'!P213*'Fatores de Emissão'!$E$249))</f>
        <v/>
      </c>
    </row>
    <row r="214" spans="2:17" s="314" customFormat="1" ht="19.899999999999999" hidden="1" customHeight="1" outlineLevel="2" x14ac:dyDescent="0.35">
      <c r="B214" s="454"/>
      <c r="C214" s="194"/>
      <c r="D214" s="194"/>
      <c r="E214" s="342"/>
      <c r="F214" s="546"/>
      <c r="G214" s="342"/>
      <c r="H214" s="456"/>
      <c r="I214" s="456"/>
      <c r="J214" s="544" t="str">
        <f>IF(D214="","",VLOOKUP(D214,'Fatores de Emissão'!$D$105:$F$108,3,FALSE))</f>
        <v/>
      </c>
      <c r="K214" s="1024" t="str">
        <f>IF(OR(D214="",D214="-"),"",VLOOKUP(D214,'Fatores de Emissão'!$D$105:$E$108,2,FALSE))</f>
        <v/>
      </c>
      <c r="L214" s="1024" t="str">
        <f>IF(OR(D214="",D214="-"),"",VLOOKUP(D214,'Fatores de Emissão'!$D$105:$G$108,4,FALSE))</f>
        <v/>
      </c>
      <c r="M214" s="1024" t="str">
        <f>IF(OR(D214="",D214="-"),"",VLOOKUP(D214,'Fatores de Emissão'!$D$105:$I$108,6,FALSE))</f>
        <v/>
      </c>
      <c r="N214" s="1024" t="str">
        <f t="shared" si="3"/>
        <v/>
      </c>
      <c r="O214" s="1024" t="str">
        <f t="shared" si="1"/>
        <v/>
      </c>
      <c r="P214" s="544" t="str">
        <f t="shared" si="4"/>
        <v/>
      </c>
      <c r="Q214" s="961" t="str">
        <f>IF(B214="","",IF(D214="","",N214*'Fatores de Emissão'!$E$252+'Combustão Móvel'!O214*'Fatores de Emissão'!$E$248+'Combustão Móvel'!P214*'Fatores de Emissão'!$E$249))</f>
        <v/>
      </c>
    </row>
    <row r="215" spans="2:17" s="314" customFormat="1" ht="19.899999999999999" hidden="1" customHeight="1" outlineLevel="2" x14ac:dyDescent="0.35">
      <c r="B215" s="454"/>
      <c r="C215" s="194"/>
      <c r="D215" s="194"/>
      <c r="E215" s="342"/>
      <c r="F215" s="546"/>
      <c r="G215" s="342"/>
      <c r="H215" s="456"/>
      <c r="I215" s="456"/>
      <c r="J215" s="544" t="str">
        <f>IF(D215="","",VLOOKUP(D215,'Fatores de Emissão'!$D$105:$F$108,3,FALSE))</f>
        <v/>
      </c>
      <c r="K215" s="1024" t="str">
        <f>IF(OR(D215="",D215="-"),"",VLOOKUP(D215,'Fatores de Emissão'!$D$105:$E$108,2,FALSE))</f>
        <v/>
      </c>
      <c r="L215" s="1024" t="str">
        <f>IF(OR(D215="",D215="-"),"",VLOOKUP(D215,'Fatores de Emissão'!$D$105:$G$108,4,FALSE))</f>
        <v/>
      </c>
      <c r="M215" s="1024" t="str">
        <f>IF(OR(D215="",D215="-"),"",VLOOKUP(D215,'Fatores de Emissão'!$D$105:$I$108,6,FALSE))</f>
        <v/>
      </c>
      <c r="N215" s="1024" t="str">
        <f t="shared" si="3"/>
        <v/>
      </c>
      <c r="O215" s="1024" t="str">
        <f t="shared" si="1"/>
        <v/>
      </c>
      <c r="P215" s="544" t="str">
        <f t="shared" si="4"/>
        <v/>
      </c>
      <c r="Q215" s="961" t="str">
        <f>IF(B215="","",IF(D215="","",N215*'Fatores de Emissão'!$E$252+'Combustão Móvel'!O215*'Fatores de Emissão'!$E$248+'Combustão Móvel'!P215*'Fatores de Emissão'!$E$249))</f>
        <v/>
      </c>
    </row>
    <row r="216" spans="2:17" s="314" customFormat="1" ht="19.899999999999999" hidden="1" customHeight="1" outlineLevel="2" x14ac:dyDescent="0.35">
      <c r="B216" s="454"/>
      <c r="C216" s="194"/>
      <c r="D216" s="194"/>
      <c r="E216" s="342"/>
      <c r="F216" s="546"/>
      <c r="G216" s="342"/>
      <c r="H216" s="456"/>
      <c r="I216" s="456"/>
      <c r="J216" s="544" t="str">
        <f>IF(D216="","",VLOOKUP(D216,'Fatores de Emissão'!$D$105:$F$108,3,FALSE))</f>
        <v/>
      </c>
      <c r="K216" s="1024" t="str">
        <f>IF(OR(D216="",D216="-"),"",VLOOKUP(D216,'Fatores de Emissão'!$D$105:$E$108,2,FALSE))</f>
        <v/>
      </c>
      <c r="L216" s="1024" t="str">
        <f>IF(OR(D216="",D216="-"),"",VLOOKUP(D216,'Fatores de Emissão'!$D$105:$G$108,4,FALSE))</f>
        <v/>
      </c>
      <c r="M216" s="1024" t="str">
        <f>IF(OR(D216="",D216="-"),"",VLOOKUP(D216,'Fatores de Emissão'!$D$105:$I$108,6,FALSE))</f>
        <v/>
      </c>
      <c r="N216" s="1024" t="str">
        <f t="shared" si="3"/>
        <v/>
      </c>
      <c r="O216" s="1024" t="str">
        <f t="shared" si="1"/>
        <v/>
      </c>
      <c r="P216" s="544" t="str">
        <f t="shared" si="4"/>
        <v/>
      </c>
      <c r="Q216" s="961" t="str">
        <f>IF(B216="","",IF(D216="","",N216*'Fatores de Emissão'!$E$252+'Combustão Móvel'!O216*'Fatores de Emissão'!$E$248+'Combustão Móvel'!P216*'Fatores de Emissão'!$E$249))</f>
        <v/>
      </c>
    </row>
    <row r="217" spans="2:17" s="314" customFormat="1" ht="19.899999999999999" hidden="1" customHeight="1" outlineLevel="2" x14ac:dyDescent="0.35">
      <c r="B217" s="454"/>
      <c r="C217" s="194"/>
      <c r="D217" s="194"/>
      <c r="E217" s="342"/>
      <c r="F217" s="546"/>
      <c r="G217" s="342"/>
      <c r="H217" s="456"/>
      <c r="I217" s="456"/>
      <c r="J217" s="544" t="str">
        <f>IF(D217="","",VLOOKUP(D217,'Fatores de Emissão'!$D$105:$F$108,3,FALSE))</f>
        <v/>
      </c>
      <c r="K217" s="1024" t="str">
        <f>IF(OR(D217="",D217="-"),"",VLOOKUP(D217,'Fatores de Emissão'!$D$105:$E$108,2,FALSE))</f>
        <v/>
      </c>
      <c r="L217" s="1024" t="str">
        <f>IF(OR(D217="",D217="-"),"",VLOOKUP(D217,'Fatores de Emissão'!$D$105:$G$108,4,FALSE))</f>
        <v/>
      </c>
      <c r="M217" s="1024" t="str">
        <f>IF(OR(D217="",D217="-"),"",VLOOKUP(D217,'Fatores de Emissão'!$D$105:$I$108,6,FALSE))</f>
        <v/>
      </c>
      <c r="N217" s="1024" t="str">
        <f t="shared" si="3"/>
        <v/>
      </c>
      <c r="O217" s="1024" t="str">
        <f t="shared" si="1"/>
        <v/>
      </c>
      <c r="P217" s="544" t="str">
        <f t="shared" si="4"/>
        <v/>
      </c>
      <c r="Q217" s="961" t="str">
        <f>IF(B217="","",IF(D217="","",N217*'Fatores de Emissão'!$E$252+'Combustão Móvel'!O217*'Fatores de Emissão'!$E$248+'Combustão Móvel'!P217*'Fatores de Emissão'!$E$249))</f>
        <v/>
      </c>
    </row>
    <row r="218" spans="2:17" s="314" customFormat="1" ht="19.899999999999999" hidden="1" customHeight="1" outlineLevel="2" x14ac:dyDescent="0.35">
      <c r="B218" s="454"/>
      <c r="C218" s="194"/>
      <c r="D218" s="194"/>
      <c r="E218" s="342"/>
      <c r="F218" s="546"/>
      <c r="G218" s="342"/>
      <c r="H218" s="456"/>
      <c r="I218" s="456"/>
      <c r="J218" s="544" t="str">
        <f>IF(D218="","",VLOOKUP(D218,'Fatores de Emissão'!$D$105:$F$108,3,FALSE))</f>
        <v/>
      </c>
      <c r="K218" s="1024" t="str">
        <f>IF(OR(D218="",D218="-"),"",VLOOKUP(D218,'Fatores de Emissão'!$D$105:$E$108,2,FALSE))</f>
        <v/>
      </c>
      <c r="L218" s="1024" t="str">
        <f>IF(OR(D218="",D218="-"),"",VLOOKUP(D218,'Fatores de Emissão'!$D$105:$G$108,4,FALSE))</f>
        <v/>
      </c>
      <c r="M218" s="1024" t="str">
        <f>IF(OR(D218="",D218="-"),"",VLOOKUP(D218,'Fatores de Emissão'!$D$105:$I$108,6,FALSE))</f>
        <v/>
      </c>
      <c r="N218" s="1024" t="str">
        <f t="shared" si="3"/>
        <v/>
      </c>
      <c r="O218" s="1024" t="str">
        <f t="shared" si="1"/>
        <v/>
      </c>
      <c r="P218" s="544" t="str">
        <f t="shared" si="4"/>
        <v/>
      </c>
      <c r="Q218" s="961" t="str">
        <f>IF(B218="","",IF(D218="","",N218*'Fatores de Emissão'!$E$252+'Combustão Móvel'!O218*'Fatores de Emissão'!$E$248+'Combustão Móvel'!P218*'Fatores de Emissão'!$E$249))</f>
        <v/>
      </c>
    </row>
    <row r="219" spans="2:17" s="314" customFormat="1" ht="19.899999999999999" hidden="1" customHeight="1" outlineLevel="2" x14ac:dyDescent="0.35">
      <c r="B219" s="454"/>
      <c r="C219" s="194"/>
      <c r="D219" s="194"/>
      <c r="E219" s="342"/>
      <c r="F219" s="546"/>
      <c r="G219" s="342"/>
      <c r="H219" s="456"/>
      <c r="I219" s="456"/>
      <c r="J219" s="544" t="str">
        <f>IF(D219="","",VLOOKUP(D219,'Fatores de Emissão'!$D$105:$F$108,3,FALSE))</f>
        <v/>
      </c>
      <c r="K219" s="1024" t="str">
        <f>IF(OR(D219="",D219="-"),"",VLOOKUP(D219,'Fatores de Emissão'!$D$105:$E$108,2,FALSE))</f>
        <v/>
      </c>
      <c r="L219" s="1024" t="str">
        <f>IF(OR(D219="",D219="-"),"",VLOOKUP(D219,'Fatores de Emissão'!$D$105:$G$108,4,FALSE))</f>
        <v/>
      </c>
      <c r="M219" s="1024" t="str">
        <f>IF(OR(D219="",D219="-"),"",VLOOKUP(D219,'Fatores de Emissão'!$D$105:$I$108,6,FALSE))</f>
        <v/>
      </c>
      <c r="N219" s="1024" t="str">
        <f t="shared" si="3"/>
        <v/>
      </c>
      <c r="O219" s="1024" t="str">
        <f t="shared" si="1"/>
        <v/>
      </c>
      <c r="P219" s="544" t="str">
        <f t="shared" si="4"/>
        <v/>
      </c>
      <c r="Q219" s="961" t="str">
        <f>IF(B219="","",IF(D219="","",N219*'Fatores de Emissão'!$E$252+'Combustão Móvel'!O219*'Fatores de Emissão'!$E$248+'Combustão Móvel'!P219*'Fatores de Emissão'!$E$249))</f>
        <v/>
      </c>
    </row>
    <row r="220" spans="2:17" s="314" customFormat="1" ht="19.899999999999999" hidden="1" customHeight="1" outlineLevel="2" x14ac:dyDescent="0.35">
      <c r="B220" s="454"/>
      <c r="C220" s="194"/>
      <c r="D220" s="194"/>
      <c r="E220" s="342"/>
      <c r="F220" s="546"/>
      <c r="G220" s="342"/>
      <c r="H220" s="456"/>
      <c r="I220" s="456"/>
      <c r="J220" s="544" t="str">
        <f>IF(D220="","",VLOOKUP(D220,'Fatores de Emissão'!$D$105:$F$108,3,FALSE))</f>
        <v/>
      </c>
      <c r="K220" s="1024" t="str">
        <f>IF(OR(D220="",D220="-"),"",VLOOKUP(D220,'Fatores de Emissão'!$D$105:$E$108,2,FALSE))</f>
        <v/>
      </c>
      <c r="L220" s="1024" t="str">
        <f>IF(OR(D220="",D220="-"),"",VLOOKUP(D220,'Fatores de Emissão'!$D$105:$G$108,4,FALSE))</f>
        <v/>
      </c>
      <c r="M220" s="1024" t="str">
        <f>IF(OR(D220="",D220="-"),"",VLOOKUP(D220,'Fatores de Emissão'!$D$105:$I$108,6,FALSE))</f>
        <v/>
      </c>
      <c r="N220" s="1024" t="str">
        <f t="shared" si="3"/>
        <v/>
      </c>
      <c r="O220" s="1024" t="str">
        <f t="shared" si="1"/>
        <v/>
      </c>
      <c r="P220" s="544" t="str">
        <f t="shared" si="4"/>
        <v/>
      </c>
      <c r="Q220" s="961" t="str">
        <f>IF(B220="","",IF(D220="","",N220*'Fatores de Emissão'!$E$252+'Combustão Móvel'!O220*'Fatores de Emissão'!$E$248+'Combustão Móvel'!P220*'Fatores de Emissão'!$E$249))</f>
        <v/>
      </c>
    </row>
    <row r="221" spans="2:17" s="314" customFormat="1" ht="19.899999999999999" hidden="1" customHeight="1" outlineLevel="2" x14ac:dyDescent="0.35">
      <c r="B221" s="454"/>
      <c r="C221" s="194"/>
      <c r="D221" s="194"/>
      <c r="E221" s="342"/>
      <c r="F221" s="546"/>
      <c r="G221" s="342"/>
      <c r="H221" s="456"/>
      <c r="I221" s="456"/>
      <c r="J221" s="544" t="str">
        <f>IF(D221="","",VLOOKUP(D221,'Fatores de Emissão'!$D$105:$F$108,3,FALSE))</f>
        <v/>
      </c>
      <c r="K221" s="1024" t="str">
        <f>IF(OR(D221="",D221="-"),"",VLOOKUP(D221,'Fatores de Emissão'!$D$105:$E$108,2,FALSE))</f>
        <v/>
      </c>
      <c r="L221" s="1024" t="str">
        <f>IF(OR(D221="",D221="-"),"",VLOOKUP(D221,'Fatores de Emissão'!$D$105:$G$108,4,FALSE))</f>
        <v/>
      </c>
      <c r="M221" s="1024" t="str">
        <f>IF(OR(D221="",D221="-"),"",VLOOKUP(D221,'Fatores de Emissão'!$D$105:$I$108,6,FALSE))</f>
        <v/>
      </c>
      <c r="N221" s="1024" t="str">
        <f t="shared" si="3"/>
        <v/>
      </c>
      <c r="O221" s="1024" t="str">
        <f t="shared" si="1"/>
        <v/>
      </c>
      <c r="P221" s="544" t="str">
        <f t="shared" si="4"/>
        <v/>
      </c>
      <c r="Q221" s="961" t="str">
        <f>IF(B221="","",IF(D221="","",N221*'Fatores de Emissão'!$E$252+'Combustão Móvel'!O221*'Fatores de Emissão'!$E$248+'Combustão Móvel'!P221*'Fatores de Emissão'!$E$249))</f>
        <v/>
      </c>
    </row>
    <row r="222" spans="2:17" s="314" customFormat="1" ht="19.899999999999999" hidden="1" customHeight="1" outlineLevel="2" x14ac:dyDescent="0.35">
      <c r="B222" s="454"/>
      <c r="C222" s="194"/>
      <c r="D222" s="194"/>
      <c r="E222" s="342"/>
      <c r="F222" s="546"/>
      <c r="G222" s="342"/>
      <c r="H222" s="456"/>
      <c r="I222" s="456"/>
      <c r="J222" s="544" t="str">
        <f>IF(D222="","",VLOOKUP(D222,'Fatores de Emissão'!$D$105:$F$108,3,FALSE))</f>
        <v/>
      </c>
      <c r="K222" s="1024" t="str">
        <f>IF(OR(D222="",D222="-"),"",VLOOKUP(D222,'Fatores de Emissão'!$D$105:$E$108,2,FALSE))</f>
        <v/>
      </c>
      <c r="L222" s="1024" t="str">
        <f>IF(OR(D222="",D222="-"),"",VLOOKUP(D222,'Fatores de Emissão'!$D$105:$G$108,4,FALSE))</f>
        <v/>
      </c>
      <c r="M222" s="1024" t="str">
        <f>IF(OR(D222="",D222="-"),"",VLOOKUP(D222,'Fatores de Emissão'!$D$105:$I$108,6,FALSE))</f>
        <v/>
      </c>
      <c r="N222" s="1024" t="str">
        <f t="shared" si="3"/>
        <v/>
      </c>
      <c r="O222" s="1024" t="str">
        <f t="shared" si="1"/>
        <v/>
      </c>
      <c r="P222" s="544" t="str">
        <f t="shared" si="4"/>
        <v/>
      </c>
      <c r="Q222" s="961" t="str">
        <f>IF(B222="","",IF(D222="","",N222*'Fatores de Emissão'!$E$252+'Combustão Móvel'!O222*'Fatores de Emissão'!$E$248+'Combustão Móvel'!P222*'Fatores de Emissão'!$E$249))</f>
        <v/>
      </c>
    </row>
    <row r="223" spans="2:17" s="314" customFormat="1" ht="19.899999999999999" hidden="1" customHeight="1" outlineLevel="2" x14ac:dyDescent="0.35">
      <c r="B223" s="454"/>
      <c r="C223" s="194"/>
      <c r="D223" s="194"/>
      <c r="E223" s="342"/>
      <c r="F223" s="546"/>
      <c r="G223" s="342"/>
      <c r="H223" s="456"/>
      <c r="I223" s="456"/>
      <c r="J223" s="544" t="str">
        <f>IF(D223="","",VLOOKUP(D223,'Fatores de Emissão'!$D$105:$F$108,3,FALSE))</f>
        <v/>
      </c>
      <c r="K223" s="1024" t="str">
        <f>IF(OR(D223="",D223="-"),"",VLOOKUP(D223,'Fatores de Emissão'!$D$105:$E$108,2,FALSE))</f>
        <v/>
      </c>
      <c r="L223" s="1024" t="str">
        <f>IF(OR(D223="",D223="-"),"",VLOOKUP(D223,'Fatores de Emissão'!$D$105:$G$108,4,FALSE))</f>
        <v/>
      </c>
      <c r="M223" s="1024" t="str">
        <f>IF(OR(D223="",D223="-"),"",VLOOKUP(D223,'Fatores de Emissão'!$D$105:$I$108,6,FALSE))</f>
        <v/>
      </c>
      <c r="N223" s="1024" t="str">
        <f t="shared" si="3"/>
        <v/>
      </c>
      <c r="O223" s="1024" t="str">
        <f t="shared" si="1"/>
        <v/>
      </c>
      <c r="P223" s="544" t="str">
        <f t="shared" si="4"/>
        <v/>
      </c>
      <c r="Q223" s="961" t="str">
        <f>IF(B223="","",IF(D223="","",N223*'Fatores de Emissão'!$E$252+'Combustão Móvel'!O223*'Fatores de Emissão'!$E$248+'Combustão Móvel'!P223*'Fatores de Emissão'!$E$249))</f>
        <v/>
      </c>
    </row>
    <row r="224" spans="2:17" s="314" customFormat="1" ht="19.899999999999999" hidden="1" customHeight="1" outlineLevel="2" x14ac:dyDescent="0.35">
      <c r="B224" s="454"/>
      <c r="C224" s="194"/>
      <c r="D224" s="194"/>
      <c r="E224" s="342"/>
      <c r="F224" s="546"/>
      <c r="G224" s="342"/>
      <c r="H224" s="456"/>
      <c r="I224" s="456"/>
      <c r="J224" s="544" t="str">
        <f>IF(D224="","",VLOOKUP(D224,'Fatores de Emissão'!$D$105:$F$108,3,FALSE))</f>
        <v/>
      </c>
      <c r="K224" s="1024" t="str">
        <f>IF(OR(D224="",D224="-"),"",VLOOKUP(D224,'Fatores de Emissão'!$D$105:$E$108,2,FALSE))</f>
        <v/>
      </c>
      <c r="L224" s="1024" t="str">
        <f>IF(OR(D224="",D224="-"),"",VLOOKUP(D224,'Fatores de Emissão'!$D$105:$G$108,4,FALSE))</f>
        <v/>
      </c>
      <c r="M224" s="1024" t="str">
        <f>IF(OR(D224="",D224="-"),"",VLOOKUP(D224,'Fatores de Emissão'!$D$105:$I$108,6,FALSE))</f>
        <v/>
      </c>
      <c r="N224" s="1024" t="str">
        <f t="shared" si="3"/>
        <v/>
      </c>
      <c r="O224" s="1024" t="str">
        <f t="shared" si="1"/>
        <v/>
      </c>
      <c r="P224" s="544" t="str">
        <f t="shared" si="4"/>
        <v/>
      </c>
      <c r="Q224" s="961" t="str">
        <f>IF(B224="","",IF(D224="","",N224*'Fatores de Emissão'!$E$252+'Combustão Móvel'!O224*'Fatores de Emissão'!$E$248+'Combustão Móvel'!P224*'Fatores de Emissão'!$E$249))</f>
        <v/>
      </c>
    </row>
    <row r="225" spans="2:17" s="314" customFormat="1" ht="19.899999999999999" hidden="1" customHeight="1" outlineLevel="2" x14ac:dyDescent="0.35">
      <c r="B225" s="454"/>
      <c r="C225" s="194"/>
      <c r="D225" s="194"/>
      <c r="E225" s="342"/>
      <c r="F225" s="546"/>
      <c r="G225" s="342"/>
      <c r="H225" s="456"/>
      <c r="I225" s="456"/>
      <c r="J225" s="544" t="str">
        <f>IF(D225="","",VLOOKUP(D225,'Fatores de Emissão'!$D$105:$F$108,3,FALSE))</f>
        <v/>
      </c>
      <c r="K225" s="1024" t="str">
        <f>IF(OR(D225="",D225="-"),"",VLOOKUP(D225,'Fatores de Emissão'!$D$105:$E$108,2,FALSE))</f>
        <v/>
      </c>
      <c r="L225" s="1024" t="str">
        <f>IF(OR(D225="",D225="-"),"",VLOOKUP(D225,'Fatores de Emissão'!$D$105:$G$108,4,FALSE))</f>
        <v/>
      </c>
      <c r="M225" s="1024" t="str">
        <f>IF(OR(D225="",D225="-"),"",VLOOKUP(D225,'Fatores de Emissão'!$D$105:$I$108,6,FALSE))</f>
        <v/>
      </c>
      <c r="N225" s="1024" t="str">
        <f t="shared" si="3"/>
        <v/>
      </c>
      <c r="O225" s="1024" t="str">
        <f t="shared" si="1"/>
        <v/>
      </c>
      <c r="P225" s="544" t="str">
        <f t="shared" si="4"/>
        <v/>
      </c>
      <c r="Q225" s="961" t="str">
        <f>IF(B225="","",IF(D225="","",N225*'Fatores de Emissão'!$E$252+'Combustão Móvel'!O225*'Fatores de Emissão'!$E$248+'Combustão Móvel'!P225*'Fatores de Emissão'!$E$249))</f>
        <v/>
      </c>
    </row>
    <row r="226" spans="2:17" s="314" customFormat="1" ht="19.899999999999999" hidden="1" customHeight="1" outlineLevel="2" x14ac:dyDescent="0.35">
      <c r="B226" s="454"/>
      <c r="C226" s="194"/>
      <c r="D226" s="194"/>
      <c r="E226" s="342"/>
      <c r="F226" s="546"/>
      <c r="G226" s="342"/>
      <c r="H226" s="456"/>
      <c r="I226" s="456"/>
      <c r="J226" s="544" t="str">
        <f>IF(D226="","",VLOOKUP(D226,'Fatores de Emissão'!$D$105:$F$108,3,FALSE))</f>
        <v/>
      </c>
      <c r="K226" s="1024" t="str">
        <f>IF(OR(D226="",D226="-"),"",VLOOKUP(D226,'Fatores de Emissão'!$D$105:$E$108,2,FALSE))</f>
        <v/>
      </c>
      <c r="L226" s="1024" t="str">
        <f>IF(OR(D226="",D226="-"),"",VLOOKUP(D226,'Fatores de Emissão'!$D$105:$G$108,4,FALSE))</f>
        <v/>
      </c>
      <c r="M226" s="1024" t="str">
        <f>IF(OR(D226="",D226="-"),"",VLOOKUP(D226,'Fatores de Emissão'!$D$105:$I$108,6,FALSE))</f>
        <v/>
      </c>
      <c r="N226" s="1024" t="str">
        <f t="shared" si="3"/>
        <v/>
      </c>
      <c r="O226" s="1024" t="str">
        <f t="shared" si="1"/>
        <v/>
      </c>
      <c r="P226" s="544" t="str">
        <f t="shared" si="4"/>
        <v/>
      </c>
      <c r="Q226" s="961" t="str">
        <f>IF(B226="","",IF(D226="","",N226*'Fatores de Emissão'!$E$252+'Combustão Móvel'!O226*'Fatores de Emissão'!$E$248+'Combustão Móvel'!P226*'Fatores de Emissão'!$E$249))</f>
        <v/>
      </c>
    </row>
    <row r="227" spans="2:17" s="314" customFormat="1" ht="19.899999999999999" hidden="1" customHeight="1" outlineLevel="2" x14ac:dyDescent="0.35">
      <c r="B227" s="454"/>
      <c r="C227" s="194"/>
      <c r="D227" s="194"/>
      <c r="E227" s="342"/>
      <c r="F227" s="546"/>
      <c r="G227" s="342"/>
      <c r="H227" s="456"/>
      <c r="I227" s="456"/>
      <c r="J227" s="544" t="str">
        <f>IF(D227="","",VLOOKUP(D227,'Fatores de Emissão'!$D$105:$F$108,3,FALSE))</f>
        <v/>
      </c>
      <c r="K227" s="1024" t="str">
        <f>IF(OR(D227="",D227="-"),"",VLOOKUP(D227,'Fatores de Emissão'!$D$105:$E$108,2,FALSE))</f>
        <v/>
      </c>
      <c r="L227" s="1024" t="str">
        <f>IF(OR(D227="",D227="-"),"",VLOOKUP(D227,'Fatores de Emissão'!$D$105:$G$108,4,FALSE))</f>
        <v/>
      </c>
      <c r="M227" s="1024" t="str">
        <f>IF(OR(D227="",D227="-"),"",VLOOKUP(D227,'Fatores de Emissão'!$D$105:$I$108,6,FALSE))</f>
        <v/>
      </c>
      <c r="N227" s="1024" t="str">
        <f t="shared" si="3"/>
        <v/>
      </c>
      <c r="O227" s="1024" t="str">
        <f t="shared" si="1"/>
        <v/>
      </c>
      <c r="P227" s="544" t="str">
        <f t="shared" si="4"/>
        <v/>
      </c>
      <c r="Q227" s="961" t="str">
        <f>IF(B227="","",IF(D227="","",N227*'Fatores de Emissão'!$E$252+'Combustão Móvel'!O227*'Fatores de Emissão'!$E$248+'Combustão Móvel'!P227*'Fatores de Emissão'!$E$249))</f>
        <v/>
      </c>
    </row>
    <row r="228" spans="2:17" s="314" customFormat="1" ht="19.899999999999999" hidden="1" customHeight="1" outlineLevel="2" x14ac:dyDescent="0.35">
      <c r="B228" s="454"/>
      <c r="C228" s="194"/>
      <c r="D228" s="194"/>
      <c r="E228" s="342"/>
      <c r="F228" s="546"/>
      <c r="G228" s="342"/>
      <c r="H228" s="456"/>
      <c r="I228" s="456"/>
      <c r="J228" s="544" t="str">
        <f>IF(D228="","",VLOOKUP(D228,'Fatores de Emissão'!$D$105:$F$108,3,FALSE))</f>
        <v/>
      </c>
      <c r="K228" s="1024" t="str">
        <f>IF(OR(D228="",D228="-"),"",VLOOKUP(D228,'Fatores de Emissão'!$D$105:$E$108,2,FALSE))</f>
        <v/>
      </c>
      <c r="L228" s="1024" t="str">
        <f>IF(OR(D228="",D228="-"),"",VLOOKUP(D228,'Fatores de Emissão'!$D$105:$G$108,4,FALSE))</f>
        <v/>
      </c>
      <c r="M228" s="1024" t="str">
        <f>IF(OR(D228="",D228="-"),"",VLOOKUP(D228,'Fatores de Emissão'!$D$105:$I$108,6,FALSE))</f>
        <v/>
      </c>
      <c r="N228" s="1024" t="str">
        <f t="shared" si="3"/>
        <v/>
      </c>
      <c r="O228" s="1024" t="str">
        <f t="shared" si="1"/>
        <v/>
      </c>
      <c r="P228" s="544" t="str">
        <f t="shared" si="4"/>
        <v/>
      </c>
      <c r="Q228" s="961" t="str">
        <f>IF(B228="","",IF(D228="","",N228*'Fatores de Emissão'!$E$252+'Combustão Móvel'!O228*'Fatores de Emissão'!$E$248+'Combustão Móvel'!P228*'Fatores de Emissão'!$E$249))</f>
        <v/>
      </c>
    </row>
    <row r="229" spans="2:17" s="314" customFormat="1" ht="19.899999999999999" hidden="1" customHeight="1" outlineLevel="2" x14ac:dyDescent="0.35">
      <c r="B229" s="454"/>
      <c r="C229" s="194"/>
      <c r="D229" s="194"/>
      <c r="E229" s="342"/>
      <c r="F229" s="546"/>
      <c r="G229" s="342"/>
      <c r="H229" s="456"/>
      <c r="I229" s="456"/>
      <c r="J229" s="544" t="str">
        <f>IF(D229="","",VLOOKUP(D229,'Fatores de Emissão'!$D$105:$F$108,3,FALSE))</f>
        <v/>
      </c>
      <c r="K229" s="1024" t="str">
        <f>IF(OR(D229="",D229="-"),"",VLOOKUP(D229,'Fatores de Emissão'!$D$105:$E$108,2,FALSE))</f>
        <v/>
      </c>
      <c r="L229" s="1024" t="str">
        <f>IF(OR(D229="",D229="-"),"",VLOOKUP(D229,'Fatores de Emissão'!$D$105:$G$108,4,FALSE))</f>
        <v/>
      </c>
      <c r="M229" s="1024" t="str">
        <f>IF(OR(D229="",D229="-"),"",VLOOKUP(D229,'Fatores de Emissão'!$D$105:$I$108,6,FALSE))</f>
        <v/>
      </c>
      <c r="N229" s="1024" t="str">
        <f t="shared" si="3"/>
        <v/>
      </c>
      <c r="O229" s="1024" t="str">
        <f t="shared" si="1"/>
        <v/>
      </c>
      <c r="P229" s="544" t="str">
        <f t="shared" si="4"/>
        <v/>
      </c>
      <c r="Q229" s="961" t="str">
        <f>IF(B229="","",IF(D229="","",N229*'Fatores de Emissão'!$E$252+'Combustão Móvel'!O229*'Fatores de Emissão'!$E$248+'Combustão Móvel'!P229*'Fatores de Emissão'!$E$249))</f>
        <v/>
      </c>
    </row>
    <row r="230" spans="2:17" s="314" customFormat="1" ht="19.899999999999999" hidden="1" customHeight="1" outlineLevel="2" x14ac:dyDescent="0.35">
      <c r="B230" s="454"/>
      <c r="C230" s="194"/>
      <c r="D230" s="194"/>
      <c r="E230" s="342"/>
      <c r="F230" s="546"/>
      <c r="G230" s="342"/>
      <c r="H230" s="456"/>
      <c r="I230" s="456"/>
      <c r="J230" s="544" t="str">
        <f>IF(D230="","",VLOOKUP(D230,'Fatores de Emissão'!$D$105:$F$108,3,FALSE))</f>
        <v/>
      </c>
      <c r="K230" s="1024" t="str">
        <f>IF(OR(D230="",D230="-"),"",VLOOKUP(D230,'Fatores de Emissão'!$D$105:$E$108,2,FALSE))</f>
        <v/>
      </c>
      <c r="L230" s="1024" t="str">
        <f>IF(OR(D230="",D230="-"),"",VLOOKUP(D230,'Fatores de Emissão'!$D$105:$G$108,4,FALSE))</f>
        <v/>
      </c>
      <c r="M230" s="1024" t="str">
        <f>IF(OR(D230="",D230="-"),"",VLOOKUP(D230,'Fatores de Emissão'!$D$105:$I$108,6,FALSE))</f>
        <v/>
      </c>
      <c r="N230" s="1024" t="str">
        <f t="shared" si="3"/>
        <v/>
      </c>
      <c r="O230" s="1024" t="str">
        <f t="shared" si="1"/>
        <v/>
      </c>
      <c r="P230" s="544" t="str">
        <f t="shared" si="4"/>
        <v/>
      </c>
      <c r="Q230" s="961" t="str">
        <f>IF(B230="","",IF(D230="","",N230*'Fatores de Emissão'!$E$252+'Combustão Móvel'!O230*'Fatores de Emissão'!$E$248+'Combustão Móvel'!P230*'Fatores de Emissão'!$E$249))</f>
        <v/>
      </c>
    </row>
    <row r="231" spans="2:17" s="314" customFormat="1" ht="19.899999999999999" hidden="1" customHeight="1" outlineLevel="2" x14ac:dyDescent="0.35">
      <c r="B231" s="454"/>
      <c r="C231" s="194"/>
      <c r="D231" s="194"/>
      <c r="E231" s="342"/>
      <c r="F231" s="546"/>
      <c r="G231" s="342"/>
      <c r="H231" s="456"/>
      <c r="I231" s="456"/>
      <c r="J231" s="544" t="str">
        <f>IF(D231="","",VLOOKUP(D231,'Fatores de Emissão'!$D$105:$F$108,3,FALSE))</f>
        <v/>
      </c>
      <c r="K231" s="1024" t="str">
        <f>IF(OR(D231="",D231="-"),"",VLOOKUP(D231,'Fatores de Emissão'!$D$105:$E$108,2,FALSE))</f>
        <v/>
      </c>
      <c r="L231" s="1024" t="str">
        <f>IF(OR(D231="",D231="-"),"",VLOOKUP(D231,'Fatores de Emissão'!$D$105:$G$108,4,FALSE))</f>
        <v/>
      </c>
      <c r="M231" s="1024" t="str">
        <f>IF(OR(D231="",D231="-"),"",VLOOKUP(D231,'Fatores de Emissão'!$D$105:$I$108,6,FALSE))</f>
        <v/>
      </c>
      <c r="N231" s="1024" t="str">
        <f t="shared" si="3"/>
        <v/>
      </c>
      <c r="O231" s="1024" t="str">
        <f t="shared" si="1"/>
        <v/>
      </c>
      <c r="P231" s="544" t="str">
        <f t="shared" si="4"/>
        <v/>
      </c>
      <c r="Q231" s="961" t="str">
        <f>IF(B231="","",IF(D231="","",N231*'Fatores de Emissão'!$E$252+'Combustão Móvel'!O231*'Fatores de Emissão'!$E$248+'Combustão Móvel'!P231*'Fatores de Emissão'!$E$249))</f>
        <v/>
      </c>
    </row>
    <row r="232" spans="2:17" s="314" customFormat="1" ht="19.899999999999999" hidden="1" customHeight="1" outlineLevel="2" x14ac:dyDescent="0.35">
      <c r="B232" s="454"/>
      <c r="C232" s="194"/>
      <c r="D232" s="194"/>
      <c r="E232" s="342"/>
      <c r="F232" s="546"/>
      <c r="G232" s="342"/>
      <c r="H232" s="456"/>
      <c r="I232" s="456"/>
      <c r="J232" s="544" t="str">
        <f>IF(D232="","",VLOOKUP(D232,'Fatores de Emissão'!$D$105:$F$108,3,FALSE))</f>
        <v/>
      </c>
      <c r="K232" s="1024" t="str">
        <f>IF(OR(D232="",D232="-"),"",VLOOKUP(D232,'Fatores de Emissão'!$D$105:$E$108,2,FALSE))</f>
        <v/>
      </c>
      <c r="L232" s="1024" t="str">
        <f>IF(OR(D232="",D232="-"),"",VLOOKUP(D232,'Fatores de Emissão'!$D$105:$G$108,4,FALSE))</f>
        <v/>
      </c>
      <c r="M232" s="1024" t="str">
        <f>IF(OR(D232="",D232="-"),"",VLOOKUP(D232,'Fatores de Emissão'!$D$105:$I$108,6,FALSE))</f>
        <v/>
      </c>
      <c r="N232" s="1024" t="str">
        <f t="shared" si="3"/>
        <v/>
      </c>
      <c r="O232" s="1024" t="str">
        <f t="shared" si="1"/>
        <v/>
      </c>
      <c r="P232" s="544" t="str">
        <f t="shared" ref="P232:P268" si="5">IF(D232="","",IF(J232="kg/km",E232*M232/1000,IF(J232="kg/p.km",E232*F232*M232/1000,E232*G232*M232/1000)))</f>
        <v/>
      </c>
      <c r="Q232" s="961" t="str">
        <f>IF(B232="","",IF(D232="","",N232*'Fatores de Emissão'!$E$252+'Combustão Móvel'!O232*'Fatores de Emissão'!$E$248+'Combustão Móvel'!P232*'Fatores de Emissão'!$E$249))</f>
        <v/>
      </c>
    </row>
    <row r="233" spans="2:17" s="314" customFormat="1" ht="19.899999999999999" hidden="1" customHeight="1" outlineLevel="2" x14ac:dyDescent="0.35">
      <c r="B233" s="454"/>
      <c r="C233" s="194"/>
      <c r="D233" s="194"/>
      <c r="E233" s="342"/>
      <c r="F233" s="546"/>
      <c r="G233" s="342"/>
      <c r="H233" s="456"/>
      <c r="I233" s="456"/>
      <c r="J233" s="544" t="str">
        <f>IF(D233="","",VLOOKUP(D233,'Fatores de Emissão'!$D$105:$F$108,3,FALSE))</f>
        <v/>
      </c>
      <c r="K233" s="1024" t="str">
        <f>IF(OR(D233="",D233="-"),"",VLOOKUP(D233,'Fatores de Emissão'!$D$105:$E$108,2,FALSE))</f>
        <v/>
      </c>
      <c r="L233" s="1024" t="str">
        <f>IF(OR(D233="",D233="-"),"",VLOOKUP(D233,'Fatores de Emissão'!$D$105:$G$108,4,FALSE))</f>
        <v/>
      </c>
      <c r="M233" s="1024" t="str">
        <f>IF(OR(D233="",D233="-"),"",VLOOKUP(D233,'Fatores de Emissão'!$D$105:$I$108,6,FALSE))</f>
        <v/>
      </c>
      <c r="N233" s="1024" t="str">
        <f t="shared" si="3"/>
        <v/>
      </c>
      <c r="O233" s="1024" t="str">
        <f t="shared" ref="O233:O268" si="6">IF(D233="","",IF(J233="kg/km",E233*L233/1000,IF(J233="kg/p.km",E233*F233*L233/1000,E233*G233*L233/1000)))</f>
        <v/>
      </c>
      <c r="P233" s="544" t="str">
        <f t="shared" si="5"/>
        <v/>
      </c>
      <c r="Q233" s="961" t="str">
        <f>IF(B233="","",IF(D233="","",N233*'Fatores de Emissão'!$E$252+'Combustão Móvel'!O233*'Fatores de Emissão'!$E$248+'Combustão Móvel'!P233*'Fatores de Emissão'!$E$249))</f>
        <v/>
      </c>
    </row>
    <row r="234" spans="2:17" s="314" customFormat="1" ht="19.899999999999999" hidden="1" customHeight="1" outlineLevel="2" x14ac:dyDescent="0.35">
      <c r="B234" s="454"/>
      <c r="C234" s="194"/>
      <c r="D234" s="194"/>
      <c r="E234" s="342"/>
      <c r="F234" s="546"/>
      <c r="G234" s="342"/>
      <c r="H234" s="456"/>
      <c r="I234" s="456"/>
      <c r="J234" s="544" t="str">
        <f>IF(D234="","",VLOOKUP(D234,'Fatores de Emissão'!$D$105:$F$108,3,FALSE))</f>
        <v/>
      </c>
      <c r="K234" s="1024" t="str">
        <f>IF(OR(D234="",D234="-"),"",VLOOKUP(D234,'Fatores de Emissão'!$D$105:$E$108,2,FALSE))</f>
        <v/>
      </c>
      <c r="L234" s="1024" t="str">
        <f>IF(OR(D234="",D234="-"),"",VLOOKUP(D234,'Fatores de Emissão'!$D$105:$G$108,4,FALSE))</f>
        <v/>
      </c>
      <c r="M234" s="1024" t="str">
        <f>IF(OR(D234="",D234="-"),"",VLOOKUP(D234,'Fatores de Emissão'!$D$105:$I$108,6,FALSE))</f>
        <v/>
      </c>
      <c r="N234" s="1024" t="str">
        <f t="shared" ref="N234:N268" si="7">IF(D234="","",IF(J234="kg/km",E234*K234/1000,IF(J234="kg/p.km",E234*F234*K234/1000,E234*G234*K234/1000)))</f>
        <v/>
      </c>
      <c r="O234" s="1024" t="str">
        <f t="shared" si="6"/>
        <v/>
      </c>
      <c r="P234" s="544" t="str">
        <f t="shared" si="5"/>
        <v/>
      </c>
      <c r="Q234" s="961" t="str">
        <f>IF(B234="","",IF(D234="","",N234*'Fatores de Emissão'!$E$252+'Combustão Móvel'!O234*'Fatores de Emissão'!$E$248+'Combustão Móvel'!P234*'Fatores de Emissão'!$E$249))</f>
        <v/>
      </c>
    </row>
    <row r="235" spans="2:17" s="314" customFormat="1" ht="19.899999999999999" hidden="1" customHeight="1" outlineLevel="2" x14ac:dyDescent="0.35">
      <c r="B235" s="454"/>
      <c r="C235" s="194"/>
      <c r="D235" s="194"/>
      <c r="E235" s="342"/>
      <c r="F235" s="546"/>
      <c r="G235" s="342"/>
      <c r="H235" s="456"/>
      <c r="I235" s="456"/>
      <c r="J235" s="544" t="str">
        <f>IF(D235="","",VLOOKUP(D235,'Fatores de Emissão'!$D$105:$F$108,3,FALSE))</f>
        <v/>
      </c>
      <c r="K235" s="1024" t="str">
        <f>IF(OR(D235="",D235="-"),"",VLOOKUP(D235,'Fatores de Emissão'!$D$105:$E$108,2,FALSE))</f>
        <v/>
      </c>
      <c r="L235" s="1024" t="str">
        <f>IF(OR(D235="",D235="-"),"",VLOOKUP(D235,'Fatores de Emissão'!$D$105:$G$108,4,FALSE))</f>
        <v/>
      </c>
      <c r="M235" s="1024" t="str">
        <f>IF(OR(D235="",D235="-"),"",VLOOKUP(D235,'Fatores de Emissão'!$D$105:$I$108,6,FALSE))</f>
        <v/>
      </c>
      <c r="N235" s="1024" t="str">
        <f t="shared" si="7"/>
        <v/>
      </c>
      <c r="O235" s="1024" t="str">
        <f t="shared" si="6"/>
        <v/>
      </c>
      <c r="P235" s="544" t="str">
        <f t="shared" si="5"/>
        <v/>
      </c>
      <c r="Q235" s="961" t="str">
        <f>IF(B235="","",IF(D235="","",N235*'Fatores de Emissão'!$E$252+'Combustão Móvel'!O235*'Fatores de Emissão'!$E$248+'Combustão Móvel'!P235*'Fatores de Emissão'!$E$249))</f>
        <v/>
      </c>
    </row>
    <row r="236" spans="2:17" s="314" customFormat="1" ht="19.899999999999999" hidden="1" customHeight="1" outlineLevel="2" x14ac:dyDescent="0.35">
      <c r="B236" s="454"/>
      <c r="C236" s="194"/>
      <c r="D236" s="194"/>
      <c r="E236" s="342"/>
      <c r="F236" s="546"/>
      <c r="G236" s="342"/>
      <c r="H236" s="456"/>
      <c r="I236" s="456"/>
      <c r="J236" s="544" t="str">
        <f>IF(D236="","",VLOOKUP(D236,'Fatores de Emissão'!$D$105:$F$108,3,FALSE))</f>
        <v/>
      </c>
      <c r="K236" s="1024" t="str">
        <f>IF(OR(D236="",D236="-"),"",VLOOKUP(D236,'Fatores de Emissão'!$D$105:$E$108,2,FALSE))</f>
        <v/>
      </c>
      <c r="L236" s="1024" t="str">
        <f>IF(OR(D236="",D236="-"),"",VLOOKUP(D236,'Fatores de Emissão'!$D$105:$G$108,4,FALSE))</f>
        <v/>
      </c>
      <c r="M236" s="1024" t="str">
        <f>IF(OR(D236="",D236="-"),"",VLOOKUP(D236,'Fatores de Emissão'!$D$105:$I$108,6,FALSE))</f>
        <v/>
      </c>
      <c r="N236" s="1024" t="str">
        <f t="shared" si="7"/>
        <v/>
      </c>
      <c r="O236" s="1024" t="str">
        <f t="shared" si="6"/>
        <v/>
      </c>
      <c r="P236" s="544" t="str">
        <f t="shared" si="5"/>
        <v/>
      </c>
      <c r="Q236" s="961" t="str">
        <f>IF(B236="","",IF(D236="","",N236*'Fatores de Emissão'!$E$252+'Combustão Móvel'!O236*'Fatores de Emissão'!$E$248+'Combustão Móvel'!P236*'Fatores de Emissão'!$E$249))</f>
        <v/>
      </c>
    </row>
    <row r="237" spans="2:17" s="314" customFormat="1" ht="19.899999999999999" hidden="1" customHeight="1" outlineLevel="2" x14ac:dyDescent="0.35">
      <c r="B237" s="454"/>
      <c r="C237" s="194"/>
      <c r="D237" s="194"/>
      <c r="E237" s="342"/>
      <c r="F237" s="546"/>
      <c r="G237" s="342"/>
      <c r="H237" s="456"/>
      <c r="I237" s="456"/>
      <c r="J237" s="544" t="str">
        <f>IF(D237="","",VLOOKUP(D237,'Fatores de Emissão'!$D$105:$F$108,3,FALSE))</f>
        <v/>
      </c>
      <c r="K237" s="1024" t="str">
        <f>IF(OR(D237="",D237="-"),"",VLOOKUP(D237,'Fatores de Emissão'!$D$105:$E$108,2,FALSE))</f>
        <v/>
      </c>
      <c r="L237" s="1024" t="str">
        <f>IF(OR(D237="",D237="-"),"",VLOOKUP(D237,'Fatores de Emissão'!$D$105:$G$108,4,FALSE))</f>
        <v/>
      </c>
      <c r="M237" s="1024" t="str">
        <f>IF(OR(D237="",D237="-"),"",VLOOKUP(D237,'Fatores de Emissão'!$D$105:$I$108,6,FALSE))</f>
        <v/>
      </c>
      <c r="N237" s="1024" t="str">
        <f t="shared" si="7"/>
        <v/>
      </c>
      <c r="O237" s="1024" t="str">
        <f t="shared" si="6"/>
        <v/>
      </c>
      <c r="P237" s="544" t="str">
        <f t="shared" si="5"/>
        <v/>
      </c>
      <c r="Q237" s="961" t="str">
        <f>IF(B237="","",IF(D237="","",N237*'Fatores de Emissão'!$E$252+'Combustão Móvel'!O237*'Fatores de Emissão'!$E$248+'Combustão Móvel'!P237*'Fatores de Emissão'!$E$249))</f>
        <v/>
      </c>
    </row>
    <row r="238" spans="2:17" s="314" customFormat="1" ht="19.899999999999999" hidden="1" customHeight="1" outlineLevel="2" x14ac:dyDescent="0.35">
      <c r="B238" s="454"/>
      <c r="C238" s="194"/>
      <c r="D238" s="194"/>
      <c r="E238" s="342"/>
      <c r="F238" s="546"/>
      <c r="G238" s="342"/>
      <c r="H238" s="456"/>
      <c r="I238" s="456"/>
      <c r="J238" s="544" t="str">
        <f>IF(D238="","",VLOOKUP(D238,'Fatores de Emissão'!$D$105:$F$108,3,FALSE))</f>
        <v/>
      </c>
      <c r="K238" s="1024" t="str">
        <f>IF(OR(D238="",D238="-"),"",VLOOKUP(D238,'Fatores de Emissão'!$D$105:$E$108,2,FALSE))</f>
        <v/>
      </c>
      <c r="L238" s="1024" t="str">
        <f>IF(OR(D238="",D238="-"),"",VLOOKUP(D238,'Fatores de Emissão'!$D$105:$G$108,4,FALSE))</f>
        <v/>
      </c>
      <c r="M238" s="1024" t="str">
        <f>IF(OR(D238="",D238="-"),"",VLOOKUP(D238,'Fatores de Emissão'!$D$105:$I$108,6,FALSE))</f>
        <v/>
      </c>
      <c r="N238" s="1024" t="str">
        <f t="shared" si="7"/>
        <v/>
      </c>
      <c r="O238" s="1024" t="str">
        <f t="shared" si="6"/>
        <v/>
      </c>
      <c r="P238" s="544" t="str">
        <f t="shared" si="5"/>
        <v/>
      </c>
      <c r="Q238" s="961" t="str">
        <f>IF(B238="","",IF(D238="","",N238*'Fatores de Emissão'!$E$252+'Combustão Móvel'!O238*'Fatores de Emissão'!$E$248+'Combustão Móvel'!P238*'Fatores de Emissão'!$E$249))</f>
        <v/>
      </c>
    </row>
    <row r="239" spans="2:17" s="314" customFormat="1" ht="19.899999999999999" hidden="1" customHeight="1" outlineLevel="2" x14ac:dyDescent="0.35">
      <c r="B239" s="454"/>
      <c r="C239" s="194"/>
      <c r="D239" s="194"/>
      <c r="E239" s="342"/>
      <c r="F239" s="546"/>
      <c r="G239" s="342"/>
      <c r="H239" s="456"/>
      <c r="I239" s="456"/>
      <c r="J239" s="544" t="str">
        <f>IF(D239="","",VLOOKUP(D239,'Fatores de Emissão'!$D$105:$F$108,3,FALSE))</f>
        <v/>
      </c>
      <c r="K239" s="1024" t="str">
        <f>IF(OR(D239="",D239="-"),"",VLOOKUP(D239,'Fatores de Emissão'!$D$105:$E$108,2,FALSE))</f>
        <v/>
      </c>
      <c r="L239" s="1024" t="str">
        <f>IF(OR(D239="",D239="-"),"",VLOOKUP(D239,'Fatores de Emissão'!$D$105:$G$108,4,FALSE))</f>
        <v/>
      </c>
      <c r="M239" s="1024" t="str">
        <f>IF(OR(D239="",D239="-"),"",VLOOKUP(D239,'Fatores de Emissão'!$D$105:$I$108,6,FALSE))</f>
        <v/>
      </c>
      <c r="N239" s="1024" t="str">
        <f t="shared" si="7"/>
        <v/>
      </c>
      <c r="O239" s="1024" t="str">
        <f t="shared" si="6"/>
        <v/>
      </c>
      <c r="P239" s="544" t="str">
        <f t="shared" si="5"/>
        <v/>
      </c>
      <c r="Q239" s="961" t="str">
        <f>IF(B239="","",IF(D239="","",N239*'Fatores de Emissão'!$E$252+'Combustão Móvel'!O239*'Fatores de Emissão'!$E$248+'Combustão Móvel'!P239*'Fatores de Emissão'!$E$249))</f>
        <v/>
      </c>
    </row>
    <row r="240" spans="2:17" s="314" customFormat="1" ht="19.899999999999999" hidden="1" customHeight="1" outlineLevel="2" x14ac:dyDescent="0.35">
      <c r="B240" s="454"/>
      <c r="C240" s="194"/>
      <c r="D240" s="194"/>
      <c r="E240" s="342"/>
      <c r="F240" s="546"/>
      <c r="G240" s="342"/>
      <c r="H240" s="456"/>
      <c r="I240" s="456"/>
      <c r="J240" s="544" t="str">
        <f>IF(D240="","",VLOOKUP(D240,'Fatores de Emissão'!$D$105:$F$108,3,FALSE))</f>
        <v/>
      </c>
      <c r="K240" s="1024" t="str">
        <f>IF(OR(D240="",D240="-"),"",VLOOKUP(D240,'Fatores de Emissão'!$D$105:$E$108,2,FALSE))</f>
        <v/>
      </c>
      <c r="L240" s="1024" t="str">
        <f>IF(OR(D240="",D240="-"),"",VLOOKUP(D240,'Fatores de Emissão'!$D$105:$G$108,4,FALSE))</f>
        <v/>
      </c>
      <c r="M240" s="1024" t="str">
        <f>IF(OR(D240="",D240="-"),"",VLOOKUP(D240,'Fatores de Emissão'!$D$105:$I$108,6,FALSE))</f>
        <v/>
      </c>
      <c r="N240" s="1024" t="str">
        <f t="shared" si="7"/>
        <v/>
      </c>
      <c r="O240" s="1024" t="str">
        <f t="shared" si="6"/>
        <v/>
      </c>
      <c r="P240" s="544" t="str">
        <f t="shared" si="5"/>
        <v/>
      </c>
      <c r="Q240" s="961" t="str">
        <f>IF(B240="","",IF(D240="","",N240*'Fatores de Emissão'!$E$252+'Combustão Móvel'!O240*'Fatores de Emissão'!$E$248+'Combustão Móvel'!P240*'Fatores de Emissão'!$E$249))</f>
        <v/>
      </c>
    </row>
    <row r="241" spans="2:17" s="314" customFormat="1" ht="19.899999999999999" hidden="1" customHeight="1" outlineLevel="2" x14ac:dyDescent="0.35">
      <c r="B241" s="454"/>
      <c r="C241" s="194"/>
      <c r="D241" s="194"/>
      <c r="E241" s="342"/>
      <c r="F241" s="546"/>
      <c r="G241" s="342"/>
      <c r="H241" s="456"/>
      <c r="I241" s="456"/>
      <c r="J241" s="544" t="str">
        <f>IF(D241="","",VLOOKUP(D241,'Fatores de Emissão'!$D$105:$F$108,3,FALSE))</f>
        <v/>
      </c>
      <c r="K241" s="1024" t="str">
        <f>IF(OR(D241="",D241="-"),"",VLOOKUP(D241,'Fatores de Emissão'!$D$105:$E$108,2,FALSE))</f>
        <v/>
      </c>
      <c r="L241" s="1024" t="str">
        <f>IF(OR(D241="",D241="-"),"",VLOOKUP(D241,'Fatores de Emissão'!$D$105:$G$108,4,FALSE))</f>
        <v/>
      </c>
      <c r="M241" s="1024" t="str">
        <f>IF(OR(D241="",D241="-"),"",VLOOKUP(D241,'Fatores de Emissão'!$D$105:$I$108,6,FALSE))</f>
        <v/>
      </c>
      <c r="N241" s="1024" t="str">
        <f t="shared" si="7"/>
        <v/>
      </c>
      <c r="O241" s="1024" t="str">
        <f t="shared" si="6"/>
        <v/>
      </c>
      <c r="P241" s="544" t="str">
        <f t="shared" si="5"/>
        <v/>
      </c>
      <c r="Q241" s="961" t="str">
        <f>IF(B241="","",IF(D241="","",N241*'Fatores de Emissão'!$E$252+'Combustão Móvel'!O241*'Fatores de Emissão'!$E$248+'Combustão Móvel'!P241*'Fatores de Emissão'!$E$249))</f>
        <v/>
      </c>
    </row>
    <row r="242" spans="2:17" s="314" customFormat="1" ht="19.899999999999999" hidden="1" customHeight="1" outlineLevel="2" x14ac:dyDescent="0.35">
      <c r="B242" s="454"/>
      <c r="C242" s="194"/>
      <c r="D242" s="194"/>
      <c r="E242" s="342"/>
      <c r="F242" s="546"/>
      <c r="G242" s="342"/>
      <c r="H242" s="456"/>
      <c r="I242" s="456"/>
      <c r="J242" s="544" t="str">
        <f>IF(D242="","",VLOOKUP(D242,'Fatores de Emissão'!$D$105:$F$108,3,FALSE))</f>
        <v/>
      </c>
      <c r="K242" s="1024" t="str">
        <f>IF(OR(D242="",D242="-"),"",VLOOKUP(D242,'Fatores de Emissão'!$D$105:$E$108,2,FALSE))</f>
        <v/>
      </c>
      <c r="L242" s="1024" t="str">
        <f>IF(OR(D242="",D242="-"),"",VLOOKUP(D242,'Fatores de Emissão'!$D$105:$G$108,4,FALSE))</f>
        <v/>
      </c>
      <c r="M242" s="1024" t="str">
        <f>IF(OR(D242="",D242="-"),"",VLOOKUP(D242,'Fatores de Emissão'!$D$105:$I$108,6,FALSE))</f>
        <v/>
      </c>
      <c r="N242" s="1024" t="str">
        <f t="shared" si="7"/>
        <v/>
      </c>
      <c r="O242" s="1024" t="str">
        <f t="shared" si="6"/>
        <v/>
      </c>
      <c r="P242" s="544" t="str">
        <f t="shared" si="5"/>
        <v/>
      </c>
      <c r="Q242" s="961" t="str">
        <f>IF(B242="","",IF(D242="","",N242*'Fatores de Emissão'!$E$252+'Combustão Móvel'!O242*'Fatores de Emissão'!$E$248+'Combustão Móvel'!P242*'Fatores de Emissão'!$E$249))</f>
        <v/>
      </c>
    </row>
    <row r="243" spans="2:17" s="314" customFormat="1" ht="19.899999999999999" hidden="1" customHeight="1" outlineLevel="2" x14ac:dyDescent="0.35">
      <c r="B243" s="454"/>
      <c r="C243" s="194"/>
      <c r="D243" s="194"/>
      <c r="E243" s="342"/>
      <c r="F243" s="546"/>
      <c r="G243" s="342"/>
      <c r="H243" s="456"/>
      <c r="I243" s="456"/>
      <c r="J243" s="544" t="str">
        <f>IF(D243="","",VLOOKUP(D243,'Fatores de Emissão'!$D$105:$F$108,3,FALSE))</f>
        <v/>
      </c>
      <c r="K243" s="1024" t="str">
        <f>IF(OR(D243="",D243="-"),"",VLOOKUP(D243,'Fatores de Emissão'!$D$105:$E$108,2,FALSE))</f>
        <v/>
      </c>
      <c r="L243" s="1024" t="str">
        <f>IF(OR(D243="",D243="-"),"",VLOOKUP(D243,'Fatores de Emissão'!$D$105:$G$108,4,FALSE))</f>
        <v/>
      </c>
      <c r="M243" s="1024" t="str">
        <f>IF(OR(D243="",D243="-"),"",VLOOKUP(D243,'Fatores de Emissão'!$D$105:$I$108,6,FALSE))</f>
        <v/>
      </c>
      <c r="N243" s="1024" t="str">
        <f t="shared" si="7"/>
        <v/>
      </c>
      <c r="O243" s="1024" t="str">
        <f t="shared" si="6"/>
        <v/>
      </c>
      <c r="P243" s="544" t="str">
        <f t="shared" si="5"/>
        <v/>
      </c>
      <c r="Q243" s="961" t="str">
        <f>IF(B243="","",IF(D243="","",N243*'Fatores de Emissão'!$E$252+'Combustão Móvel'!O243*'Fatores de Emissão'!$E$248+'Combustão Móvel'!P243*'Fatores de Emissão'!$E$249))</f>
        <v/>
      </c>
    </row>
    <row r="244" spans="2:17" s="314" customFormat="1" ht="19.899999999999999" hidden="1" customHeight="1" outlineLevel="2" x14ac:dyDescent="0.35">
      <c r="B244" s="454"/>
      <c r="C244" s="194"/>
      <c r="D244" s="194"/>
      <c r="E244" s="342"/>
      <c r="F244" s="546"/>
      <c r="G244" s="342"/>
      <c r="H244" s="456"/>
      <c r="I244" s="456"/>
      <c r="J244" s="544" t="str">
        <f>IF(D244="","",VLOOKUP(D244,'Fatores de Emissão'!$D$105:$F$108,3,FALSE))</f>
        <v/>
      </c>
      <c r="K244" s="1024" t="str">
        <f>IF(OR(D244="",D244="-"),"",VLOOKUP(D244,'Fatores de Emissão'!$D$105:$E$108,2,FALSE))</f>
        <v/>
      </c>
      <c r="L244" s="1024" t="str">
        <f>IF(OR(D244="",D244="-"),"",VLOOKUP(D244,'Fatores de Emissão'!$D$105:$G$108,4,FALSE))</f>
        <v/>
      </c>
      <c r="M244" s="1024" t="str">
        <f>IF(OR(D244="",D244="-"),"",VLOOKUP(D244,'Fatores de Emissão'!$D$105:$I$108,6,FALSE))</f>
        <v/>
      </c>
      <c r="N244" s="1024" t="str">
        <f t="shared" si="7"/>
        <v/>
      </c>
      <c r="O244" s="1024" t="str">
        <f t="shared" si="6"/>
        <v/>
      </c>
      <c r="P244" s="544" t="str">
        <f t="shared" si="5"/>
        <v/>
      </c>
      <c r="Q244" s="961" t="str">
        <f>IF(B244="","",IF(D244="","",N244*'Fatores de Emissão'!$E$252+'Combustão Móvel'!O244*'Fatores de Emissão'!$E$248+'Combustão Móvel'!P244*'Fatores de Emissão'!$E$249))</f>
        <v/>
      </c>
    </row>
    <row r="245" spans="2:17" s="314" customFormat="1" ht="19.899999999999999" hidden="1" customHeight="1" outlineLevel="2" x14ac:dyDescent="0.35">
      <c r="B245" s="454"/>
      <c r="C245" s="194"/>
      <c r="D245" s="194"/>
      <c r="E245" s="342"/>
      <c r="F245" s="546"/>
      <c r="G245" s="342"/>
      <c r="H245" s="456"/>
      <c r="I245" s="456"/>
      <c r="J245" s="544" t="str">
        <f>IF(D245="","",VLOOKUP(D245,'Fatores de Emissão'!$D$105:$F$108,3,FALSE))</f>
        <v/>
      </c>
      <c r="K245" s="1024" t="str">
        <f>IF(OR(D245="",D245="-"),"",VLOOKUP(D245,'Fatores de Emissão'!$D$105:$E$108,2,FALSE))</f>
        <v/>
      </c>
      <c r="L245" s="1024" t="str">
        <f>IF(OR(D245="",D245="-"),"",VLOOKUP(D245,'Fatores de Emissão'!$D$105:$G$108,4,FALSE))</f>
        <v/>
      </c>
      <c r="M245" s="1024" t="str">
        <f>IF(OR(D245="",D245="-"),"",VLOOKUP(D245,'Fatores de Emissão'!$D$105:$I$108,6,FALSE))</f>
        <v/>
      </c>
      <c r="N245" s="1024" t="str">
        <f t="shared" si="7"/>
        <v/>
      </c>
      <c r="O245" s="1024" t="str">
        <f t="shared" si="6"/>
        <v/>
      </c>
      <c r="P245" s="544" t="str">
        <f t="shared" si="5"/>
        <v/>
      </c>
      <c r="Q245" s="961" t="str">
        <f>IF(B245="","",IF(D245="","",N245*'Fatores de Emissão'!$E$252+'Combustão Móvel'!O245*'Fatores de Emissão'!$E$248+'Combustão Móvel'!P245*'Fatores de Emissão'!$E$249))</f>
        <v/>
      </c>
    </row>
    <row r="246" spans="2:17" s="314" customFormat="1" ht="19.899999999999999" hidden="1" customHeight="1" outlineLevel="2" x14ac:dyDescent="0.35">
      <c r="B246" s="454"/>
      <c r="C246" s="194"/>
      <c r="D246" s="194"/>
      <c r="E246" s="342"/>
      <c r="F246" s="546"/>
      <c r="G246" s="342"/>
      <c r="H246" s="456"/>
      <c r="I246" s="456"/>
      <c r="J246" s="544" t="str">
        <f>IF(D246="","",VLOOKUP(D246,'Fatores de Emissão'!$D$105:$F$108,3,FALSE))</f>
        <v/>
      </c>
      <c r="K246" s="1024" t="str">
        <f>IF(OR(D246="",D246="-"),"",VLOOKUP(D246,'Fatores de Emissão'!$D$105:$E$108,2,FALSE))</f>
        <v/>
      </c>
      <c r="L246" s="1024" t="str">
        <f>IF(OR(D246="",D246="-"),"",VLOOKUP(D246,'Fatores de Emissão'!$D$105:$G$108,4,FALSE))</f>
        <v/>
      </c>
      <c r="M246" s="1024" t="str">
        <f>IF(OR(D246="",D246="-"),"",VLOOKUP(D246,'Fatores de Emissão'!$D$105:$I$108,6,FALSE))</f>
        <v/>
      </c>
      <c r="N246" s="1024" t="str">
        <f t="shared" si="7"/>
        <v/>
      </c>
      <c r="O246" s="1024" t="str">
        <f t="shared" si="6"/>
        <v/>
      </c>
      <c r="P246" s="544" t="str">
        <f t="shared" si="5"/>
        <v/>
      </c>
      <c r="Q246" s="961" t="str">
        <f>IF(B246="","",IF(D246="","",N246*'Fatores de Emissão'!$E$252+'Combustão Móvel'!O246*'Fatores de Emissão'!$E$248+'Combustão Móvel'!P246*'Fatores de Emissão'!$E$249))</f>
        <v/>
      </c>
    </row>
    <row r="247" spans="2:17" s="314" customFormat="1" ht="19.899999999999999" hidden="1" customHeight="1" outlineLevel="2" x14ac:dyDescent="0.35">
      <c r="B247" s="454"/>
      <c r="C247" s="194"/>
      <c r="D247" s="194"/>
      <c r="E247" s="342"/>
      <c r="F247" s="546"/>
      <c r="G247" s="342"/>
      <c r="H247" s="456"/>
      <c r="I247" s="456"/>
      <c r="J247" s="544" t="str">
        <f>IF(D247="","",VLOOKUP(D247,'Fatores de Emissão'!$D$105:$F$108,3,FALSE))</f>
        <v/>
      </c>
      <c r="K247" s="1024" t="str">
        <f>IF(OR(D247="",D247="-"),"",VLOOKUP(D247,'Fatores de Emissão'!$D$105:$E$108,2,FALSE))</f>
        <v/>
      </c>
      <c r="L247" s="1024" t="str">
        <f>IF(OR(D247="",D247="-"),"",VLOOKUP(D247,'Fatores de Emissão'!$D$105:$G$108,4,FALSE))</f>
        <v/>
      </c>
      <c r="M247" s="1024" t="str">
        <f>IF(OR(D247="",D247="-"),"",VLOOKUP(D247,'Fatores de Emissão'!$D$105:$I$108,6,FALSE))</f>
        <v/>
      </c>
      <c r="N247" s="1024" t="str">
        <f t="shared" si="7"/>
        <v/>
      </c>
      <c r="O247" s="1024" t="str">
        <f t="shared" si="6"/>
        <v/>
      </c>
      <c r="P247" s="544" t="str">
        <f t="shared" si="5"/>
        <v/>
      </c>
      <c r="Q247" s="961" t="str">
        <f>IF(B247="","",IF(D247="","",N247*'Fatores de Emissão'!$E$252+'Combustão Móvel'!O247*'Fatores de Emissão'!$E$248+'Combustão Móvel'!P247*'Fatores de Emissão'!$E$249))</f>
        <v/>
      </c>
    </row>
    <row r="248" spans="2:17" s="314" customFormat="1" ht="19.899999999999999" hidden="1" customHeight="1" outlineLevel="2" x14ac:dyDescent="0.35">
      <c r="B248" s="454"/>
      <c r="C248" s="194"/>
      <c r="D248" s="194"/>
      <c r="E248" s="342"/>
      <c r="F248" s="546"/>
      <c r="G248" s="342"/>
      <c r="H248" s="456"/>
      <c r="I248" s="456"/>
      <c r="J248" s="544" t="str">
        <f>IF(D248="","",VLOOKUP(D248,'Fatores de Emissão'!$D$105:$F$108,3,FALSE))</f>
        <v/>
      </c>
      <c r="K248" s="1024" t="str">
        <f>IF(OR(D248="",D248="-"),"",VLOOKUP(D248,'Fatores de Emissão'!$D$105:$E$108,2,FALSE))</f>
        <v/>
      </c>
      <c r="L248" s="1024" t="str">
        <f>IF(OR(D248="",D248="-"),"",VLOOKUP(D248,'Fatores de Emissão'!$D$105:$G$108,4,FALSE))</f>
        <v/>
      </c>
      <c r="M248" s="1024" t="str">
        <f>IF(OR(D248="",D248="-"),"",VLOOKUP(D248,'Fatores de Emissão'!$D$105:$I$108,6,FALSE))</f>
        <v/>
      </c>
      <c r="N248" s="1024" t="str">
        <f t="shared" si="7"/>
        <v/>
      </c>
      <c r="O248" s="1024" t="str">
        <f t="shared" si="6"/>
        <v/>
      </c>
      <c r="P248" s="544" t="str">
        <f t="shared" si="5"/>
        <v/>
      </c>
      <c r="Q248" s="961" t="str">
        <f>IF(B248="","",IF(D248="","",N248*'Fatores de Emissão'!$E$252+'Combustão Móvel'!O248*'Fatores de Emissão'!$E$248+'Combustão Móvel'!P248*'Fatores de Emissão'!$E$249))</f>
        <v/>
      </c>
    </row>
    <row r="249" spans="2:17" s="314" customFormat="1" ht="19.899999999999999" hidden="1" customHeight="1" outlineLevel="2" x14ac:dyDescent="0.35">
      <c r="B249" s="454"/>
      <c r="C249" s="194"/>
      <c r="D249" s="194"/>
      <c r="E249" s="342"/>
      <c r="F249" s="546"/>
      <c r="G249" s="342"/>
      <c r="H249" s="456"/>
      <c r="I249" s="456"/>
      <c r="J249" s="544" t="str">
        <f>IF(D249="","",VLOOKUP(D249,'Fatores de Emissão'!$D$105:$F$108,3,FALSE))</f>
        <v/>
      </c>
      <c r="K249" s="1024" t="str">
        <f>IF(OR(D249="",D249="-"),"",VLOOKUP(D249,'Fatores de Emissão'!$D$105:$E$108,2,FALSE))</f>
        <v/>
      </c>
      <c r="L249" s="1024" t="str">
        <f>IF(OR(D249="",D249="-"),"",VLOOKUP(D249,'Fatores de Emissão'!$D$105:$G$108,4,FALSE))</f>
        <v/>
      </c>
      <c r="M249" s="1024" t="str">
        <f>IF(OR(D249="",D249="-"),"",VLOOKUP(D249,'Fatores de Emissão'!$D$105:$I$108,6,FALSE))</f>
        <v/>
      </c>
      <c r="N249" s="1024" t="str">
        <f t="shared" si="7"/>
        <v/>
      </c>
      <c r="O249" s="1024" t="str">
        <f t="shared" si="6"/>
        <v/>
      </c>
      <c r="P249" s="544" t="str">
        <f t="shared" si="5"/>
        <v/>
      </c>
      <c r="Q249" s="961" t="str">
        <f>IF(B249="","",IF(D249="","",N249*'Fatores de Emissão'!$E$252+'Combustão Móvel'!O249*'Fatores de Emissão'!$E$248+'Combustão Móvel'!P249*'Fatores de Emissão'!$E$249))</f>
        <v/>
      </c>
    </row>
    <row r="250" spans="2:17" s="314" customFormat="1" ht="19.899999999999999" hidden="1" customHeight="1" outlineLevel="2" x14ac:dyDescent="0.35">
      <c r="B250" s="454"/>
      <c r="C250" s="194"/>
      <c r="D250" s="194"/>
      <c r="E250" s="342"/>
      <c r="F250" s="546"/>
      <c r="G250" s="342"/>
      <c r="H250" s="456"/>
      <c r="I250" s="456"/>
      <c r="J250" s="544" t="str">
        <f>IF(D250="","",VLOOKUP(D250,'Fatores de Emissão'!$D$105:$F$108,3,FALSE))</f>
        <v/>
      </c>
      <c r="K250" s="1024" t="str">
        <f>IF(OR(D250="",D250="-"),"",VLOOKUP(D250,'Fatores de Emissão'!$D$105:$E$108,2,FALSE))</f>
        <v/>
      </c>
      <c r="L250" s="1024" t="str">
        <f>IF(OR(D250="",D250="-"),"",VLOOKUP(D250,'Fatores de Emissão'!$D$105:$G$108,4,FALSE))</f>
        <v/>
      </c>
      <c r="M250" s="1024" t="str">
        <f>IF(OR(D250="",D250="-"),"",VLOOKUP(D250,'Fatores de Emissão'!$D$105:$I$108,6,FALSE))</f>
        <v/>
      </c>
      <c r="N250" s="1024" t="str">
        <f t="shared" si="7"/>
        <v/>
      </c>
      <c r="O250" s="1024" t="str">
        <f t="shared" si="6"/>
        <v/>
      </c>
      <c r="P250" s="544" t="str">
        <f t="shared" si="5"/>
        <v/>
      </c>
      <c r="Q250" s="961" t="str">
        <f>IF(B250="","",IF(D250="","",N250*'Fatores de Emissão'!$E$252+'Combustão Móvel'!O250*'Fatores de Emissão'!$E$248+'Combustão Móvel'!P250*'Fatores de Emissão'!$E$249))</f>
        <v/>
      </c>
    </row>
    <row r="251" spans="2:17" s="314" customFormat="1" ht="19.899999999999999" hidden="1" customHeight="1" outlineLevel="2" x14ac:dyDescent="0.35">
      <c r="B251" s="454"/>
      <c r="C251" s="194"/>
      <c r="D251" s="194"/>
      <c r="E251" s="342"/>
      <c r="F251" s="546"/>
      <c r="G251" s="342"/>
      <c r="H251" s="456"/>
      <c r="I251" s="456"/>
      <c r="J251" s="544" t="str">
        <f>IF(D251="","",VLOOKUP(D251,'Fatores de Emissão'!$D$105:$F$108,3,FALSE))</f>
        <v/>
      </c>
      <c r="K251" s="1024" t="str">
        <f>IF(OR(D251="",D251="-"),"",VLOOKUP(D251,'Fatores de Emissão'!$D$105:$E$108,2,FALSE))</f>
        <v/>
      </c>
      <c r="L251" s="1024" t="str">
        <f>IF(OR(D251="",D251="-"),"",VLOOKUP(D251,'Fatores de Emissão'!$D$105:$G$108,4,FALSE))</f>
        <v/>
      </c>
      <c r="M251" s="1024" t="str">
        <f>IF(OR(D251="",D251="-"),"",VLOOKUP(D251,'Fatores de Emissão'!$D$105:$I$108,6,FALSE))</f>
        <v/>
      </c>
      <c r="N251" s="1024" t="str">
        <f t="shared" si="7"/>
        <v/>
      </c>
      <c r="O251" s="1024" t="str">
        <f t="shared" si="6"/>
        <v/>
      </c>
      <c r="P251" s="544" t="str">
        <f t="shared" si="5"/>
        <v/>
      </c>
      <c r="Q251" s="961" t="str">
        <f>IF(B251="","",IF(D251="","",N251*'Fatores de Emissão'!$E$252+'Combustão Móvel'!O251*'Fatores de Emissão'!$E$248+'Combustão Móvel'!P251*'Fatores de Emissão'!$E$249))</f>
        <v/>
      </c>
    </row>
    <row r="252" spans="2:17" s="314" customFormat="1" ht="19.899999999999999" hidden="1" customHeight="1" outlineLevel="2" x14ac:dyDescent="0.35">
      <c r="B252" s="454"/>
      <c r="C252" s="194"/>
      <c r="D252" s="194"/>
      <c r="E252" s="342"/>
      <c r="F252" s="546"/>
      <c r="G252" s="342"/>
      <c r="H252" s="456"/>
      <c r="I252" s="456"/>
      <c r="J252" s="544" t="str">
        <f>IF(D252="","",VLOOKUP(D252,'Fatores de Emissão'!$D$105:$F$108,3,FALSE))</f>
        <v/>
      </c>
      <c r="K252" s="1024" t="str">
        <f>IF(OR(D252="",D252="-"),"",VLOOKUP(D252,'Fatores de Emissão'!$D$105:$E$108,2,FALSE))</f>
        <v/>
      </c>
      <c r="L252" s="1024" t="str">
        <f>IF(OR(D252="",D252="-"),"",VLOOKUP(D252,'Fatores de Emissão'!$D$105:$G$108,4,FALSE))</f>
        <v/>
      </c>
      <c r="M252" s="1024" t="str">
        <f>IF(OR(D252="",D252="-"),"",VLOOKUP(D252,'Fatores de Emissão'!$D$105:$I$108,6,FALSE))</f>
        <v/>
      </c>
      <c r="N252" s="1024" t="str">
        <f t="shared" si="7"/>
        <v/>
      </c>
      <c r="O252" s="1024" t="str">
        <f t="shared" si="6"/>
        <v/>
      </c>
      <c r="P252" s="544" t="str">
        <f t="shared" si="5"/>
        <v/>
      </c>
      <c r="Q252" s="961" t="str">
        <f>IF(B252="","",IF(D252="","",N252*'Fatores de Emissão'!$E$252+'Combustão Móvel'!O252*'Fatores de Emissão'!$E$248+'Combustão Móvel'!P252*'Fatores de Emissão'!$E$249))</f>
        <v/>
      </c>
    </row>
    <row r="253" spans="2:17" s="314" customFormat="1" ht="19.899999999999999" hidden="1" customHeight="1" outlineLevel="2" x14ac:dyDescent="0.35">
      <c r="B253" s="454"/>
      <c r="C253" s="194"/>
      <c r="D253" s="194"/>
      <c r="E253" s="342"/>
      <c r="F253" s="546"/>
      <c r="G253" s="342"/>
      <c r="H253" s="456"/>
      <c r="I253" s="456"/>
      <c r="J253" s="544" t="str">
        <f>IF(D253="","",VLOOKUP(D253,'Fatores de Emissão'!$D$105:$F$108,3,FALSE))</f>
        <v/>
      </c>
      <c r="K253" s="1024" t="str">
        <f>IF(OR(D253="",D253="-"),"",VLOOKUP(D253,'Fatores de Emissão'!$D$105:$E$108,2,FALSE))</f>
        <v/>
      </c>
      <c r="L253" s="1024" t="str">
        <f>IF(OR(D253="",D253="-"),"",VLOOKUP(D253,'Fatores de Emissão'!$D$105:$G$108,4,FALSE))</f>
        <v/>
      </c>
      <c r="M253" s="1024" t="str">
        <f>IF(OR(D253="",D253="-"),"",VLOOKUP(D253,'Fatores de Emissão'!$D$105:$I$108,6,FALSE))</f>
        <v/>
      </c>
      <c r="N253" s="1024" t="str">
        <f t="shared" si="7"/>
        <v/>
      </c>
      <c r="O253" s="1024" t="str">
        <f t="shared" si="6"/>
        <v/>
      </c>
      <c r="P253" s="544" t="str">
        <f t="shared" si="5"/>
        <v/>
      </c>
      <c r="Q253" s="961" t="str">
        <f>IF(B253="","",IF(D253="","",N253*'Fatores de Emissão'!$E$252+'Combustão Móvel'!O253*'Fatores de Emissão'!$E$248+'Combustão Móvel'!P253*'Fatores de Emissão'!$E$249))</f>
        <v/>
      </c>
    </row>
    <row r="254" spans="2:17" s="314" customFormat="1" ht="19.899999999999999" hidden="1" customHeight="1" outlineLevel="2" x14ac:dyDescent="0.35">
      <c r="B254" s="454"/>
      <c r="C254" s="194"/>
      <c r="D254" s="194"/>
      <c r="E254" s="342"/>
      <c r="F254" s="546"/>
      <c r="G254" s="342"/>
      <c r="H254" s="456"/>
      <c r="I254" s="456"/>
      <c r="J254" s="544" t="str">
        <f>IF(D254="","",VLOOKUP(D254,'Fatores de Emissão'!$D$105:$F$108,3,FALSE))</f>
        <v/>
      </c>
      <c r="K254" s="1024" t="str">
        <f>IF(OR(D254="",D254="-"),"",VLOOKUP(D254,'Fatores de Emissão'!$D$105:$E$108,2,FALSE))</f>
        <v/>
      </c>
      <c r="L254" s="1024" t="str">
        <f>IF(OR(D254="",D254="-"),"",VLOOKUP(D254,'Fatores de Emissão'!$D$105:$G$108,4,FALSE))</f>
        <v/>
      </c>
      <c r="M254" s="1024" t="str">
        <f>IF(OR(D254="",D254="-"),"",VLOOKUP(D254,'Fatores de Emissão'!$D$105:$I$108,6,FALSE))</f>
        <v/>
      </c>
      <c r="N254" s="1024" t="str">
        <f t="shared" si="7"/>
        <v/>
      </c>
      <c r="O254" s="1024" t="str">
        <f t="shared" si="6"/>
        <v/>
      </c>
      <c r="P254" s="544" t="str">
        <f t="shared" si="5"/>
        <v/>
      </c>
      <c r="Q254" s="961" t="str">
        <f>IF(B254="","",IF(D254="","",N254*'Fatores de Emissão'!$E$252+'Combustão Móvel'!O254*'Fatores de Emissão'!$E$248+'Combustão Móvel'!P254*'Fatores de Emissão'!$E$249))</f>
        <v/>
      </c>
    </row>
    <row r="255" spans="2:17" s="314" customFormat="1" ht="19.899999999999999" hidden="1" customHeight="1" outlineLevel="2" x14ac:dyDescent="0.35">
      <c r="B255" s="454"/>
      <c r="C255" s="194"/>
      <c r="D255" s="194"/>
      <c r="E255" s="342"/>
      <c r="F255" s="546"/>
      <c r="G255" s="342"/>
      <c r="H255" s="456"/>
      <c r="I255" s="456"/>
      <c r="J255" s="544" t="str">
        <f>IF(D255="","",VLOOKUP(D255,'Fatores de Emissão'!$D$105:$F$108,3,FALSE))</f>
        <v/>
      </c>
      <c r="K255" s="1024" t="str">
        <f>IF(OR(D255="",D255="-"),"",VLOOKUP(D255,'Fatores de Emissão'!$D$105:$E$108,2,FALSE))</f>
        <v/>
      </c>
      <c r="L255" s="1024" t="str">
        <f>IF(OR(D255="",D255="-"),"",VLOOKUP(D255,'Fatores de Emissão'!$D$105:$G$108,4,FALSE))</f>
        <v/>
      </c>
      <c r="M255" s="1024" t="str">
        <f>IF(OR(D255="",D255="-"),"",VLOOKUP(D255,'Fatores de Emissão'!$D$105:$I$108,6,FALSE))</f>
        <v/>
      </c>
      <c r="N255" s="1024" t="str">
        <f t="shared" si="7"/>
        <v/>
      </c>
      <c r="O255" s="1024" t="str">
        <f t="shared" si="6"/>
        <v/>
      </c>
      <c r="P255" s="544" t="str">
        <f t="shared" si="5"/>
        <v/>
      </c>
      <c r="Q255" s="961" t="str">
        <f>IF(B255="","",IF(D255="","",N255*'Fatores de Emissão'!$E$252+'Combustão Móvel'!O255*'Fatores de Emissão'!$E$248+'Combustão Móvel'!P255*'Fatores de Emissão'!$E$249))</f>
        <v/>
      </c>
    </row>
    <row r="256" spans="2:17" s="314" customFormat="1" ht="19.899999999999999" hidden="1" customHeight="1" outlineLevel="2" x14ac:dyDescent="0.35">
      <c r="B256" s="454"/>
      <c r="C256" s="194"/>
      <c r="D256" s="194"/>
      <c r="E256" s="342"/>
      <c r="F256" s="546"/>
      <c r="G256" s="342"/>
      <c r="H256" s="456"/>
      <c r="I256" s="456"/>
      <c r="J256" s="544" t="str">
        <f>IF(D256="","",VLOOKUP(D256,'Fatores de Emissão'!$D$105:$F$108,3,FALSE))</f>
        <v/>
      </c>
      <c r="K256" s="1024" t="str">
        <f>IF(OR(D256="",D256="-"),"",VLOOKUP(D256,'Fatores de Emissão'!$D$105:$E$108,2,FALSE))</f>
        <v/>
      </c>
      <c r="L256" s="1024" t="str">
        <f>IF(OR(D256="",D256="-"),"",VLOOKUP(D256,'Fatores de Emissão'!$D$105:$G$108,4,FALSE))</f>
        <v/>
      </c>
      <c r="M256" s="1024" t="str">
        <f>IF(OR(D256="",D256="-"),"",VLOOKUP(D256,'Fatores de Emissão'!$D$105:$I$108,6,FALSE))</f>
        <v/>
      </c>
      <c r="N256" s="1024" t="str">
        <f t="shared" si="7"/>
        <v/>
      </c>
      <c r="O256" s="1024" t="str">
        <f t="shared" si="6"/>
        <v/>
      </c>
      <c r="P256" s="544" t="str">
        <f t="shared" si="5"/>
        <v/>
      </c>
      <c r="Q256" s="961" t="str">
        <f>IF(B256="","",IF(D256="","",N256*'Fatores de Emissão'!$E$252+'Combustão Móvel'!O256*'Fatores de Emissão'!$E$248+'Combustão Móvel'!P256*'Fatores de Emissão'!$E$249))</f>
        <v/>
      </c>
    </row>
    <row r="257" spans="2:17" s="314" customFormat="1" ht="19.899999999999999" hidden="1" customHeight="1" outlineLevel="2" x14ac:dyDescent="0.35">
      <c r="B257" s="454"/>
      <c r="C257" s="194"/>
      <c r="D257" s="194"/>
      <c r="E257" s="342"/>
      <c r="F257" s="546"/>
      <c r="G257" s="342"/>
      <c r="H257" s="456"/>
      <c r="I257" s="456"/>
      <c r="J257" s="544" t="str">
        <f>IF(D257="","",VLOOKUP(D257,'Fatores de Emissão'!$D$105:$F$108,3,FALSE))</f>
        <v/>
      </c>
      <c r="K257" s="1024" t="str">
        <f>IF(OR(D257="",D257="-"),"",VLOOKUP(D257,'Fatores de Emissão'!$D$105:$E$108,2,FALSE))</f>
        <v/>
      </c>
      <c r="L257" s="1024" t="str">
        <f>IF(OR(D257="",D257="-"),"",VLOOKUP(D257,'Fatores de Emissão'!$D$105:$G$108,4,FALSE))</f>
        <v/>
      </c>
      <c r="M257" s="1024" t="str">
        <f>IF(OR(D257="",D257="-"),"",VLOOKUP(D257,'Fatores de Emissão'!$D$105:$I$108,6,FALSE))</f>
        <v/>
      </c>
      <c r="N257" s="1024" t="str">
        <f t="shared" si="7"/>
        <v/>
      </c>
      <c r="O257" s="1024" t="str">
        <f t="shared" si="6"/>
        <v/>
      </c>
      <c r="P257" s="544" t="str">
        <f t="shared" si="5"/>
        <v/>
      </c>
      <c r="Q257" s="961" t="str">
        <f>IF(B257="","",IF(D257="","",N257*'Fatores de Emissão'!$E$252+'Combustão Móvel'!O257*'Fatores de Emissão'!$E$248+'Combustão Móvel'!P257*'Fatores de Emissão'!$E$249))</f>
        <v/>
      </c>
    </row>
    <row r="258" spans="2:17" s="314" customFormat="1" ht="19.899999999999999" hidden="1" customHeight="1" outlineLevel="2" x14ac:dyDescent="0.35">
      <c r="B258" s="454"/>
      <c r="C258" s="194"/>
      <c r="D258" s="194"/>
      <c r="E258" s="342"/>
      <c r="F258" s="546"/>
      <c r="G258" s="342"/>
      <c r="H258" s="456"/>
      <c r="I258" s="456"/>
      <c r="J258" s="544" t="str">
        <f>IF(D258="","",VLOOKUP(D258,'Fatores de Emissão'!$D$105:$F$108,3,FALSE))</f>
        <v/>
      </c>
      <c r="K258" s="1024" t="str">
        <f>IF(OR(D258="",D258="-"),"",VLOOKUP(D258,'Fatores de Emissão'!$D$105:$E$108,2,FALSE))</f>
        <v/>
      </c>
      <c r="L258" s="1024" t="str">
        <f>IF(OR(D258="",D258="-"),"",VLOOKUP(D258,'Fatores de Emissão'!$D$105:$G$108,4,FALSE))</f>
        <v/>
      </c>
      <c r="M258" s="1024" t="str">
        <f>IF(OR(D258="",D258="-"),"",VLOOKUP(D258,'Fatores de Emissão'!$D$105:$I$108,6,FALSE))</f>
        <v/>
      </c>
      <c r="N258" s="1024" t="str">
        <f t="shared" si="7"/>
        <v/>
      </c>
      <c r="O258" s="1024" t="str">
        <f t="shared" si="6"/>
        <v/>
      </c>
      <c r="P258" s="544" t="str">
        <f t="shared" si="5"/>
        <v/>
      </c>
      <c r="Q258" s="961" t="str">
        <f>IF(B258="","",IF(D258="","",N258*'Fatores de Emissão'!$E$252+'Combustão Móvel'!O258*'Fatores de Emissão'!$E$248+'Combustão Móvel'!P258*'Fatores de Emissão'!$E$249))</f>
        <v/>
      </c>
    </row>
    <row r="259" spans="2:17" s="314" customFormat="1" ht="19.899999999999999" hidden="1" customHeight="1" outlineLevel="2" x14ac:dyDescent="0.35">
      <c r="B259" s="454"/>
      <c r="C259" s="194"/>
      <c r="D259" s="194"/>
      <c r="E259" s="342"/>
      <c r="F259" s="546"/>
      <c r="G259" s="342"/>
      <c r="H259" s="456"/>
      <c r="I259" s="456"/>
      <c r="J259" s="544" t="str">
        <f>IF(D259="","",VLOOKUP(D259,'Fatores de Emissão'!$D$105:$F$108,3,FALSE))</f>
        <v/>
      </c>
      <c r="K259" s="1024" t="str">
        <f>IF(OR(D259="",D259="-"),"",VLOOKUP(D259,'Fatores de Emissão'!$D$105:$E$108,2,FALSE))</f>
        <v/>
      </c>
      <c r="L259" s="1024" t="str">
        <f>IF(OR(D259="",D259="-"),"",VLOOKUP(D259,'Fatores de Emissão'!$D$105:$G$108,4,FALSE))</f>
        <v/>
      </c>
      <c r="M259" s="1024" t="str">
        <f>IF(OR(D259="",D259="-"),"",VLOOKUP(D259,'Fatores de Emissão'!$D$105:$I$108,6,FALSE))</f>
        <v/>
      </c>
      <c r="N259" s="1024" t="str">
        <f t="shared" si="7"/>
        <v/>
      </c>
      <c r="O259" s="1024" t="str">
        <f t="shared" si="6"/>
        <v/>
      </c>
      <c r="P259" s="544" t="str">
        <f t="shared" si="5"/>
        <v/>
      </c>
      <c r="Q259" s="961" t="str">
        <f>IF(B259="","",IF(D259="","",N259*'Fatores de Emissão'!$E$252+'Combustão Móvel'!O259*'Fatores de Emissão'!$E$248+'Combustão Móvel'!P259*'Fatores de Emissão'!$E$249))</f>
        <v/>
      </c>
    </row>
    <row r="260" spans="2:17" s="314" customFormat="1" ht="19.899999999999999" hidden="1" customHeight="1" outlineLevel="2" x14ac:dyDescent="0.35">
      <c r="B260" s="454"/>
      <c r="C260" s="194"/>
      <c r="D260" s="194"/>
      <c r="E260" s="342"/>
      <c r="F260" s="546"/>
      <c r="G260" s="342"/>
      <c r="H260" s="456"/>
      <c r="I260" s="456"/>
      <c r="J260" s="544" t="str">
        <f>IF(D260="","",VLOOKUP(D260,'Fatores de Emissão'!$D$105:$F$108,3,FALSE))</f>
        <v/>
      </c>
      <c r="K260" s="1024" t="str">
        <f>IF(OR(D260="",D260="-"),"",VLOOKUP(D260,'Fatores de Emissão'!$D$105:$E$108,2,FALSE))</f>
        <v/>
      </c>
      <c r="L260" s="1024" t="str">
        <f>IF(OR(D260="",D260="-"),"",VLOOKUP(D260,'Fatores de Emissão'!$D$105:$G$108,4,FALSE))</f>
        <v/>
      </c>
      <c r="M260" s="1024" t="str">
        <f>IF(OR(D260="",D260="-"),"",VLOOKUP(D260,'Fatores de Emissão'!$D$105:$I$108,6,FALSE))</f>
        <v/>
      </c>
      <c r="N260" s="1024" t="str">
        <f t="shared" si="7"/>
        <v/>
      </c>
      <c r="O260" s="1024" t="str">
        <f t="shared" si="6"/>
        <v/>
      </c>
      <c r="P260" s="544" t="str">
        <f t="shared" si="5"/>
        <v/>
      </c>
      <c r="Q260" s="961" t="str">
        <f>IF(B260="","",IF(D260="","",N260*'Fatores de Emissão'!$E$252+'Combustão Móvel'!O260*'Fatores de Emissão'!$E$248+'Combustão Móvel'!P260*'Fatores de Emissão'!$E$249))</f>
        <v/>
      </c>
    </row>
    <row r="261" spans="2:17" s="314" customFormat="1" ht="19.899999999999999" hidden="1" customHeight="1" outlineLevel="2" x14ac:dyDescent="0.35">
      <c r="B261" s="454"/>
      <c r="C261" s="194"/>
      <c r="D261" s="194"/>
      <c r="E261" s="342"/>
      <c r="F261" s="546"/>
      <c r="G261" s="342"/>
      <c r="H261" s="456"/>
      <c r="I261" s="456"/>
      <c r="J261" s="544" t="str">
        <f>IF(D261="","",VLOOKUP(D261,'Fatores de Emissão'!$D$105:$F$108,3,FALSE))</f>
        <v/>
      </c>
      <c r="K261" s="1024" t="str">
        <f>IF(OR(D261="",D261="-"),"",VLOOKUP(D261,'Fatores de Emissão'!$D$105:$E$108,2,FALSE))</f>
        <v/>
      </c>
      <c r="L261" s="1024" t="str">
        <f>IF(OR(D261="",D261="-"),"",VLOOKUP(D261,'Fatores de Emissão'!$D$105:$G$108,4,FALSE))</f>
        <v/>
      </c>
      <c r="M261" s="1024" t="str">
        <f>IF(OR(D261="",D261="-"),"",VLOOKUP(D261,'Fatores de Emissão'!$D$105:$I$108,6,FALSE))</f>
        <v/>
      </c>
      <c r="N261" s="1024" t="str">
        <f t="shared" si="7"/>
        <v/>
      </c>
      <c r="O261" s="1024" t="str">
        <f t="shared" si="6"/>
        <v/>
      </c>
      <c r="P261" s="544" t="str">
        <f t="shared" si="5"/>
        <v/>
      </c>
      <c r="Q261" s="961" t="str">
        <f>IF(B261="","",IF(D261="","",N261*'Fatores de Emissão'!$E$252+'Combustão Móvel'!O261*'Fatores de Emissão'!$E$248+'Combustão Móvel'!P261*'Fatores de Emissão'!$E$249))</f>
        <v/>
      </c>
    </row>
    <row r="262" spans="2:17" s="314" customFormat="1" ht="19.899999999999999" hidden="1" customHeight="1" outlineLevel="2" x14ac:dyDescent="0.35">
      <c r="B262" s="454"/>
      <c r="C262" s="194"/>
      <c r="D262" s="194"/>
      <c r="E262" s="342"/>
      <c r="F262" s="546"/>
      <c r="G262" s="342"/>
      <c r="H262" s="456"/>
      <c r="I262" s="456"/>
      <c r="J262" s="544" t="str">
        <f>IF(D262="","",VLOOKUP(D262,'Fatores de Emissão'!$D$105:$F$108,3,FALSE))</f>
        <v/>
      </c>
      <c r="K262" s="1024" t="str">
        <f>IF(OR(D262="",D262="-"),"",VLOOKUP(D262,'Fatores de Emissão'!$D$105:$E$108,2,FALSE))</f>
        <v/>
      </c>
      <c r="L262" s="1024" t="str">
        <f>IF(OR(D262="",D262="-"),"",VLOOKUP(D262,'Fatores de Emissão'!$D$105:$G$108,4,FALSE))</f>
        <v/>
      </c>
      <c r="M262" s="1024" t="str">
        <f>IF(OR(D262="",D262="-"),"",VLOOKUP(D262,'Fatores de Emissão'!$D$105:$I$108,6,FALSE))</f>
        <v/>
      </c>
      <c r="N262" s="1024" t="str">
        <f t="shared" si="7"/>
        <v/>
      </c>
      <c r="O262" s="1024" t="str">
        <f t="shared" si="6"/>
        <v/>
      </c>
      <c r="P262" s="544" t="str">
        <f t="shared" si="5"/>
        <v/>
      </c>
      <c r="Q262" s="961" t="str">
        <f>IF(B262="","",IF(D262="","",N262*'Fatores de Emissão'!$E$252+'Combustão Móvel'!O262*'Fatores de Emissão'!$E$248+'Combustão Móvel'!P262*'Fatores de Emissão'!$E$249))</f>
        <v/>
      </c>
    </row>
    <row r="263" spans="2:17" s="314" customFormat="1" ht="19.899999999999999" hidden="1" customHeight="1" outlineLevel="2" x14ac:dyDescent="0.35">
      <c r="B263" s="454"/>
      <c r="C263" s="194"/>
      <c r="D263" s="194"/>
      <c r="E263" s="342"/>
      <c r="F263" s="546"/>
      <c r="G263" s="342"/>
      <c r="H263" s="456"/>
      <c r="I263" s="456"/>
      <c r="J263" s="544" t="str">
        <f>IF(D263="","",VLOOKUP(D263,'Fatores de Emissão'!$D$105:$F$108,3,FALSE))</f>
        <v/>
      </c>
      <c r="K263" s="1024" t="str">
        <f>IF(OR(D263="",D263="-"),"",VLOOKUP(D263,'Fatores de Emissão'!$D$105:$E$108,2,FALSE))</f>
        <v/>
      </c>
      <c r="L263" s="1024" t="str">
        <f>IF(OR(D263="",D263="-"),"",VLOOKUP(D263,'Fatores de Emissão'!$D$105:$G$108,4,FALSE))</f>
        <v/>
      </c>
      <c r="M263" s="1024" t="str">
        <f>IF(OR(D263="",D263="-"),"",VLOOKUP(D263,'Fatores de Emissão'!$D$105:$I$108,6,FALSE))</f>
        <v/>
      </c>
      <c r="N263" s="1024" t="str">
        <f t="shared" si="7"/>
        <v/>
      </c>
      <c r="O263" s="1024" t="str">
        <f t="shared" si="6"/>
        <v/>
      </c>
      <c r="P263" s="544" t="str">
        <f t="shared" si="5"/>
        <v/>
      </c>
      <c r="Q263" s="961" t="str">
        <f>IF(B263="","",IF(D263="","",N263*'Fatores de Emissão'!$E$252+'Combustão Móvel'!O263*'Fatores de Emissão'!$E$248+'Combustão Móvel'!P263*'Fatores de Emissão'!$E$249))</f>
        <v/>
      </c>
    </row>
    <row r="264" spans="2:17" s="314" customFormat="1" ht="19.899999999999999" hidden="1" customHeight="1" outlineLevel="2" x14ac:dyDescent="0.35">
      <c r="B264" s="454"/>
      <c r="C264" s="194"/>
      <c r="D264" s="194"/>
      <c r="E264" s="342"/>
      <c r="F264" s="546"/>
      <c r="G264" s="342"/>
      <c r="H264" s="456"/>
      <c r="I264" s="456"/>
      <c r="J264" s="544" t="str">
        <f>IF(D264="","",VLOOKUP(D264,'Fatores de Emissão'!$D$105:$F$108,3,FALSE))</f>
        <v/>
      </c>
      <c r="K264" s="1024" t="str">
        <f>IF(OR(D264="",D264="-"),"",VLOOKUP(D264,'Fatores de Emissão'!$D$105:$E$108,2,FALSE))</f>
        <v/>
      </c>
      <c r="L264" s="1024" t="str">
        <f>IF(OR(D264="",D264="-"),"",VLOOKUP(D264,'Fatores de Emissão'!$D$105:$G$108,4,FALSE))</f>
        <v/>
      </c>
      <c r="M264" s="1024" t="str">
        <f>IF(OR(D264="",D264="-"),"",VLOOKUP(D264,'Fatores de Emissão'!$D$105:$I$108,6,FALSE))</f>
        <v/>
      </c>
      <c r="N264" s="1024" t="str">
        <f t="shared" si="7"/>
        <v/>
      </c>
      <c r="O264" s="1024" t="str">
        <f t="shared" si="6"/>
        <v/>
      </c>
      <c r="P264" s="544" t="str">
        <f t="shared" si="5"/>
        <v/>
      </c>
      <c r="Q264" s="961" t="str">
        <f>IF(B264="","",IF(D264="","",N264*'Fatores de Emissão'!$E$252+'Combustão Móvel'!O264*'Fatores de Emissão'!$E$248+'Combustão Móvel'!P264*'Fatores de Emissão'!$E$249))</f>
        <v/>
      </c>
    </row>
    <row r="265" spans="2:17" s="314" customFormat="1" ht="19.899999999999999" hidden="1" customHeight="1" outlineLevel="2" x14ac:dyDescent="0.35">
      <c r="B265" s="454"/>
      <c r="C265" s="194"/>
      <c r="D265" s="194"/>
      <c r="E265" s="342"/>
      <c r="F265" s="546"/>
      <c r="G265" s="342"/>
      <c r="H265" s="456"/>
      <c r="I265" s="456"/>
      <c r="J265" s="544" t="str">
        <f>IF(D265="","",VLOOKUP(D265,'Fatores de Emissão'!$D$105:$F$108,3,FALSE))</f>
        <v/>
      </c>
      <c r="K265" s="1024" t="str">
        <f>IF(OR(D265="",D265="-"),"",VLOOKUP(D265,'Fatores de Emissão'!$D$105:$E$108,2,FALSE))</f>
        <v/>
      </c>
      <c r="L265" s="1024" t="str">
        <f>IF(OR(D265="",D265="-"),"",VLOOKUP(D265,'Fatores de Emissão'!$D$105:$G$108,4,FALSE))</f>
        <v/>
      </c>
      <c r="M265" s="1024" t="str">
        <f>IF(OR(D265="",D265="-"),"",VLOOKUP(D265,'Fatores de Emissão'!$D$105:$I$108,6,FALSE))</f>
        <v/>
      </c>
      <c r="N265" s="1024" t="str">
        <f t="shared" si="7"/>
        <v/>
      </c>
      <c r="O265" s="1024" t="str">
        <f t="shared" si="6"/>
        <v/>
      </c>
      <c r="P265" s="544" t="str">
        <f t="shared" si="5"/>
        <v/>
      </c>
      <c r="Q265" s="961" t="str">
        <f>IF(B265="","",IF(D265="","",N265*'Fatores de Emissão'!$E$252+'Combustão Móvel'!O265*'Fatores de Emissão'!$E$248+'Combustão Móvel'!P265*'Fatores de Emissão'!$E$249))</f>
        <v/>
      </c>
    </row>
    <row r="266" spans="2:17" s="314" customFormat="1" ht="19.899999999999999" hidden="1" customHeight="1" outlineLevel="2" x14ac:dyDescent="0.35">
      <c r="B266" s="454"/>
      <c r="C266" s="194"/>
      <c r="D266" s="194"/>
      <c r="E266" s="342"/>
      <c r="F266" s="546"/>
      <c r="G266" s="342"/>
      <c r="H266" s="456"/>
      <c r="I266" s="456"/>
      <c r="J266" s="544" t="str">
        <f>IF(D266="","",VLOOKUP(D266,'Fatores de Emissão'!$D$105:$F$108,3,FALSE))</f>
        <v/>
      </c>
      <c r="K266" s="1024" t="str">
        <f>IF(OR(D266="",D266="-"),"",VLOOKUP(D266,'Fatores de Emissão'!$D$105:$E$108,2,FALSE))</f>
        <v/>
      </c>
      <c r="L266" s="1024" t="str">
        <f>IF(OR(D266="",D266="-"),"",VLOOKUP(D266,'Fatores de Emissão'!$D$105:$G$108,4,FALSE))</f>
        <v/>
      </c>
      <c r="M266" s="1024" t="str">
        <f>IF(OR(D266="",D266="-"),"",VLOOKUP(D266,'Fatores de Emissão'!$D$105:$I$108,6,FALSE))</f>
        <v/>
      </c>
      <c r="N266" s="1024" t="str">
        <f t="shared" si="7"/>
        <v/>
      </c>
      <c r="O266" s="1024" t="str">
        <f t="shared" si="6"/>
        <v/>
      </c>
      <c r="P266" s="544" t="str">
        <f t="shared" si="5"/>
        <v/>
      </c>
      <c r="Q266" s="961" t="str">
        <f>IF(B266="","",IF(D266="","",N266*'Fatores de Emissão'!$E$252+'Combustão Móvel'!O266*'Fatores de Emissão'!$E$248+'Combustão Móvel'!P266*'Fatores de Emissão'!$E$249))</f>
        <v/>
      </c>
    </row>
    <row r="267" spans="2:17" s="314" customFormat="1" ht="19.899999999999999" hidden="1" customHeight="1" outlineLevel="2" x14ac:dyDescent="0.35">
      <c r="B267" s="454"/>
      <c r="C267" s="194"/>
      <c r="D267" s="194"/>
      <c r="E267" s="342"/>
      <c r="F267" s="546"/>
      <c r="G267" s="342"/>
      <c r="H267" s="456"/>
      <c r="I267" s="456"/>
      <c r="J267" s="544" t="str">
        <f>IF(D267="","",VLOOKUP(D267,'Fatores de Emissão'!$D$105:$F$108,3,FALSE))</f>
        <v/>
      </c>
      <c r="K267" s="1024" t="str">
        <f>IF(OR(D267="",D267="-"),"",VLOOKUP(D267,'Fatores de Emissão'!$D$105:$E$108,2,FALSE))</f>
        <v/>
      </c>
      <c r="L267" s="1024" t="str">
        <f>IF(OR(D267="",D267="-"),"",VLOOKUP(D267,'Fatores de Emissão'!$D$105:$G$108,4,FALSE))</f>
        <v/>
      </c>
      <c r="M267" s="1024" t="str">
        <f>IF(OR(D267="",D267="-"),"",VLOOKUP(D267,'Fatores de Emissão'!$D$105:$I$108,6,FALSE))</f>
        <v/>
      </c>
      <c r="N267" s="1024" t="str">
        <f t="shared" si="7"/>
        <v/>
      </c>
      <c r="O267" s="1024" t="str">
        <f t="shared" si="6"/>
        <v/>
      </c>
      <c r="P267" s="544" t="str">
        <f t="shared" si="5"/>
        <v/>
      </c>
      <c r="Q267" s="961" t="str">
        <f>IF(B267="","",IF(D267="","",N267*'Fatores de Emissão'!$E$252+'Combustão Móvel'!O267*'Fatores de Emissão'!$E$248+'Combustão Móvel'!P267*'Fatores de Emissão'!$E$249))</f>
        <v/>
      </c>
    </row>
    <row r="268" spans="2:17" s="314" customFormat="1" ht="19.899999999999999" hidden="1" customHeight="1" outlineLevel="2" x14ac:dyDescent="0.35">
      <c r="B268" s="460"/>
      <c r="C268" s="461"/>
      <c r="D268" s="461"/>
      <c r="E268" s="545"/>
      <c r="F268" s="547"/>
      <c r="G268" s="545"/>
      <c r="H268" s="462"/>
      <c r="I268" s="462"/>
      <c r="J268" s="549" t="str">
        <f>IF(D268="","",VLOOKUP(D268,'Fatores de Emissão'!$D$105:$F$108,3,FALSE))</f>
        <v/>
      </c>
      <c r="K268" s="1028" t="str">
        <f>IF(OR(D268="",D268="-"),"",VLOOKUP(D268,'Fatores de Emissão'!$D$105:$E$108,2,FALSE))</f>
        <v/>
      </c>
      <c r="L268" s="1024" t="str">
        <f>IF(OR(D268="",D268="-"),"",VLOOKUP(D268,'Fatores de Emissão'!$D$105:$G$108,4,FALSE))</f>
        <v/>
      </c>
      <c r="M268" s="1024" t="str">
        <f>IF(OR(D268="",D268="-"),"",VLOOKUP(D268,'Fatores de Emissão'!$D$105:$I$108,6,FALSE))</f>
        <v/>
      </c>
      <c r="N268" s="1024" t="str">
        <f t="shared" si="7"/>
        <v/>
      </c>
      <c r="O268" s="1024" t="str">
        <f t="shared" si="6"/>
        <v/>
      </c>
      <c r="P268" s="544" t="str">
        <f t="shared" si="5"/>
        <v/>
      </c>
      <c r="Q268" s="961" t="str">
        <f>IF(B268="","",IF(D268="","",N268*'Fatores de Emissão'!$E$252+'Combustão Móvel'!O268*'Fatores de Emissão'!$E$248+'Combustão Móvel'!P268*'Fatores de Emissão'!$E$249))</f>
        <v/>
      </c>
    </row>
    <row r="269" spans="2:17" s="314" customFormat="1" outlineLevel="1" collapsed="1" x14ac:dyDescent="0.35">
      <c r="B269" s="323" t="s">
        <v>40</v>
      </c>
      <c r="C269" s="280"/>
      <c r="D269" s="280"/>
      <c r="E269" s="280"/>
      <c r="F269" s="280"/>
      <c r="G269" s="280"/>
      <c r="H269" s="280"/>
      <c r="I269" s="280"/>
      <c r="J269" s="550"/>
      <c r="K269" s="550"/>
      <c r="L269" s="1127"/>
      <c r="M269" s="1128"/>
      <c r="N269" s="966">
        <f>SUM(N169:N268)</f>
        <v>0</v>
      </c>
      <c r="O269" s="457">
        <f>SUM(O169:O268)</f>
        <v>0</v>
      </c>
      <c r="P269" s="457">
        <f t="shared" ref="P269:Q269" si="8">SUM(P169:P268)</f>
        <v>0</v>
      </c>
      <c r="Q269" s="967">
        <f t="shared" si="8"/>
        <v>0</v>
      </c>
    </row>
    <row r="270" spans="2:17" outlineLevel="1" x14ac:dyDescent="0.35"/>
    <row r="271" spans="2:17" s="538" customFormat="1" ht="30" customHeight="1" x14ac:dyDescent="0.35">
      <c r="B271" s="296" t="s">
        <v>692</v>
      </c>
    </row>
    <row r="272" spans="2:17" x14ac:dyDescent="0.35"/>
    <row r="273" spans="1:17" outlineLevel="1" x14ac:dyDescent="0.35">
      <c r="B273" s="167" t="s">
        <v>27</v>
      </c>
      <c r="C273" s="172"/>
      <c r="D273" s="172"/>
      <c r="E273" s="172"/>
      <c r="F273" s="172"/>
      <c r="G273" s="172"/>
      <c r="H273" s="172"/>
      <c r="I273" s="172"/>
      <c r="J273" s="172"/>
      <c r="K273" s="172"/>
      <c r="L273" s="172"/>
      <c r="M273" s="172"/>
      <c r="N273" s="172"/>
      <c r="O273" s="172"/>
      <c r="P273" s="172"/>
      <c r="Q273" s="172"/>
    </row>
    <row r="274" spans="1:17" outlineLevel="1" x14ac:dyDescent="0.35">
      <c r="B274" s="422" t="s">
        <v>602</v>
      </c>
      <c r="C274" s="172"/>
      <c r="D274" s="172"/>
      <c r="E274" s="172"/>
      <c r="F274" s="172"/>
      <c r="G274" s="172"/>
      <c r="H274" s="172"/>
      <c r="I274" s="172"/>
      <c r="J274" s="172"/>
      <c r="K274" s="172"/>
      <c r="L274" s="172"/>
      <c r="M274" s="172"/>
      <c r="N274" s="172"/>
      <c r="O274" s="172"/>
      <c r="P274" s="172"/>
      <c r="Q274" s="172"/>
    </row>
    <row r="275" spans="1:17" outlineLevel="1" x14ac:dyDescent="0.35">
      <c r="B275" s="422" t="s">
        <v>1339</v>
      </c>
      <c r="C275" s="172"/>
      <c r="D275" s="172"/>
      <c r="E275" s="172"/>
      <c r="F275" s="172"/>
      <c r="G275" s="172"/>
      <c r="H275" s="172"/>
      <c r="I275" s="172"/>
      <c r="J275" s="172"/>
      <c r="K275" s="172"/>
      <c r="L275" s="172"/>
      <c r="M275" s="172"/>
      <c r="N275" s="172"/>
      <c r="O275" s="172"/>
      <c r="P275" s="172"/>
      <c r="Q275" s="172"/>
    </row>
    <row r="276" spans="1:17" outlineLevel="1" x14ac:dyDescent="0.35">
      <c r="B276" s="422" t="s">
        <v>220</v>
      </c>
      <c r="C276" s="172"/>
      <c r="D276" s="172"/>
      <c r="E276" s="172"/>
      <c r="F276" s="172"/>
      <c r="G276" s="172"/>
      <c r="H276" s="172"/>
      <c r="I276" s="172"/>
      <c r="J276" s="172"/>
      <c r="K276" s="172"/>
      <c r="L276" s="172"/>
      <c r="M276" s="172"/>
      <c r="N276" s="172"/>
      <c r="O276" s="172"/>
      <c r="P276" s="172"/>
      <c r="Q276" s="172"/>
    </row>
    <row r="277" spans="1:17" outlineLevel="1" x14ac:dyDescent="0.35">
      <c r="B277" s="422" t="s">
        <v>1346</v>
      </c>
      <c r="C277" s="172"/>
      <c r="D277" s="172"/>
      <c r="E277" s="172"/>
      <c r="F277" s="172"/>
      <c r="G277" s="172"/>
      <c r="H277" s="172"/>
      <c r="I277" s="172"/>
      <c r="J277" s="172"/>
      <c r="K277" s="172"/>
      <c r="L277" s="172"/>
      <c r="M277" s="172"/>
      <c r="N277" s="172"/>
      <c r="O277" s="172"/>
      <c r="P277" s="172"/>
      <c r="Q277" s="172"/>
    </row>
    <row r="278" spans="1:17" outlineLevel="1" x14ac:dyDescent="0.35">
      <c r="B278" s="422" t="s">
        <v>1347</v>
      </c>
      <c r="C278" s="172"/>
      <c r="D278" s="172"/>
      <c r="E278" s="172"/>
      <c r="F278" s="172"/>
      <c r="G278" s="172"/>
      <c r="H278" s="172"/>
      <c r="I278" s="172"/>
      <c r="J278" s="172"/>
      <c r="K278" s="172"/>
      <c r="L278" s="172"/>
      <c r="M278" s="172"/>
      <c r="N278" s="172"/>
      <c r="O278" s="172"/>
      <c r="P278" s="172"/>
      <c r="Q278" s="172"/>
    </row>
    <row r="279" spans="1:17" outlineLevel="1" x14ac:dyDescent="0.35">
      <c r="B279" s="422" t="s">
        <v>601</v>
      </c>
      <c r="C279" s="172"/>
      <c r="D279" s="172"/>
      <c r="E279" s="172"/>
      <c r="F279" s="172"/>
      <c r="G279" s="172"/>
      <c r="H279" s="172"/>
      <c r="I279" s="172"/>
      <c r="J279" s="172"/>
      <c r="K279" s="172"/>
      <c r="L279" s="172"/>
      <c r="M279" s="172"/>
      <c r="N279" s="172"/>
      <c r="O279" s="172"/>
      <c r="P279" s="172"/>
      <c r="Q279" s="172"/>
    </row>
    <row r="280" spans="1:17" ht="16.899999999999999" customHeight="1" outlineLevel="1" x14ac:dyDescent="0.35">
      <c r="P280" s="307"/>
    </row>
    <row r="281" spans="1:17" outlineLevel="1" x14ac:dyDescent="0.35">
      <c r="B281" s="169" t="s">
        <v>523</v>
      </c>
      <c r="P281" s="307"/>
    </row>
    <row r="282" spans="1:17" s="314" customFormat="1" ht="16.899999999999999" customHeight="1" outlineLevel="1" x14ac:dyDescent="0.35">
      <c r="B282" s="1089" t="s">
        <v>598</v>
      </c>
      <c r="C282" s="1089" t="s">
        <v>211</v>
      </c>
      <c r="D282" s="1089" t="s">
        <v>194</v>
      </c>
      <c r="E282" s="1089" t="s">
        <v>597</v>
      </c>
      <c r="F282" s="1089" t="s">
        <v>215</v>
      </c>
      <c r="G282" s="1089" t="s">
        <v>213</v>
      </c>
      <c r="H282" s="1089" t="s">
        <v>1536</v>
      </c>
      <c r="I282" s="1089" t="s">
        <v>544</v>
      </c>
      <c r="J282" s="1089" t="s">
        <v>214</v>
      </c>
      <c r="K282" s="1121" t="s">
        <v>604</v>
      </c>
      <c r="L282" s="1122"/>
      <c r="M282" s="1123"/>
      <c r="N282" s="1089" t="s">
        <v>1342</v>
      </c>
      <c r="O282" s="1089" t="s">
        <v>1343</v>
      </c>
      <c r="P282" s="1089" t="s">
        <v>1344</v>
      </c>
      <c r="Q282" s="1089" t="s">
        <v>1345</v>
      </c>
    </row>
    <row r="283" spans="1:17" s="314" customFormat="1" ht="11.5" customHeight="1" outlineLevel="1" x14ac:dyDescent="0.35">
      <c r="B283" s="1090"/>
      <c r="C283" s="1090"/>
      <c r="D283" s="1090"/>
      <c r="E283" s="1090"/>
      <c r="F283" s="1090"/>
      <c r="G283" s="1090"/>
      <c r="H283" s="1090"/>
      <c r="I283" s="1090"/>
      <c r="J283" s="1090"/>
      <c r="K283" s="1124"/>
      <c r="L283" s="1125"/>
      <c r="M283" s="1126"/>
      <c r="N283" s="1090"/>
      <c r="O283" s="1090"/>
      <c r="P283" s="1090"/>
      <c r="Q283" s="1090"/>
    </row>
    <row r="284" spans="1:17" s="314" customFormat="1" ht="23.5" customHeight="1" outlineLevel="1" x14ac:dyDescent="0.35">
      <c r="B284" s="1100"/>
      <c r="C284" s="1100"/>
      <c r="D284" s="1100"/>
      <c r="E284" s="1100"/>
      <c r="F284" s="1100"/>
      <c r="G284" s="1100"/>
      <c r="H284" s="1100"/>
      <c r="I284" s="1100"/>
      <c r="J284" s="1100"/>
      <c r="K284" s="257" t="s">
        <v>1336</v>
      </c>
      <c r="L284" s="257" t="s">
        <v>1337</v>
      </c>
      <c r="M284" s="257" t="s">
        <v>1338</v>
      </c>
      <c r="N284" s="1100"/>
      <c r="O284" s="1100"/>
      <c r="P284" s="1100"/>
      <c r="Q284" s="1100"/>
    </row>
    <row r="285" spans="1:17" s="314" customFormat="1" ht="31" outlineLevel="1" x14ac:dyDescent="0.35">
      <c r="A285" s="317" t="s">
        <v>39</v>
      </c>
      <c r="B285" s="451" t="s">
        <v>255</v>
      </c>
      <c r="C285" s="551" t="s">
        <v>1446</v>
      </c>
      <c r="D285" s="551" t="s">
        <v>225</v>
      </c>
      <c r="E285" s="552">
        <v>1000</v>
      </c>
      <c r="F285" s="553"/>
      <c r="G285" s="552">
        <v>1000</v>
      </c>
      <c r="H285" s="452" t="s">
        <v>541</v>
      </c>
      <c r="I285" s="452" t="s">
        <v>547</v>
      </c>
      <c r="J285" s="551" t="str">
        <f>IF(OR(D285="",D285="-"),"",VLOOKUP(D285,'Fatores de Emissão'!$D$117:$F$121,3,FALSE))</f>
        <v>kg/t.km</v>
      </c>
      <c r="K285" s="1027">
        <v>4.9499999999999995E-2</v>
      </c>
      <c r="L285" s="1027">
        <v>2.8082724198641043E-6</v>
      </c>
      <c r="M285" s="1027">
        <v>9.5892228970969408E-7</v>
      </c>
      <c r="N285" s="964">
        <f t="shared" ref="N285:N316" si="9">IF(D285="","",IF(J285="kg/km",E285*K285/1000,IF(J285="kg/p.km",E285*F285*K285/1000,E285*G285*K285/1000)))</f>
        <v>49.499999999999993</v>
      </c>
      <c r="O285" s="1027">
        <v>2.8082724198641045E-3</v>
      </c>
      <c r="P285" s="1027">
        <v>9.5892228970969402E-4</v>
      </c>
      <c r="Q285" s="452">
        <f>IF(B285="","",IF(D285="","",N285*'Fatores de Emissão'!$E$252+'Combustão Móvel'!O285*'Fatores de Emissão'!$E$248+'Combustão Móvel'!P285*'Fatores de Emissão'!$E$249))</f>
        <v>49.832746034529258</v>
      </c>
    </row>
    <row r="286" spans="1:17" s="314" customFormat="1" outlineLevel="1" x14ac:dyDescent="0.35">
      <c r="B286" s="454"/>
      <c r="C286" s="194"/>
      <c r="D286" s="194"/>
      <c r="E286" s="342"/>
      <c r="F286" s="546"/>
      <c r="G286" s="342"/>
      <c r="H286" s="456"/>
      <c r="I286" s="456"/>
      <c r="J286" s="544" t="str">
        <f>IF(OR(D286="",D286="-"),"",VLOOKUP(D286,'Fatores de Emissão'!$D$117:$F$121,3,FALSE))</f>
        <v/>
      </c>
      <c r="K286" s="1024" t="str">
        <f>IF(OR(D286="",D286="-"),"",VLOOKUP(D286,'Fatores de Emissão'!$D$117:$E$121,2,FALSE))</f>
        <v/>
      </c>
      <c r="L286" s="1024" t="str">
        <f>IF(OR(D286="",D286="-"),"",VLOOKUP(D286,'Fatores de Emissão'!$D$117:$G$121,4,FALSE))</f>
        <v/>
      </c>
      <c r="M286" s="1024" t="str">
        <f>IF(OR(D286="",D286="-"),"",VLOOKUP(D286,'Fatores de Emissão'!$D$117:$I$121,6,FALSE))</f>
        <v/>
      </c>
      <c r="N286" s="962" t="str">
        <f t="shared" si="9"/>
        <v/>
      </c>
      <c r="O286" s="1024" t="str">
        <f t="shared" ref="O286:O348" si="10">IF(D286="","",IF(J286="kg/km",E286*L286/1000,IF(J286="kg/p.km",E286*F286*L286/1000,E286*G286*L286/1000)))</f>
        <v/>
      </c>
      <c r="P286" s="1024" t="str">
        <f t="shared" ref="P286:P348" si="11">IF(D286="","",IF(J286="kg/km",E286*M286/1000,IF(J286="kg/p.km",E286*F286*M286/1000,E286*G286*M286/1000)))</f>
        <v/>
      </c>
      <c r="Q286" s="960" t="str">
        <f>IF(B286="","",IF(D286="","",N286*'Fatores de Emissão'!$E$252+'Combustão Móvel'!O286*'Fatores de Emissão'!$E$248+'Combustão Móvel'!P286*'Fatores de Emissão'!$E$249))</f>
        <v/>
      </c>
    </row>
    <row r="287" spans="1:17" s="314" customFormat="1" outlineLevel="1" x14ac:dyDescent="0.35">
      <c r="B287" s="454"/>
      <c r="C287" s="194"/>
      <c r="D287" s="194"/>
      <c r="E287" s="342"/>
      <c r="F287" s="546"/>
      <c r="G287" s="342"/>
      <c r="H287" s="456"/>
      <c r="I287" s="456"/>
      <c r="J287" s="544" t="str">
        <f>IF(OR(D287="",D287="-"),"",VLOOKUP(D287,'Fatores de Emissão'!$D$117:$F$121,3,FALSE))</f>
        <v/>
      </c>
      <c r="K287" s="1024" t="str">
        <f>IF(OR(D287="",D287="-"),"",VLOOKUP(D287,'Fatores de Emissão'!$D$117:$E$121,2,FALSE))</f>
        <v/>
      </c>
      <c r="L287" s="1024" t="str">
        <f>IF(OR(D287="",D287="-"),"",VLOOKUP(D287,'Fatores de Emissão'!$D$117:$G$121,4,FALSE))</f>
        <v/>
      </c>
      <c r="M287" s="1024" t="str">
        <f>IF(OR(D287="",D287="-"),"",VLOOKUP(D287,'Fatores de Emissão'!$D$117:$I$121,6,FALSE))</f>
        <v/>
      </c>
      <c r="N287" s="962" t="str">
        <f t="shared" si="9"/>
        <v/>
      </c>
      <c r="O287" s="1024" t="str">
        <f t="shared" si="10"/>
        <v/>
      </c>
      <c r="P287" s="1024" t="str">
        <f t="shared" si="11"/>
        <v/>
      </c>
      <c r="Q287" s="960" t="str">
        <f>IF(B287="","",IF(D287="","",N287*'Fatores de Emissão'!$E$252+'Combustão Móvel'!O287*'Fatores de Emissão'!$E$248+'Combustão Móvel'!P287*'Fatores de Emissão'!$E$249))</f>
        <v/>
      </c>
    </row>
    <row r="288" spans="1:17" s="314" customFormat="1" outlineLevel="1" x14ac:dyDescent="0.35">
      <c r="B288" s="454"/>
      <c r="C288" s="194"/>
      <c r="D288" s="194"/>
      <c r="E288" s="342"/>
      <c r="F288" s="546"/>
      <c r="G288" s="342"/>
      <c r="H288" s="456"/>
      <c r="I288" s="456"/>
      <c r="J288" s="544" t="str">
        <f>IF(OR(D288="",D288="-"),"",VLOOKUP(D288,'Fatores de Emissão'!$D$117:$F$121,3,FALSE))</f>
        <v/>
      </c>
      <c r="K288" s="1024" t="str">
        <f>IF(OR(D288="",D288="-"),"",VLOOKUP(D288,'Fatores de Emissão'!$D$117:$E$121,2,FALSE))</f>
        <v/>
      </c>
      <c r="L288" s="1024" t="str">
        <f>IF(OR(D288="",D288="-"),"",VLOOKUP(D288,'Fatores de Emissão'!$D$117:$G$121,4,FALSE))</f>
        <v/>
      </c>
      <c r="M288" s="1024" t="str">
        <f>IF(OR(D288="",D288="-"),"",VLOOKUP(D288,'Fatores de Emissão'!$D$117:$I$121,6,FALSE))</f>
        <v/>
      </c>
      <c r="N288" s="962" t="str">
        <f t="shared" si="9"/>
        <v/>
      </c>
      <c r="O288" s="1024" t="str">
        <f t="shared" si="10"/>
        <v/>
      </c>
      <c r="P288" s="1024" t="str">
        <f t="shared" si="11"/>
        <v/>
      </c>
      <c r="Q288" s="960" t="str">
        <f>IF(B288="","",IF(D288="","",N288*'Fatores de Emissão'!$E$252+'Combustão Móvel'!O288*'Fatores de Emissão'!$E$248+'Combustão Móvel'!P288*'Fatores de Emissão'!$E$249))</f>
        <v/>
      </c>
    </row>
    <row r="289" spans="2:17" s="314" customFormat="1" outlineLevel="1" x14ac:dyDescent="0.35">
      <c r="B289" s="454"/>
      <c r="C289" s="194"/>
      <c r="D289" s="194"/>
      <c r="E289" s="342"/>
      <c r="F289" s="546"/>
      <c r="G289" s="342"/>
      <c r="H289" s="456"/>
      <c r="I289" s="456"/>
      <c r="J289" s="544" t="str">
        <f>IF(OR(D289="",D289="-"),"",VLOOKUP(D289,'Fatores de Emissão'!$D$117:$F$121,3,FALSE))</f>
        <v/>
      </c>
      <c r="K289" s="1024" t="str">
        <f>IF(OR(D289="",D289="-"),"",VLOOKUP(D289,'Fatores de Emissão'!$D$117:$E$121,2,FALSE))</f>
        <v/>
      </c>
      <c r="L289" s="1024" t="str">
        <f>IF(OR(D289="",D289="-"),"",VLOOKUP(D289,'Fatores de Emissão'!$D$117:$G$121,4,FALSE))</f>
        <v/>
      </c>
      <c r="M289" s="1024" t="str">
        <f>IF(OR(D289="",D289="-"),"",VLOOKUP(D289,'Fatores de Emissão'!$D$117:$I$121,6,FALSE))</f>
        <v/>
      </c>
      <c r="N289" s="962" t="str">
        <f t="shared" si="9"/>
        <v/>
      </c>
      <c r="O289" s="1024" t="str">
        <f t="shared" si="10"/>
        <v/>
      </c>
      <c r="P289" s="1024" t="str">
        <f t="shared" si="11"/>
        <v/>
      </c>
      <c r="Q289" s="960" t="str">
        <f>IF(B289="","",IF(D289="","",N289*'Fatores de Emissão'!$E$252+'Combustão Móvel'!O289*'Fatores de Emissão'!$E$248+'Combustão Móvel'!P289*'Fatores de Emissão'!$E$249))</f>
        <v/>
      </c>
    </row>
    <row r="290" spans="2:17" s="314" customFormat="1" outlineLevel="1" x14ac:dyDescent="0.35">
      <c r="B290" s="454"/>
      <c r="C290" s="194"/>
      <c r="D290" s="194"/>
      <c r="E290" s="342"/>
      <c r="F290" s="546"/>
      <c r="G290" s="342"/>
      <c r="H290" s="456"/>
      <c r="I290" s="456"/>
      <c r="J290" s="544" t="str">
        <f>IF(OR(D290="",D290="-"),"",VLOOKUP(D290,'Fatores de Emissão'!$D$117:$F$121,3,FALSE))</f>
        <v/>
      </c>
      <c r="K290" s="1024" t="str">
        <f>IF(OR(D290="",D290="-"),"",VLOOKUP(D290,'Fatores de Emissão'!$D$117:$E$121,2,FALSE))</f>
        <v/>
      </c>
      <c r="L290" s="1024" t="str">
        <f>IF(OR(D290="",D290="-"),"",VLOOKUP(D290,'Fatores de Emissão'!$D$117:$G$121,4,FALSE))</f>
        <v/>
      </c>
      <c r="M290" s="1024" t="str">
        <f>IF(OR(D290="",D290="-"),"",VLOOKUP(D290,'Fatores de Emissão'!$D$117:$I$121,6,FALSE))</f>
        <v/>
      </c>
      <c r="N290" s="962" t="str">
        <f t="shared" si="9"/>
        <v/>
      </c>
      <c r="O290" s="1024" t="str">
        <f t="shared" si="10"/>
        <v/>
      </c>
      <c r="P290" s="1024" t="str">
        <f t="shared" si="11"/>
        <v/>
      </c>
      <c r="Q290" s="960" t="str">
        <f>IF(B290="","",IF(D290="","",N290*'Fatores de Emissão'!$E$252+'Combustão Móvel'!O290*'Fatores de Emissão'!$E$248+'Combustão Móvel'!P290*'Fatores de Emissão'!$E$249))</f>
        <v/>
      </c>
    </row>
    <row r="291" spans="2:17" s="314" customFormat="1" outlineLevel="1" x14ac:dyDescent="0.35">
      <c r="B291" s="454"/>
      <c r="C291" s="194"/>
      <c r="D291" s="194"/>
      <c r="E291" s="342"/>
      <c r="F291" s="546"/>
      <c r="G291" s="342"/>
      <c r="H291" s="456"/>
      <c r="I291" s="456"/>
      <c r="J291" s="544" t="str">
        <f>IF(OR(D291="",D291="-"),"",VLOOKUP(D291,'Fatores de Emissão'!$D$117:$F$121,3,FALSE))</f>
        <v/>
      </c>
      <c r="K291" s="1024" t="str">
        <f>IF(OR(D291="",D291="-"),"",VLOOKUP(D291,'Fatores de Emissão'!$D$117:$E$121,2,FALSE))</f>
        <v/>
      </c>
      <c r="L291" s="1024" t="str">
        <f>IF(OR(D291="",D291="-"),"",VLOOKUP(D291,'Fatores de Emissão'!$D$117:$G$121,4,FALSE))</f>
        <v/>
      </c>
      <c r="M291" s="1024" t="str">
        <f>IF(OR(D291="",D291="-"),"",VLOOKUP(D291,'Fatores de Emissão'!$D$117:$I$121,6,FALSE))</f>
        <v/>
      </c>
      <c r="N291" s="962" t="str">
        <f t="shared" si="9"/>
        <v/>
      </c>
      <c r="O291" s="1024" t="str">
        <f t="shared" si="10"/>
        <v/>
      </c>
      <c r="P291" s="1024" t="str">
        <f t="shared" si="11"/>
        <v/>
      </c>
      <c r="Q291" s="960" t="str">
        <f>IF(B291="","",IF(D291="","",N291*'Fatores de Emissão'!$E$252+'Combustão Móvel'!O291*'Fatores de Emissão'!$E$248+'Combustão Móvel'!P291*'Fatores de Emissão'!$E$249))</f>
        <v/>
      </c>
    </row>
    <row r="292" spans="2:17" s="314" customFormat="1" outlineLevel="1" x14ac:dyDescent="0.35">
      <c r="B292" s="454"/>
      <c r="C292" s="194"/>
      <c r="D292" s="194"/>
      <c r="E292" s="342"/>
      <c r="F292" s="546"/>
      <c r="G292" s="342"/>
      <c r="H292" s="456"/>
      <c r="I292" s="456"/>
      <c r="J292" s="544" t="str">
        <f>IF(OR(D292="",D292="-"),"",VLOOKUP(D292,'Fatores de Emissão'!$D$117:$F$121,3,FALSE))</f>
        <v/>
      </c>
      <c r="K292" s="1024" t="str">
        <f>IF(OR(D292="",D292="-"),"",VLOOKUP(D292,'Fatores de Emissão'!$D$117:$E$121,2,FALSE))</f>
        <v/>
      </c>
      <c r="L292" s="1024" t="str">
        <f>IF(OR(D292="",D292="-"),"",VLOOKUP(D292,'Fatores de Emissão'!$D$117:$G$121,4,FALSE))</f>
        <v/>
      </c>
      <c r="M292" s="1024" t="str">
        <f>IF(OR(D292="",D292="-"),"",VLOOKUP(D292,'Fatores de Emissão'!$D$117:$I$121,6,FALSE))</f>
        <v/>
      </c>
      <c r="N292" s="962" t="str">
        <f t="shared" si="9"/>
        <v/>
      </c>
      <c r="O292" s="1024" t="str">
        <f t="shared" si="10"/>
        <v/>
      </c>
      <c r="P292" s="1024" t="str">
        <f t="shared" si="11"/>
        <v/>
      </c>
      <c r="Q292" s="960" t="str">
        <f>IF(B292="","",IF(D292="","",N292*'Fatores de Emissão'!$E$252+'Combustão Móvel'!O292*'Fatores de Emissão'!$E$248+'Combustão Móvel'!P292*'Fatores de Emissão'!$E$249))</f>
        <v/>
      </c>
    </row>
    <row r="293" spans="2:17" s="314" customFormat="1" outlineLevel="1" x14ac:dyDescent="0.35">
      <c r="B293" s="454"/>
      <c r="C293" s="194"/>
      <c r="D293" s="194"/>
      <c r="E293" s="342"/>
      <c r="F293" s="546"/>
      <c r="G293" s="342"/>
      <c r="H293" s="456"/>
      <c r="I293" s="456"/>
      <c r="J293" s="544" t="str">
        <f>IF(OR(D293="",D293="-"),"",VLOOKUP(D293,'Fatores de Emissão'!$D$117:$F$121,3,FALSE))</f>
        <v/>
      </c>
      <c r="K293" s="1024" t="str">
        <f>IF(OR(D293="",D293="-"),"",VLOOKUP(D293,'Fatores de Emissão'!$D$117:$E$121,2,FALSE))</f>
        <v/>
      </c>
      <c r="L293" s="1024" t="str">
        <f>IF(OR(D293="",D293="-"),"",VLOOKUP(D293,'Fatores de Emissão'!$D$117:$G$121,4,FALSE))</f>
        <v/>
      </c>
      <c r="M293" s="1024" t="str">
        <f>IF(OR(D293="",D293="-"),"",VLOOKUP(D293,'Fatores de Emissão'!$D$117:$I$121,6,FALSE))</f>
        <v/>
      </c>
      <c r="N293" s="962" t="str">
        <f t="shared" si="9"/>
        <v/>
      </c>
      <c r="O293" s="1024" t="str">
        <f t="shared" si="10"/>
        <v/>
      </c>
      <c r="P293" s="1024" t="str">
        <f t="shared" si="11"/>
        <v/>
      </c>
      <c r="Q293" s="960" t="str">
        <f>IF(B293="","",IF(D293="","",N293*'Fatores de Emissão'!$E$252+'Combustão Móvel'!O293*'Fatores de Emissão'!$E$248+'Combustão Móvel'!P293*'Fatores de Emissão'!$E$249))</f>
        <v/>
      </c>
    </row>
    <row r="294" spans="2:17" s="314" customFormat="1" outlineLevel="1" x14ac:dyDescent="0.35">
      <c r="B294" s="454"/>
      <c r="C294" s="194"/>
      <c r="D294" s="194"/>
      <c r="E294" s="342"/>
      <c r="F294" s="546"/>
      <c r="G294" s="342"/>
      <c r="H294" s="456"/>
      <c r="I294" s="456"/>
      <c r="J294" s="544" t="str">
        <f>IF(OR(D294="",D294="-"),"",VLOOKUP(D294,'Fatores de Emissão'!$D$117:$F$121,3,FALSE))</f>
        <v/>
      </c>
      <c r="K294" s="1024" t="str">
        <f>IF(OR(D294="",D294="-"),"",VLOOKUP(D294,'Fatores de Emissão'!$D$117:$E$121,2,FALSE))</f>
        <v/>
      </c>
      <c r="L294" s="1024" t="str">
        <f>IF(OR(D294="",D294="-"),"",VLOOKUP(D294,'Fatores de Emissão'!$D$117:$G$121,4,FALSE))</f>
        <v/>
      </c>
      <c r="M294" s="1024" t="str">
        <f>IF(OR(D294="",D294="-"),"",VLOOKUP(D294,'Fatores de Emissão'!$D$117:$I$121,6,FALSE))</f>
        <v/>
      </c>
      <c r="N294" s="962" t="str">
        <f t="shared" si="9"/>
        <v/>
      </c>
      <c r="O294" s="1024" t="str">
        <f t="shared" si="10"/>
        <v/>
      </c>
      <c r="P294" s="1024" t="str">
        <f t="shared" si="11"/>
        <v/>
      </c>
      <c r="Q294" s="960" t="str">
        <f>IF(B294="","",IF(D294="","",N294*'Fatores de Emissão'!$E$252+'Combustão Móvel'!O294*'Fatores de Emissão'!$E$248+'Combustão Móvel'!P294*'Fatores de Emissão'!$E$249))</f>
        <v/>
      </c>
    </row>
    <row r="295" spans="2:17" s="314" customFormat="1" outlineLevel="1" x14ac:dyDescent="0.35">
      <c r="B295" s="454"/>
      <c r="C295" s="194"/>
      <c r="D295" s="194"/>
      <c r="E295" s="342"/>
      <c r="F295" s="546"/>
      <c r="G295" s="342"/>
      <c r="H295" s="456"/>
      <c r="I295" s="456"/>
      <c r="J295" s="544" t="str">
        <f>IF(OR(D295="",D295="-"),"",VLOOKUP(D295,'Fatores de Emissão'!$D$117:$F$121,3,FALSE))</f>
        <v/>
      </c>
      <c r="K295" s="1024" t="str">
        <f>IF(OR(D295="",D295="-"),"",VLOOKUP(D295,'Fatores de Emissão'!$D$117:$E$121,2,FALSE))</f>
        <v/>
      </c>
      <c r="L295" s="1024" t="str">
        <f>IF(OR(D295="",D295="-"),"",VLOOKUP(D295,'Fatores de Emissão'!$D$117:$G$121,4,FALSE))</f>
        <v/>
      </c>
      <c r="M295" s="1024" t="str">
        <f>IF(OR(D295="",D295="-"),"",VLOOKUP(D295,'Fatores de Emissão'!$D$117:$I$121,6,FALSE))</f>
        <v/>
      </c>
      <c r="N295" s="962" t="str">
        <f t="shared" si="9"/>
        <v/>
      </c>
      <c r="O295" s="1024" t="str">
        <f t="shared" si="10"/>
        <v/>
      </c>
      <c r="P295" s="1024" t="str">
        <f t="shared" si="11"/>
        <v/>
      </c>
      <c r="Q295" s="960" t="str">
        <f>IF(B295="","",IF(D295="","",N295*'Fatores de Emissão'!$E$252+'Combustão Móvel'!O295*'Fatores de Emissão'!$E$248+'Combustão Móvel'!P295*'Fatores de Emissão'!$E$249))</f>
        <v/>
      </c>
    </row>
    <row r="296" spans="2:17" s="314" customFormat="1" outlineLevel="1" x14ac:dyDescent="0.35">
      <c r="B296" s="454"/>
      <c r="C296" s="194"/>
      <c r="D296" s="194"/>
      <c r="E296" s="342"/>
      <c r="F296" s="546"/>
      <c r="G296" s="342"/>
      <c r="H296" s="456"/>
      <c r="I296" s="456"/>
      <c r="J296" s="544" t="str">
        <f>IF(OR(D296="",D296="-"),"",VLOOKUP(D296,'Fatores de Emissão'!$D$117:$F$121,3,FALSE))</f>
        <v/>
      </c>
      <c r="K296" s="1024" t="str">
        <f>IF(OR(D296="",D296="-"),"",VLOOKUP(D296,'Fatores de Emissão'!$D$117:$E$121,2,FALSE))</f>
        <v/>
      </c>
      <c r="L296" s="1024" t="str">
        <f>IF(OR(D296="",D296="-"),"",VLOOKUP(D296,'Fatores de Emissão'!$D$117:$G$121,4,FALSE))</f>
        <v/>
      </c>
      <c r="M296" s="1024" t="str">
        <f>IF(OR(D296="",D296="-"),"",VLOOKUP(D296,'Fatores de Emissão'!$D$117:$I$121,6,FALSE))</f>
        <v/>
      </c>
      <c r="N296" s="962" t="str">
        <f t="shared" si="9"/>
        <v/>
      </c>
      <c r="O296" s="1024" t="str">
        <f t="shared" si="10"/>
        <v/>
      </c>
      <c r="P296" s="1024" t="str">
        <f t="shared" si="11"/>
        <v/>
      </c>
      <c r="Q296" s="960" t="str">
        <f>IF(B296="","",IF(D296="","",N296*'Fatores de Emissão'!$E$252+'Combustão Móvel'!O296*'Fatores de Emissão'!$E$248+'Combustão Móvel'!P296*'Fatores de Emissão'!$E$249))</f>
        <v/>
      </c>
    </row>
    <row r="297" spans="2:17" s="314" customFormat="1" hidden="1" outlineLevel="2" x14ac:dyDescent="0.35">
      <c r="B297" s="454"/>
      <c r="C297" s="194"/>
      <c r="D297" s="194"/>
      <c r="E297" s="342"/>
      <c r="F297" s="546"/>
      <c r="G297" s="342"/>
      <c r="H297" s="456"/>
      <c r="I297" s="456"/>
      <c r="J297" s="544" t="str">
        <f>IF(OR(D297="",D297="-"),"",VLOOKUP(D297,'Fatores de Emissão'!$D$117:$F$121,3,FALSE))</f>
        <v/>
      </c>
      <c r="K297" s="1024" t="str">
        <f>IF(OR(D297="",D297="-"),"",VLOOKUP(D297,'Fatores de Emissão'!$D$117:$E$121,2,FALSE))</f>
        <v/>
      </c>
      <c r="L297" s="1024" t="str">
        <f>IF(OR(D297="",D297="-"),"",VLOOKUP(D297,'Fatores de Emissão'!$D$117:$G$121,4,FALSE))</f>
        <v/>
      </c>
      <c r="M297" s="1024" t="str">
        <f>IF(OR(D297="",D297="-"),"",VLOOKUP(D297,'Fatores de Emissão'!$D$117:$I$121,6,FALSE))</f>
        <v/>
      </c>
      <c r="N297" s="544" t="str">
        <f t="shared" si="9"/>
        <v/>
      </c>
      <c r="O297" s="1024" t="str">
        <f t="shared" si="10"/>
        <v/>
      </c>
      <c r="P297" s="1024" t="str">
        <f t="shared" si="11"/>
        <v/>
      </c>
      <c r="Q297" s="543" t="str">
        <f>IF(B297="","",IF(D297="","",N297*'Fatores de Emissão'!$E$252+'Combustão Móvel'!O297*'Fatores de Emissão'!$E$248+'Combustão Móvel'!P297*'Fatores de Emissão'!$E$249))</f>
        <v/>
      </c>
    </row>
    <row r="298" spans="2:17" s="314" customFormat="1" hidden="1" outlineLevel="2" x14ac:dyDescent="0.35">
      <c r="B298" s="454"/>
      <c r="C298" s="194"/>
      <c r="D298" s="194"/>
      <c r="E298" s="342"/>
      <c r="F298" s="546"/>
      <c r="G298" s="342"/>
      <c r="H298" s="456"/>
      <c r="I298" s="456"/>
      <c r="J298" s="544" t="str">
        <f>IF(OR(D298="",D298="-"),"",VLOOKUP(D298,'Fatores de Emissão'!$D$117:$F$121,3,FALSE))</f>
        <v/>
      </c>
      <c r="K298" s="1024" t="str">
        <f>IF(OR(D298="",D298="-"),"",VLOOKUP(D298,'Fatores de Emissão'!$D$117:$E$121,2,FALSE))</f>
        <v/>
      </c>
      <c r="L298" s="1024" t="str">
        <f>IF(OR(D298="",D298="-"),"",VLOOKUP(D298,'Fatores de Emissão'!$D$117:$G$121,4,FALSE))</f>
        <v/>
      </c>
      <c r="M298" s="1024" t="str">
        <f>IF(OR(D298="",D298="-"),"",VLOOKUP(D298,'Fatores de Emissão'!$D$117:$I$121,6,FALSE))</f>
        <v/>
      </c>
      <c r="N298" s="544" t="str">
        <f t="shared" si="9"/>
        <v/>
      </c>
      <c r="O298" s="1024" t="str">
        <f t="shared" si="10"/>
        <v/>
      </c>
      <c r="P298" s="1024" t="str">
        <f t="shared" si="11"/>
        <v/>
      </c>
      <c r="Q298" s="543" t="str">
        <f>IF(B298="","",IF(D298="","",N298*'Fatores de Emissão'!$E$252+'Combustão Móvel'!O298*'Fatores de Emissão'!$E$248+'Combustão Móvel'!P298*'Fatores de Emissão'!$E$249))</f>
        <v/>
      </c>
    </row>
    <row r="299" spans="2:17" s="314" customFormat="1" hidden="1" outlineLevel="2" x14ac:dyDescent="0.35">
      <c r="B299" s="454"/>
      <c r="C299" s="194"/>
      <c r="D299" s="194"/>
      <c r="E299" s="342"/>
      <c r="F299" s="546"/>
      <c r="G299" s="342"/>
      <c r="H299" s="456"/>
      <c r="I299" s="456"/>
      <c r="J299" s="544" t="str">
        <f>IF(OR(D299="",D299="-"),"",VLOOKUP(D299,'Fatores de Emissão'!$D$117:$F$121,3,FALSE))</f>
        <v/>
      </c>
      <c r="K299" s="1024" t="str">
        <f>IF(OR(D299="",D299="-"),"",VLOOKUP(D299,'Fatores de Emissão'!$D$117:$E$121,2,FALSE))</f>
        <v/>
      </c>
      <c r="L299" s="1024" t="str">
        <f>IF(OR(D299="",D299="-"),"",VLOOKUP(D299,'Fatores de Emissão'!$D$117:$G$121,4,FALSE))</f>
        <v/>
      </c>
      <c r="M299" s="1024" t="str">
        <f>IF(OR(D299="",D299="-"),"",VLOOKUP(D299,'Fatores de Emissão'!$D$117:$I$121,6,FALSE))</f>
        <v/>
      </c>
      <c r="N299" s="544" t="str">
        <f t="shared" si="9"/>
        <v/>
      </c>
      <c r="O299" s="1024" t="str">
        <f t="shared" si="10"/>
        <v/>
      </c>
      <c r="P299" s="1024" t="str">
        <f t="shared" si="11"/>
        <v/>
      </c>
      <c r="Q299" s="543" t="str">
        <f>IF(B299="","",IF(D299="","",N299*'Fatores de Emissão'!$E$252+'Combustão Móvel'!O299*'Fatores de Emissão'!$E$248+'Combustão Móvel'!P299*'Fatores de Emissão'!$E$249))</f>
        <v/>
      </c>
    </row>
    <row r="300" spans="2:17" s="314" customFormat="1" hidden="1" outlineLevel="2" x14ac:dyDescent="0.35">
      <c r="B300" s="454"/>
      <c r="C300" s="194"/>
      <c r="D300" s="194"/>
      <c r="E300" s="342"/>
      <c r="F300" s="546"/>
      <c r="G300" s="342"/>
      <c r="H300" s="456"/>
      <c r="I300" s="456"/>
      <c r="J300" s="544" t="str">
        <f>IF(OR(D300="",D300="-"),"",VLOOKUP(D300,'Fatores de Emissão'!$D$117:$F$121,3,FALSE))</f>
        <v/>
      </c>
      <c r="K300" s="1024" t="str">
        <f>IF(OR(D300="",D300="-"),"",VLOOKUP(D300,'Fatores de Emissão'!$D$117:$E$121,2,FALSE))</f>
        <v/>
      </c>
      <c r="L300" s="1024" t="str">
        <f>IF(OR(D300="",D300="-"),"",VLOOKUP(D300,'Fatores de Emissão'!$D$117:$G$121,4,FALSE))</f>
        <v/>
      </c>
      <c r="M300" s="1024" t="str">
        <f>IF(OR(D300="",D300="-"),"",VLOOKUP(D300,'Fatores de Emissão'!$D$117:$I$121,6,FALSE))</f>
        <v/>
      </c>
      <c r="N300" s="544" t="str">
        <f t="shared" si="9"/>
        <v/>
      </c>
      <c r="O300" s="1024" t="str">
        <f t="shared" si="10"/>
        <v/>
      </c>
      <c r="P300" s="1024" t="str">
        <f t="shared" si="11"/>
        <v/>
      </c>
      <c r="Q300" s="543" t="str">
        <f>IF(B300="","",IF(D300="","",N300*'Fatores de Emissão'!$E$252+'Combustão Móvel'!O300*'Fatores de Emissão'!$E$248+'Combustão Móvel'!P300*'Fatores de Emissão'!$E$249))</f>
        <v/>
      </c>
    </row>
    <row r="301" spans="2:17" s="314" customFormat="1" hidden="1" outlineLevel="2" x14ac:dyDescent="0.35">
      <c r="B301" s="454"/>
      <c r="C301" s="194"/>
      <c r="D301" s="194"/>
      <c r="E301" s="342"/>
      <c r="F301" s="546"/>
      <c r="G301" s="342"/>
      <c r="H301" s="456"/>
      <c r="I301" s="456"/>
      <c r="J301" s="544" t="str">
        <f>IF(OR(D301="",D301="-"),"",VLOOKUP(D301,'Fatores de Emissão'!$D$117:$F$121,3,FALSE))</f>
        <v/>
      </c>
      <c r="K301" s="1024" t="str">
        <f>IF(OR(D301="",D301="-"),"",VLOOKUP(D301,'Fatores de Emissão'!$D$117:$E$121,2,FALSE))</f>
        <v/>
      </c>
      <c r="L301" s="1024" t="str">
        <f>IF(OR(D301="",D301="-"),"",VLOOKUP(D301,'Fatores de Emissão'!$D$117:$G$121,4,FALSE))</f>
        <v/>
      </c>
      <c r="M301" s="1024" t="str">
        <f>IF(OR(D301="",D301="-"),"",VLOOKUP(D301,'Fatores de Emissão'!$D$117:$I$121,6,FALSE))</f>
        <v/>
      </c>
      <c r="N301" s="544" t="str">
        <f t="shared" si="9"/>
        <v/>
      </c>
      <c r="O301" s="1024" t="str">
        <f t="shared" si="10"/>
        <v/>
      </c>
      <c r="P301" s="1024" t="str">
        <f t="shared" si="11"/>
        <v/>
      </c>
      <c r="Q301" s="543" t="str">
        <f>IF(B301="","",IF(D301="","",N301*'Fatores de Emissão'!$E$252+'Combustão Móvel'!O301*'Fatores de Emissão'!$E$248+'Combustão Móvel'!P301*'Fatores de Emissão'!$E$249))</f>
        <v/>
      </c>
    </row>
    <row r="302" spans="2:17" s="314" customFormat="1" hidden="1" outlineLevel="2" x14ac:dyDescent="0.35">
      <c r="B302" s="454"/>
      <c r="C302" s="194"/>
      <c r="D302" s="194"/>
      <c r="E302" s="342"/>
      <c r="F302" s="546"/>
      <c r="G302" s="342"/>
      <c r="H302" s="456"/>
      <c r="I302" s="456"/>
      <c r="J302" s="544" t="str">
        <f>IF(OR(D302="",D302="-"),"",VLOOKUP(D302,'Fatores de Emissão'!$D$117:$F$121,3,FALSE))</f>
        <v/>
      </c>
      <c r="K302" s="1024" t="str">
        <f>IF(OR(D302="",D302="-"),"",VLOOKUP(D302,'Fatores de Emissão'!$D$117:$E$121,2,FALSE))</f>
        <v/>
      </c>
      <c r="L302" s="1024" t="str">
        <f>IF(OR(D302="",D302="-"),"",VLOOKUP(D302,'Fatores de Emissão'!$D$117:$G$121,4,FALSE))</f>
        <v/>
      </c>
      <c r="M302" s="1024" t="str">
        <f>IF(OR(D302="",D302="-"),"",VLOOKUP(D302,'Fatores de Emissão'!$D$117:$I$121,6,FALSE))</f>
        <v/>
      </c>
      <c r="N302" s="544" t="str">
        <f t="shared" si="9"/>
        <v/>
      </c>
      <c r="O302" s="1024" t="str">
        <f t="shared" si="10"/>
        <v/>
      </c>
      <c r="P302" s="1024" t="str">
        <f t="shared" si="11"/>
        <v/>
      </c>
      <c r="Q302" s="543" t="str">
        <f>IF(B302="","",IF(D302="","",N302*'Fatores de Emissão'!$E$252+'Combustão Móvel'!O302*'Fatores de Emissão'!$E$248+'Combustão Móvel'!P302*'Fatores de Emissão'!$E$249))</f>
        <v/>
      </c>
    </row>
    <row r="303" spans="2:17" s="314" customFormat="1" hidden="1" outlineLevel="2" x14ac:dyDescent="0.35">
      <c r="B303" s="454"/>
      <c r="C303" s="194"/>
      <c r="D303" s="194"/>
      <c r="E303" s="342"/>
      <c r="F303" s="546"/>
      <c r="G303" s="342"/>
      <c r="H303" s="456"/>
      <c r="I303" s="456"/>
      <c r="J303" s="544" t="str">
        <f>IF(OR(D303="",D303="-"),"",VLOOKUP(D303,'Fatores de Emissão'!$D$117:$F$121,3,FALSE))</f>
        <v/>
      </c>
      <c r="K303" s="1024" t="str">
        <f>IF(OR(D303="",D303="-"),"",VLOOKUP(D303,'Fatores de Emissão'!$D$117:$E$121,2,FALSE))</f>
        <v/>
      </c>
      <c r="L303" s="1024" t="str">
        <f>IF(OR(D303="",D303="-"),"",VLOOKUP(D303,'Fatores de Emissão'!$D$117:$G$121,4,FALSE))</f>
        <v/>
      </c>
      <c r="M303" s="1024" t="str">
        <f>IF(OR(D303="",D303="-"),"",VLOOKUP(D303,'Fatores de Emissão'!$D$117:$I$121,6,FALSE))</f>
        <v/>
      </c>
      <c r="N303" s="544" t="str">
        <f t="shared" si="9"/>
        <v/>
      </c>
      <c r="O303" s="1024" t="str">
        <f t="shared" si="10"/>
        <v/>
      </c>
      <c r="P303" s="1024" t="str">
        <f t="shared" si="11"/>
        <v/>
      </c>
      <c r="Q303" s="543" t="str">
        <f>IF(B303="","",IF(D303="","",N303*'Fatores de Emissão'!$E$252+'Combustão Móvel'!O303*'Fatores de Emissão'!$E$248+'Combustão Móvel'!P303*'Fatores de Emissão'!$E$249))</f>
        <v/>
      </c>
    </row>
    <row r="304" spans="2:17" s="314" customFormat="1" hidden="1" outlineLevel="2" x14ac:dyDescent="0.35">
      <c r="B304" s="454"/>
      <c r="C304" s="194"/>
      <c r="D304" s="194"/>
      <c r="E304" s="342"/>
      <c r="F304" s="546"/>
      <c r="G304" s="342"/>
      <c r="H304" s="456"/>
      <c r="I304" s="456"/>
      <c r="J304" s="544" t="str">
        <f>IF(OR(D304="",D304="-"),"",VLOOKUP(D304,'Fatores de Emissão'!$D$117:$F$121,3,FALSE))</f>
        <v/>
      </c>
      <c r="K304" s="1024" t="str">
        <f>IF(OR(D304="",D304="-"),"",VLOOKUP(D304,'Fatores de Emissão'!$D$117:$E$121,2,FALSE))</f>
        <v/>
      </c>
      <c r="L304" s="1024" t="str">
        <f>IF(OR(D304="",D304="-"),"",VLOOKUP(D304,'Fatores de Emissão'!$D$117:$G$121,4,FALSE))</f>
        <v/>
      </c>
      <c r="M304" s="1024" t="str">
        <f>IF(OR(D304="",D304="-"),"",VLOOKUP(D304,'Fatores de Emissão'!$D$117:$I$121,6,FALSE))</f>
        <v/>
      </c>
      <c r="N304" s="544" t="str">
        <f t="shared" si="9"/>
        <v/>
      </c>
      <c r="O304" s="1024" t="str">
        <f t="shared" si="10"/>
        <v/>
      </c>
      <c r="P304" s="1024" t="str">
        <f t="shared" si="11"/>
        <v/>
      </c>
      <c r="Q304" s="543" t="str">
        <f>IF(B304="","",IF(D304="","",N304*'Fatores de Emissão'!$E$252+'Combustão Móvel'!O304*'Fatores de Emissão'!$E$248+'Combustão Móvel'!P304*'Fatores de Emissão'!$E$249))</f>
        <v/>
      </c>
    </row>
    <row r="305" spans="2:17" s="314" customFormat="1" hidden="1" outlineLevel="2" x14ac:dyDescent="0.35">
      <c r="B305" s="454"/>
      <c r="C305" s="194"/>
      <c r="D305" s="194"/>
      <c r="E305" s="342"/>
      <c r="F305" s="546"/>
      <c r="G305" s="342"/>
      <c r="H305" s="456"/>
      <c r="I305" s="456"/>
      <c r="J305" s="544" t="str">
        <f>IF(OR(D305="",D305="-"),"",VLOOKUP(D305,'Fatores de Emissão'!$D$117:$F$121,3,FALSE))</f>
        <v/>
      </c>
      <c r="K305" s="1024" t="str">
        <f>IF(OR(D305="",D305="-"),"",VLOOKUP(D305,'Fatores de Emissão'!$D$117:$E$121,2,FALSE))</f>
        <v/>
      </c>
      <c r="L305" s="1024" t="str">
        <f>IF(OR(D305="",D305="-"),"",VLOOKUP(D305,'Fatores de Emissão'!$D$117:$G$121,4,FALSE))</f>
        <v/>
      </c>
      <c r="M305" s="1024" t="str">
        <f>IF(OR(D305="",D305="-"),"",VLOOKUP(D305,'Fatores de Emissão'!$D$117:$I$121,6,FALSE))</f>
        <v/>
      </c>
      <c r="N305" s="544" t="str">
        <f t="shared" si="9"/>
        <v/>
      </c>
      <c r="O305" s="1024" t="str">
        <f t="shared" si="10"/>
        <v/>
      </c>
      <c r="P305" s="1024" t="str">
        <f t="shared" si="11"/>
        <v/>
      </c>
      <c r="Q305" s="543" t="str">
        <f>IF(B305="","",IF(D305="","",N305*'Fatores de Emissão'!$E$252+'Combustão Móvel'!O305*'Fatores de Emissão'!$E$248+'Combustão Móvel'!P305*'Fatores de Emissão'!$E$249))</f>
        <v/>
      </c>
    </row>
    <row r="306" spans="2:17" s="314" customFormat="1" hidden="1" outlineLevel="2" x14ac:dyDescent="0.35">
      <c r="B306" s="454"/>
      <c r="C306" s="194"/>
      <c r="D306" s="194"/>
      <c r="E306" s="342"/>
      <c r="F306" s="546"/>
      <c r="G306" s="342"/>
      <c r="H306" s="456"/>
      <c r="I306" s="456"/>
      <c r="J306" s="544" t="str">
        <f>IF(OR(D306="",D306="-"),"",VLOOKUP(D306,'Fatores de Emissão'!$D$117:$F$121,3,FALSE))</f>
        <v/>
      </c>
      <c r="K306" s="1024" t="str">
        <f>IF(OR(D306="",D306="-"),"",VLOOKUP(D306,'Fatores de Emissão'!$D$117:$E$121,2,FALSE))</f>
        <v/>
      </c>
      <c r="L306" s="1024" t="str">
        <f>IF(OR(D306="",D306="-"),"",VLOOKUP(D306,'Fatores de Emissão'!$D$117:$G$121,4,FALSE))</f>
        <v/>
      </c>
      <c r="M306" s="1024" t="str">
        <f>IF(OR(D306="",D306="-"),"",VLOOKUP(D306,'Fatores de Emissão'!$D$117:$I$121,6,FALSE))</f>
        <v/>
      </c>
      <c r="N306" s="544" t="str">
        <f t="shared" si="9"/>
        <v/>
      </c>
      <c r="O306" s="1024" t="str">
        <f t="shared" si="10"/>
        <v/>
      </c>
      <c r="P306" s="1024" t="str">
        <f t="shared" si="11"/>
        <v/>
      </c>
      <c r="Q306" s="543" t="str">
        <f>IF(B306="","",IF(D306="","",N306*'Fatores de Emissão'!$E$252+'Combustão Móvel'!O306*'Fatores de Emissão'!$E$248+'Combustão Móvel'!P306*'Fatores de Emissão'!$E$249))</f>
        <v/>
      </c>
    </row>
    <row r="307" spans="2:17" s="314" customFormat="1" hidden="1" outlineLevel="2" x14ac:dyDescent="0.35">
      <c r="B307" s="454"/>
      <c r="C307" s="194"/>
      <c r="D307" s="194"/>
      <c r="E307" s="342"/>
      <c r="F307" s="546"/>
      <c r="G307" s="342"/>
      <c r="H307" s="456"/>
      <c r="I307" s="456"/>
      <c r="J307" s="544" t="str">
        <f>IF(OR(D307="",D307="-"),"",VLOOKUP(D307,'Fatores de Emissão'!$D$117:$F$121,3,FALSE))</f>
        <v/>
      </c>
      <c r="K307" s="1024" t="str">
        <f>IF(OR(D307="",D307="-"),"",VLOOKUP(D307,'Fatores de Emissão'!$D$117:$E$121,2,FALSE))</f>
        <v/>
      </c>
      <c r="L307" s="1024" t="str">
        <f>IF(OR(D307="",D307="-"),"",VLOOKUP(D307,'Fatores de Emissão'!$D$117:$G$121,4,FALSE))</f>
        <v/>
      </c>
      <c r="M307" s="1024" t="str">
        <f>IF(OR(D307="",D307="-"),"",VLOOKUP(D307,'Fatores de Emissão'!$D$117:$I$121,6,FALSE))</f>
        <v/>
      </c>
      <c r="N307" s="544" t="str">
        <f t="shared" si="9"/>
        <v/>
      </c>
      <c r="O307" s="1024" t="str">
        <f t="shared" si="10"/>
        <v/>
      </c>
      <c r="P307" s="1024" t="str">
        <f t="shared" si="11"/>
        <v/>
      </c>
      <c r="Q307" s="543" t="str">
        <f>IF(B307="","",IF(D307="","",N307*'Fatores de Emissão'!$E$252+'Combustão Móvel'!O307*'Fatores de Emissão'!$E$248+'Combustão Móvel'!P307*'Fatores de Emissão'!$E$249))</f>
        <v/>
      </c>
    </row>
    <row r="308" spans="2:17" s="314" customFormat="1" hidden="1" outlineLevel="2" x14ac:dyDescent="0.35">
      <c r="B308" s="454"/>
      <c r="C308" s="194"/>
      <c r="D308" s="194"/>
      <c r="E308" s="342"/>
      <c r="F308" s="546"/>
      <c r="G308" s="342"/>
      <c r="H308" s="456"/>
      <c r="I308" s="456"/>
      <c r="J308" s="544" t="str">
        <f>IF(OR(D308="",D308="-"),"",VLOOKUP(D308,'Fatores de Emissão'!$D$117:$F$121,3,FALSE))</f>
        <v/>
      </c>
      <c r="K308" s="1024" t="str">
        <f>IF(OR(D308="",D308="-"),"",VLOOKUP(D308,'Fatores de Emissão'!$D$117:$E$121,2,FALSE))</f>
        <v/>
      </c>
      <c r="L308" s="1024" t="str">
        <f>IF(OR(D308="",D308="-"),"",VLOOKUP(D308,'Fatores de Emissão'!$D$117:$G$121,4,FALSE))</f>
        <v/>
      </c>
      <c r="M308" s="1024" t="str">
        <f>IF(OR(D308="",D308="-"),"",VLOOKUP(D308,'Fatores de Emissão'!$D$117:$I$121,6,FALSE))</f>
        <v/>
      </c>
      <c r="N308" s="544" t="str">
        <f t="shared" si="9"/>
        <v/>
      </c>
      <c r="O308" s="1024" t="str">
        <f t="shared" si="10"/>
        <v/>
      </c>
      <c r="P308" s="1024" t="str">
        <f t="shared" si="11"/>
        <v/>
      </c>
      <c r="Q308" s="543" t="str">
        <f>IF(B308="","",IF(D308="","",N308*'Fatores de Emissão'!$E$252+'Combustão Móvel'!O308*'Fatores de Emissão'!$E$248+'Combustão Móvel'!P308*'Fatores de Emissão'!$E$249))</f>
        <v/>
      </c>
    </row>
    <row r="309" spans="2:17" s="314" customFormat="1" hidden="1" outlineLevel="2" x14ac:dyDescent="0.35">
      <c r="B309" s="454"/>
      <c r="C309" s="194"/>
      <c r="D309" s="194"/>
      <c r="E309" s="342"/>
      <c r="F309" s="546"/>
      <c r="G309" s="342"/>
      <c r="H309" s="456"/>
      <c r="I309" s="456"/>
      <c r="J309" s="544" t="str">
        <f>IF(OR(D309="",D309="-"),"",VLOOKUP(D309,'Fatores de Emissão'!$D$117:$F$121,3,FALSE))</f>
        <v/>
      </c>
      <c r="K309" s="1024" t="str">
        <f>IF(OR(D309="",D309="-"),"",VLOOKUP(D309,'Fatores de Emissão'!$D$117:$E$121,2,FALSE))</f>
        <v/>
      </c>
      <c r="L309" s="1024" t="str">
        <f>IF(OR(D309="",D309="-"),"",VLOOKUP(D309,'Fatores de Emissão'!$D$117:$G$121,4,FALSE))</f>
        <v/>
      </c>
      <c r="M309" s="1024" t="str">
        <f>IF(OR(D309="",D309="-"),"",VLOOKUP(D309,'Fatores de Emissão'!$D$117:$I$121,6,FALSE))</f>
        <v/>
      </c>
      <c r="N309" s="544" t="str">
        <f t="shared" si="9"/>
        <v/>
      </c>
      <c r="O309" s="1024" t="str">
        <f t="shared" si="10"/>
        <v/>
      </c>
      <c r="P309" s="1024" t="str">
        <f t="shared" si="11"/>
        <v/>
      </c>
      <c r="Q309" s="543" t="str">
        <f>IF(B309="","",IF(D309="","",N309*'Fatores de Emissão'!$E$252+'Combustão Móvel'!O309*'Fatores de Emissão'!$E$248+'Combustão Móvel'!P309*'Fatores de Emissão'!$E$249))</f>
        <v/>
      </c>
    </row>
    <row r="310" spans="2:17" s="314" customFormat="1" hidden="1" outlineLevel="2" x14ac:dyDescent="0.35">
      <c r="B310" s="454"/>
      <c r="C310" s="194"/>
      <c r="D310" s="194"/>
      <c r="E310" s="342"/>
      <c r="F310" s="546"/>
      <c r="G310" s="342"/>
      <c r="H310" s="456"/>
      <c r="I310" s="456"/>
      <c r="J310" s="544" t="str">
        <f>IF(OR(D310="",D310="-"),"",VLOOKUP(D310,'Fatores de Emissão'!$D$117:$F$121,3,FALSE))</f>
        <v/>
      </c>
      <c r="K310" s="1024" t="str">
        <f>IF(OR(D310="",D310="-"),"",VLOOKUP(D310,'Fatores de Emissão'!$D$117:$E$121,2,FALSE))</f>
        <v/>
      </c>
      <c r="L310" s="1024" t="str">
        <f>IF(OR(D310="",D310="-"),"",VLOOKUP(D310,'Fatores de Emissão'!$D$117:$G$121,4,FALSE))</f>
        <v/>
      </c>
      <c r="M310" s="1024" t="str">
        <f>IF(OR(D310="",D310="-"),"",VLOOKUP(D310,'Fatores de Emissão'!$D$117:$I$121,6,FALSE))</f>
        <v/>
      </c>
      <c r="N310" s="544" t="str">
        <f t="shared" si="9"/>
        <v/>
      </c>
      <c r="O310" s="1024" t="str">
        <f t="shared" si="10"/>
        <v/>
      </c>
      <c r="P310" s="1024" t="str">
        <f t="shared" si="11"/>
        <v/>
      </c>
      <c r="Q310" s="543" t="str">
        <f>IF(B310="","",IF(D310="","",N310*'Fatores de Emissão'!$E$252+'Combustão Móvel'!O310*'Fatores de Emissão'!$E$248+'Combustão Móvel'!P310*'Fatores de Emissão'!$E$249))</f>
        <v/>
      </c>
    </row>
    <row r="311" spans="2:17" s="314" customFormat="1" hidden="1" outlineLevel="2" x14ac:dyDescent="0.35">
      <c r="B311" s="454"/>
      <c r="C311" s="194"/>
      <c r="D311" s="194"/>
      <c r="E311" s="342"/>
      <c r="F311" s="546"/>
      <c r="G311" s="342"/>
      <c r="H311" s="456"/>
      <c r="I311" s="456"/>
      <c r="J311" s="544" t="str">
        <f>IF(OR(D311="",D311="-"),"",VLOOKUP(D311,'Fatores de Emissão'!$D$117:$F$121,3,FALSE))</f>
        <v/>
      </c>
      <c r="K311" s="1024" t="str">
        <f>IF(OR(D311="",D311="-"),"",VLOOKUP(D311,'Fatores de Emissão'!$D$117:$E$121,2,FALSE))</f>
        <v/>
      </c>
      <c r="L311" s="1024" t="str">
        <f>IF(OR(D311="",D311="-"),"",VLOOKUP(D311,'Fatores de Emissão'!$D$117:$G$121,4,FALSE))</f>
        <v/>
      </c>
      <c r="M311" s="1024" t="str">
        <f>IF(OR(D311="",D311="-"),"",VLOOKUP(D311,'Fatores de Emissão'!$D$117:$I$121,6,FALSE))</f>
        <v/>
      </c>
      <c r="N311" s="544" t="str">
        <f t="shared" si="9"/>
        <v/>
      </c>
      <c r="O311" s="1024" t="str">
        <f t="shared" si="10"/>
        <v/>
      </c>
      <c r="P311" s="1024" t="str">
        <f t="shared" si="11"/>
        <v/>
      </c>
      <c r="Q311" s="543" t="str">
        <f>IF(B311="","",IF(D311="","",N311*'Fatores de Emissão'!$E$252+'Combustão Móvel'!O311*'Fatores de Emissão'!$E$248+'Combustão Móvel'!P311*'Fatores de Emissão'!$E$249))</f>
        <v/>
      </c>
    </row>
    <row r="312" spans="2:17" s="314" customFormat="1" hidden="1" outlineLevel="2" x14ac:dyDescent="0.35">
      <c r="B312" s="454"/>
      <c r="C312" s="194"/>
      <c r="D312" s="194"/>
      <c r="E312" s="342"/>
      <c r="F312" s="546"/>
      <c r="G312" s="342"/>
      <c r="H312" s="456"/>
      <c r="I312" s="456"/>
      <c r="J312" s="544" t="str">
        <f>IF(OR(D312="",D312="-"),"",VLOOKUP(D312,'Fatores de Emissão'!$D$117:$F$121,3,FALSE))</f>
        <v/>
      </c>
      <c r="K312" s="1024" t="str">
        <f>IF(OR(D312="",D312="-"),"",VLOOKUP(D312,'Fatores de Emissão'!$D$117:$E$121,2,FALSE))</f>
        <v/>
      </c>
      <c r="L312" s="1024" t="str">
        <f>IF(OR(D312="",D312="-"),"",VLOOKUP(D312,'Fatores de Emissão'!$D$117:$G$121,4,FALSE))</f>
        <v/>
      </c>
      <c r="M312" s="1024" t="str">
        <f>IF(OR(D312="",D312="-"),"",VLOOKUP(D312,'Fatores de Emissão'!$D$117:$I$121,6,FALSE))</f>
        <v/>
      </c>
      <c r="N312" s="544" t="str">
        <f t="shared" si="9"/>
        <v/>
      </c>
      <c r="O312" s="1024" t="str">
        <f t="shared" si="10"/>
        <v/>
      </c>
      <c r="P312" s="1024" t="str">
        <f t="shared" si="11"/>
        <v/>
      </c>
      <c r="Q312" s="543" t="str">
        <f>IF(B312="","",IF(D312="","",N312*'Fatores de Emissão'!$E$252+'Combustão Móvel'!O312*'Fatores de Emissão'!$E$248+'Combustão Móvel'!P312*'Fatores de Emissão'!$E$249))</f>
        <v/>
      </c>
    </row>
    <row r="313" spans="2:17" s="314" customFormat="1" hidden="1" outlineLevel="2" x14ac:dyDescent="0.35">
      <c r="B313" s="454"/>
      <c r="C313" s="194"/>
      <c r="D313" s="194"/>
      <c r="E313" s="342"/>
      <c r="F313" s="546"/>
      <c r="G313" s="342"/>
      <c r="H313" s="456"/>
      <c r="I313" s="456"/>
      <c r="J313" s="544" t="str">
        <f>IF(OR(D313="",D313="-"),"",VLOOKUP(D313,'Fatores de Emissão'!$D$117:$F$121,3,FALSE))</f>
        <v/>
      </c>
      <c r="K313" s="1024" t="str">
        <f>IF(OR(D313="",D313="-"),"",VLOOKUP(D313,'Fatores de Emissão'!$D$117:$E$121,2,FALSE))</f>
        <v/>
      </c>
      <c r="L313" s="1024" t="str">
        <f>IF(OR(D313="",D313="-"),"",VLOOKUP(D313,'Fatores de Emissão'!$D$117:$G$121,4,FALSE))</f>
        <v/>
      </c>
      <c r="M313" s="1024" t="str">
        <f>IF(OR(D313="",D313="-"),"",VLOOKUP(D313,'Fatores de Emissão'!$D$117:$I$121,6,FALSE))</f>
        <v/>
      </c>
      <c r="N313" s="544" t="str">
        <f t="shared" si="9"/>
        <v/>
      </c>
      <c r="O313" s="1024" t="str">
        <f t="shared" si="10"/>
        <v/>
      </c>
      <c r="P313" s="1024" t="str">
        <f t="shared" si="11"/>
        <v/>
      </c>
      <c r="Q313" s="543" t="str">
        <f>IF(B313="","",IF(D313="","",N313*'Fatores de Emissão'!$E$252+'Combustão Móvel'!O313*'Fatores de Emissão'!$E$248+'Combustão Móvel'!P313*'Fatores de Emissão'!$E$249))</f>
        <v/>
      </c>
    </row>
    <row r="314" spans="2:17" s="314" customFormat="1" hidden="1" outlineLevel="2" x14ac:dyDescent="0.35">
      <c r="B314" s="454"/>
      <c r="C314" s="194"/>
      <c r="D314" s="194"/>
      <c r="E314" s="342"/>
      <c r="F314" s="546"/>
      <c r="G314" s="342"/>
      <c r="H314" s="456"/>
      <c r="I314" s="456"/>
      <c r="J314" s="544" t="str">
        <f>IF(OR(D314="",D314="-"),"",VLOOKUP(D314,'Fatores de Emissão'!$D$117:$F$121,3,FALSE))</f>
        <v/>
      </c>
      <c r="K314" s="1024" t="str">
        <f>IF(OR(D314="",D314="-"),"",VLOOKUP(D314,'Fatores de Emissão'!$D$117:$E$121,2,FALSE))</f>
        <v/>
      </c>
      <c r="L314" s="1024" t="str">
        <f>IF(OR(D314="",D314="-"),"",VLOOKUP(D314,'Fatores de Emissão'!$D$117:$G$121,4,FALSE))</f>
        <v/>
      </c>
      <c r="M314" s="1024" t="str">
        <f>IF(OR(D314="",D314="-"),"",VLOOKUP(D314,'Fatores de Emissão'!$D$117:$I$121,6,FALSE))</f>
        <v/>
      </c>
      <c r="N314" s="544" t="str">
        <f t="shared" si="9"/>
        <v/>
      </c>
      <c r="O314" s="1024" t="str">
        <f t="shared" si="10"/>
        <v/>
      </c>
      <c r="P314" s="1024" t="str">
        <f t="shared" si="11"/>
        <v/>
      </c>
      <c r="Q314" s="543" t="str">
        <f>IF(B314="","",IF(D314="","",N314*'Fatores de Emissão'!$E$252+'Combustão Móvel'!O314*'Fatores de Emissão'!$E$248+'Combustão Móvel'!P314*'Fatores de Emissão'!$E$249))</f>
        <v/>
      </c>
    </row>
    <row r="315" spans="2:17" s="314" customFormat="1" hidden="1" outlineLevel="2" x14ac:dyDescent="0.35">
      <c r="B315" s="454"/>
      <c r="C315" s="194"/>
      <c r="D315" s="194"/>
      <c r="E315" s="342"/>
      <c r="F315" s="546"/>
      <c r="G315" s="342"/>
      <c r="H315" s="456"/>
      <c r="I315" s="456"/>
      <c r="J315" s="544" t="str">
        <f>IF(OR(D315="",D315="-"),"",VLOOKUP(D315,'Fatores de Emissão'!$D$117:$F$121,3,FALSE))</f>
        <v/>
      </c>
      <c r="K315" s="1024" t="str">
        <f>IF(OR(D315="",D315="-"),"",VLOOKUP(D315,'Fatores de Emissão'!$D$117:$E$121,2,FALSE))</f>
        <v/>
      </c>
      <c r="L315" s="1024" t="str">
        <f>IF(OR(D315="",D315="-"),"",VLOOKUP(D315,'Fatores de Emissão'!$D$117:$G$121,4,FALSE))</f>
        <v/>
      </c>
      <c r="M315" s="1024" t="str">
        <f>IF(OR(D315="",D315="-"),"",VLOOKUP(D315,'Fatores de Emissão'!$D$117:$I$121,6,FALSE))</f>
        <v/>
      </c>
      <c r="N315" s="544" t="str">
        <f t="shared" si="9"/>
        <v/>
      </c>
      <c r="O315" s="1024" t="str">
        <f t="shared" si="10"/>
        <v/>
      </c>
      <c r="P315" s="1024" t="str">
        <f t="shared" si="11"/>
        <v/>
      </c>
      <c r="Q315" s="543" t="str">
        <f>IF(B315="","",IF(D315="","",N315*'Fatores de Emissão'!$E$252+'Combustão Móvel'!O315*'Fatores de Emissão'!$E$248+'Combustão Móvel'!P315*'Fatores de Emissão'!$E$249))</f>
        <v/>
      </c>
    </row>
    <row r="316" spans="2:17" s="314" customFormat="1" hidden="1" outlineLevel="2" x14ac:dyDescent="0.35">
      <c r="B316" s="454"/>
      <c r="C316" s="194"/>
      <c r="D316" s="194"/>
      <c r="E316" s="342"/>
      <c r="F316" s="546"/>
      <c r="G316" s="342"/>
      <c r="H316" s="456"/>
      <c r="I316" s="456"/>
      <c r="J316" s="544" t="str">
        <f>IF(OR(D316="",D316="-"),"",VLOOKUP(D316,'Fatores de Emissão'!$D$117:$F$121,3,FALSE))</f>
        <v/>
      </c>
      <c r="K316" s="1024" t="str">
        <f>IF(OR(D316="",D316="-"),"",VLOOKUP(D316,'Fatores de Emissão'!$D$117:$E$121,2,FALSE))</f>
        <v/>
      </c>
      <c r="L316" s="1024" t="str">
        <f>IF(OR(D316="",D316="-"),"",VLOOKUP(D316,'Fatores de Emissão'!$D$117:$G$121,4,FALSE))</f>
        <v/>
      </c>
      <c r="M316" s="1024" t="str">
        <f>IF(OR(D316="",D316="-"),"",VLOOKUP(D316,'Fatores de Emissão'!$D$117:$I$121,6,FALSE))</f>
        <v/>
      </c>
      <c r="N316" s="544" t="str">
        <f t="shared" si="9"/>
        <v/>
      </c>
      <c r="O316" s="1024" t="str">
        <f t="shared" si="10"/>
        <v/>
      </c>
      <c r="P316" s="1024" t="str">
        <f t="shared" si="11"/>
        <v/>
      </c>
      <c r="Q316" s="543" t="str">
        <f>IF(B316="","",IF(D316="","",N316*'Fatores de Emissão'!$E$252+'Combustão Móvel'!O316*'Fatores de Emissão'!$E$248+'Combustão Móvel'!P316*'Fatores de Emissão'!$E$249))</f>
        <v/>
      </c>
    </row>
    <row r="317" spans="2:17" s="314" customFormat="1" hidden="1" outlineLevel="2" x14ac:dyDescent="0.35">
      <c r="B317" s="454"/>
      <c r="C317" s="194"/>
      <c r="D317" s="194"/>
      <c r="E317" s="342"/>
      <c r="F317" s="546"/>
      <c r="G317" s="342"/>
      <c r="H317" s="456"/>
      <c r="I317" s="456"/>
      <c r="J317" s="544" t="str">
        <f>IF(OR(D317="",D317="-"),"",VLOOKUP(D317,'Fatores de Emissão'!$D$117:$F$121,3,FALSE))</f>
        <v/>
      </c>
      <c r="K317" s="1024" t="str">
        <f>IF(OR(D317="",D317="-"),"",VLOOKUP(D317,'Fatores de Emissão'!$D$117:$E$121,2,FALSE))</f>
        <v/>
      </c>
      <c r="L317" s="1024" t="str">
        <f>IF(OR(D317="",D317="-"),"",VLOOKUP(D317,'Fatores de Emissão'!$D$117:$G$121,4,FALSE))</f>
        <v/>
      </c>
      <c r="M317" s="1024" t="str">
        <f>IF(OR(D317="",D317="-"),"",VLOOKUP(D317,'Fatores de Emissão'!$D$117:$I$121,6,FALSE))</f>
        <v/>
      </c>
      <c r="N317" s="544" t="str">
        <f t="shared" ref="N317:N348" si="12">IF(D317="","",IF(J317="kg/km",E317*K317/1000,IF(J317="kg/p.km",E317*F317*K317/1000,E317*G317*K317/1000)))</f>
        <v/>
      </c>
      <c r="O317" s="1024" t="str">
        <f t="shared" si="10"/>
        <v/>
      </c>
      <c r="P317" s="1024" t="str">
        <f t="shared" si="11"/>
        <v/>
      </c>
      <c r="Q317" s="543" t="str">
        <f>IF(B317="","",IF(D317="","",N317*'Fatores de Emissão'!$E$252+'Combustão Móvel'!O317*'Fatores de Emissão'!$E$248+'Combustão Móvel'!P317*'Fatores de Emissão'!$E$249))</f>
        <v/>
      </c>
    </row>
    <row r="318" spans="2:17" s="314" customFormat="1" hidden="1" outlineLevel="2" x14ac:dyDescent="0.35">
      <c r="B318" s="454"/>
      <c r="C318" s="194"/>
      <c r="D318" s="194"/>
      <c r="E318" s="342"/>
      <c r="F318" s="546"/>
      <c r="G318" s="342"/>
      <c r="H318" s="456"/>
      <c r="I318" s="456"/>
      <c r="J318" s="544" t="str">
        <f>IF(OR(D318="",D318="-"),"",VLOOKUP(D318,'Fatores de Emissão'!$D$117:$F$121,3,FALSE))</f>
        <v/>
      </c>
      <c r="K318" s="1024" t="str">
        <f>IF(OR(D318="",D318="-"),"",VLOOKUP(D318,'Fatores de Emissão'!$D$117:$E$121,2,FALSE))</f>
        <v/>
      </c>
      <c r="L318" s="1024" t="str">
        <f>IF(OR(D318="",D318="-"),"",VLOOKUP(D318,'Fatores de Emissão'!$D$117:$G$121,4,FALSE))</f>
        <v/>
      </c>
      <c r="M318" s="1024" t="str">
        <f>IF(OR(D318="",D318="-"),"",VLOOKUP(D318,'Fatores de Emissão'!$D$117:$I$121,6,FALSE))</f>
        <v/>
      </c>
      <c r="N318" s="544" t="str">
        <f t="shared" si="12"/>
        <v/>
      </c>
      <c r="O318" s="1024" t="str">
        <f t="shared" si="10"/>
        <v/>
      </c>
      <c r="P318" s="1024" t="str">
        <f t="shared" si="11"/>
        <v/>
      </c>
      <c r="Q318" s="543" t="str">
        <f>IF(B318="","",IF(D318="","",N318*'Fatores de Emissão'!$E$252+'Combustão Móvel'!O318*'Fatores de Emissão'!$E$248+'Combustão Móvel'!P318*'Fatores de Emissão'!$E$249))</f>
        <v/>
      </c>
    </row>
    <row r="319" spans="2:17" s="314" customFormat="1" hidden="1" outlineLevel="2" x14ac:dyDescent="0.35">
      <c r="B319" s="454"/>
      <c r="C319" s="194"/>
      <c r="D319" s="194"/>
      <c r="E319" s="342"/>
      <c r="F319" s="546"/>
      <c r="G319" s="342"/>
      <c r="H319" s="456"/>
      <c r="I319" s="456"/>
      <c r="J319" s="544" t="str">
        <f>IF(OR(D319="",D319="-"),"",VLOOKUP(D319,'Fatores de Emissão'!$D$117:$F$121,3,FALSE))</f>
        <v/>
      </c>
      <c r="K319" s="1024" t="str">
        <f>IF(OR(D319="",D319="-"),"",VLOOKUP(D319,'Fatores de Emissão'!$D$117:$E$121,2,FALSE))</f>
        <v/>
      </c>
      <c r="L319" s="1024" t="str">
        <f>IF(OR(D319="",D319="-"),"",VLOOKUP(D319,'Fatores de Emissão'!$D$117:$G$121,4,FALSE))</f>
        <v/>
      </c>
      <c r="M319" s="1024" t="str">
        <f>IF(OR(D319="",D319="-"),"",VLOOKUP(D319,'Fatores de Emissão'!$D$117:$I$121,6,FALSE))</f>
        <v/>
      </c>
      <c r="N319" s="544" t="str">
        <f t="shared" si="12"/>
        <v/>
      </c>
      <c r="O319" s="1024" t="str">
        <f t="shared" si="10"/>
        <v/>
      </c>
      <c r="P319" s="1024" t="str">
        <f t="shared" si="11"/>
        <v/>
      </c>
      <c r="Q319" s="543" t="str">
        <f>IF(B319="","",IF(D319="","",N319*'Fatores de Emissão'!$E$252+'Combustão Móvel'!O319*'Fatores de Emissão'!$E$248+'Combustão Móvel'!P319*'Fatores de Emissão'!$E$249))</f>
        <v/>
      </c>
    </row>
    <row r="320" spans="2:17" s="314" customFormat="1" hidden="1" outlineLevel="2" x14ac:dyDescent="0.35">
      <c r="B320" s="454"/>
      <c r="C320" s="194"/>
      <c r="D320" s="194"/>
      <c r="E320" s="342"/>
      <c r="F320" s="546"/>
      <c r="G320" s="342"/>
      <c r="H320" s="456"/>
      <c r="I320" s="456"/>
      <c r="J320" s="544" t="str">
        <f>IF(OR(D320="",D320="-"),"",VLOOKUP(D320,'Fatores de Emissão'!$D$117:$F$121,3,FALSE))</f>
        <v/>
      </c>
      <c r="K320" s="1024" t="str">
        <f>IF(OR(D320="",D320="-"),"",VLOOKUP(D320,'Fatores de Emissão'!$D$117:$E$121,2,FALSE))</f>
        <v/>
      </c>
      <c r="L320" s="1024" t="str">
        <f>IF(OR(D320="",D320="-"),"",VLOOKUP(D320,'Fatores de Emissão'!$D$117:$G$121,4,FALSE))</f>
        <v/>
      </c>
      <c r="M320" s="1024" t="str">
        <f>IF(OR(D320="",D320="-"),"",VLOOKUP(D320,'Fatores de Emissão'!$D$117:$I$121,6,FALSE))</f>
        <v/>
      </c>
      <c r="N320" s="544" t="str">
        <f t="shared" si="12"/>
        <v/>
      </c>
      <c r="O320" s="1024" t="str">
        <f t="shared" si="10"/>
        <v/>
      </c>
      <c r="P320" s="1024" t="str">
        <f t="shared" si="11"/>
        <v/>
      </c>
      <c r="Q320" s="543" t="str">
        <f>IF(B320="","",IF(D320="","",N320*'Fatores de Emissão'!$E$252+'Combustão Móvel'!O320*'Fatores de Emissão'!$E$248+'Combustão Móvel'!P320*'Fatores de Emissão'!$E$249))</f>
        <v/>
      </c>
    </row>
    <row r="321" spans="2:17" s="314" customFormat="1" hidden="1" outlineLevel="2" x14ac:dyDescent="0.35">
      <c r="B321" s="454"/>
      <c r="C321" s="194"/>
      <c r="D321" s="194"/>
      <c r="E321" s="342"/>
      <c r="F321" s="546"/>
      <c r="G321" s="342"/>
      <c r="H321" s="456"/>
      <c r="I321" s="456"/>
      <c r="J321" s="544" t="str">
        <f>IF(OR(D321="",D321="-"),"",VLOOKUP(D321,'Fatores de Emissão'!$D$117:$F$121,3,FALSE))</f>
        <v/>
      </c>
      <c r="K321" s="1024" t="str">
        <f>IF(OR(D321="",D321="-"),"",VLOOKUP(D321,'Fatores de Emissão'!$D$117:$E$121,2,FALSE))</f>
        <v/>
      </c>
      <c r="L321" s="1024" t="str">
        <f>IF(OR(D321="",D321="-"),"",VLOOKUP(D321,'Fatores de Emissão'!$D$117:$G$121,4,FALSE))</f>
        <v/>
      </c>
      <c r="M321" s="1024" t="str">
        <f>IF(OR(D321="",D321="-"),"",VLOOKUP(D321,'Fatores de Emissão'!$D$117:$I$121,6,FALSE))</f>
        <v/>
      </c>
      <c r="N321" s="544" t="str">
        <f t="shared" si="12"/>
        <v/>
      </c>
      <c r="O321" s="1024" t="str">
        <f t="shared" si="10"/>
        <v/>
      </c>
      <c r="P321" s="1024" t="str">
        <f t="shared" si="11"/>
        <v/>
      </c>
      <c r="Q321" s="543" t="str">
        <f>IF(B321="","",IF(D321="","",N321*'Fatores de Emissão'!$E$252+'Combustão Móvel'!O321*'Fatores de Emissão'!$E$248+'Combustão Móvel'!P321*'Fatores de Emissão'!$E$249))</f>
        <v/>
      </c>
    </row>
    <row r="322" spans="2:17" s="314" customFormat="1" hidden="1" outlineLevel="2" x14ac:dyDescent="0.35">
      <c r="B322" s="454"/>
      <c r="C322" s="194"/>
      <c r="D322" s="194"/>
      <c r="E322" s="342"/>
      <c r="F322" s="546"/>
      <c r="G322" s="342"/>
      <c r="H322" s="456"/>
      <c r="I322" s="456"/>
      <c r="J322" s="544" t="str">
        <f>IF(OR(D322="",D322="-"),"",VLOOKUP(D322,'Fatores de Emissão'!$D$117:$F$121,3,FALSE))</f>
        <v/>
      </c>
      <c r="K322" s="1024" t="str">
        <f>IF(OR(D322="",D322="-"),"",VLOOKUP(D322,'Fatores de Emissão'!$D$117:$E$121,2,FALSE))</f>
        <v/>
      </c>
      <c r="L322" s="1024" t="str">
        <f>IF(OR(D322="",D322="-"),"",VLOOKUP(D322,'Fatores de Emissão'!$D$117:$G$121,4,FALSE))</f>
        <v/>
      </c>
      <c r="M322" s="1024" t="str">
        <f>IF(OR(D322="",D322="-"),"",VLOOKUP(D322,'Fatores de Emissão'!$D$117:$I$121,6,FALSE))</f>
        <v/>
      </c>
      <c r="N322" s="544" t="str">
        <f t="shared" si="12"/>
        <v/>
      </c>
      <c r="O322" s="1024" t="str">
        <f t="shared" si="10"/>
        <v/>
      </c>
      <c r="P322" s="1024" t="str">
        <f t="shared" si="11"/>
        <v/>
      </c>
      <c r="Q322" s="543" t="str">
        <f>IF(B322="","",IF(D322="","",N322*'Fatores de Emissão'!$E$252+'Combustão Móvel'!O322*'Fatores de Emissão'!$E$248+'Combustão Móvel'!P322*'Fatores de Emissão'!$E$249))</f>
        <v/>
      </c>
    </row>
    <row r="323" spans="2:17" s="314" customFormat="1" hidden="1" outlineLevel="2" x14ac:dyDescent="0.35">
      <c r="B323" s="454"/>
      <c r="C323" s="194"/>
      <c r="D323" s="194"/>
      <c r="E323" s="342"/>
      <c r="F323" s="546"/>
      <c r="G323" s="342"/>
      <c r="H323" s="456"/>
      <c r="I323" s="456"/>
      <c r="J323" s="544" t="str">
        <f>IF(OR(D323="",D323="-"),"",VLOOKUP(D323,'Fatores de Emissão'!$D$117:$F$121,3,FALSE))</f>
        <v/>
      </c>
      <c r="K323" s="1024" t="str">
        <f>IF(OR(D323="",D323="-"),"",VLOOKUP(D323,'Fatores de Emissão'!$D$117:$E$121,2,FALSE))</f>
        <v/>
      </c>
      <c r="L323" s="1024" t="str">
        <f>IF(OR(D323="",D323="-"),"",VLOOKUP(D323,'Fatores de Emissão'!$D$117:$G$121,4,FALSE))</f>
        <v/>
      </c>
      <c r="M323" s="1024" t="str">
        <f>IF(OR(D323="",D323="-"),"",VLOOKUP(D323,'Fatores de Emissão'!$D$117:$I$121,6,FALSE))</f>
        <v/>
      </c>
      <c r="N323" s="544" t="str">
        <f t="shared" si="12"/>
        <v/>
      </c>
      <c r="O323" s="1024" t="str">
        <f t="shared" si="10"/>
        <v/>
      </c>
      <c r="P323" s="1024" t="str">
        <f t="shared" si="11"/>
        <v/>
      </c>
      <c r="Q323" s="543" t="str">
        <f>IF(B323="","",IF(D323="","",N323*'Fatores de Emissão'!$E$252+'Combustão Móvel'!O323*'Fatores de Emissão'!$E$248+'Combustão Móvel'!P323*'Fatores de Emissão'!$E$249))</f>
        <v/>
      </c>
    </row>
    <row r="324" spans="2:17" s="314" customFormat="1" hidden="1" outlineLevel="2" x14ac:dyDescent="0.35">
      <c r="B324" s="454"/>
      <c r="C324" s="194"/>
      <c r="D324" s="194"/>
      <c r="E324" s="342"/>
      <c r="F324" s="546"/>
      <c r="G324" s="342"/>
      <c r="H324" s="456"/>
      <c r="I324" s="456"/>
      <c r="J324" s="544" t="str">
        <f>IF(OR(D324="",D324="-"),"",VLOOKUP(D324,'Fatores de Emissão'!$D$117:$F$121,3,FALSE))</f>
        <v/>
      </c>
      <c r="K324" s="1024" t="str">
        <f>IF(OR(D324="",D324="-"),"",VLOOKUP(D324,'Fatores de Emissão'!$D$117:$E$121,2,FALSE))</f>
        <v/>
      </c>
      <c r="L324" s="1024" t="str">
        <f>IF(OR(D324="",D324="-"),"",VLOOKUP(D324,'Fatores de Emissão'!$D$117:$G$121,4,FALSE))</f>
        <v/>
      </c>
      <c r="M324" s="1024" t="str">
        <f>IF(OR(D324="",D324="-"),"",VLOOKUP(D324,'Fatores de Emissão'!$D$117:$I$121,6,FALSE))</f>
        <v/>
      </c>
      <c r="N324" s="544" t="str">
        <f t="shared" si="12"/>
        <v/>
      </c>
      <c r="O324" s="1024" t="str">
        <f t="shared" si="10"/>
        <v/>
      </c>
      <c r="P324" s="1024" t="str">
        <f t="shared" si="11"/>
        <v/>
      </c>
      <c r="Q324" s="543" t="str">
        <f>IF(B324="","",IF(D324="","",N324*'Fatores de Emissão'!$E$252+'Combustão Móvel'!O324*'Fatores de Emissão'!$E$248+'Combustão Móvel'!P324*'Fatores de Emissão'!$E$249))</f>
        <v/>
      </c>
    </row>
    <row r="325" spans="2:17" s="314" customFormat="1" hidden="1" outlineLevel="2" x14ac:dyDescent="0.35">
      <c r="B325" s="454"/>
      <c r="C325" s="194"/>
      <c r="D325" s="194"/>
      <c r="E325" s="342"/>
      <c r="F325" s="546"/>
      <c r="G325" s="342"/>
      <c r="H325" s="456"/>
      <c r="I325" s="456"/>
      <c r="J325" s="544" t="str">
        <f>IF(OR(D325="",D325="-"),"",VLOOKUP(D325,'Fatores de Emissão'!$D$117:$F$121,3,FALSE))</f>
        <v/>
      </c>
      <c r="K325" s="1024" t="str">
        <f>IF(OR(D325="",D325="-"),"",VLOOKUP(D325,'Fatores de Emissão'!$D$117:$E$121,2,FALSE))</f>
        <v/>
      </c>
      <c r="L325" s="1024" t="str">
        <f>IF(OR(D325="",D325="-"),"",VLOOKUP(D325,'Fatores de Emissão'!$D$117:$G$121,4,FALSE))</f>
        <v/>
      </c>
      <c r="M325" s="1024" t="str">
        <f>IF(OR(D325="",D325="-"),"",VLOOKUP(D325,'Fatores de Emissão'!$D$117:$I$121,6,FALSE))</f>
        <v/>
      </c>
      <c r="N325" s="544" t="str">
        <f t="shared" si="12"/>
        <v/>
      </c>
      <c r="O325" s="1024" t="str">
        <f t="shared" si="10"/>
        <v/>
      </c>
      <c r="P325" s="1024" t="str">
        <f t="shared" si="11"/>
        <v/>
      </c>
      <c r="Q325" s="543" t="str">
        <f>IF(B325="","",IF(D325="","",N325*'Fatores de Emissão'!$E$252+'Combustão Móvel'!O325*'Fatores de Emissão'!$E$248+'Combustão Móvel'!P325*'Fatores de Emissão'!$E$249))</f>
        <v/>
      </c>
    </row>
    <row r="326" spans="2:17" s="314" customFormat="1" hidden="1" outlineLevel="2" x14ac:dyDescent="0.35">
      <c r="B326" s="454"/>
      <c r="C326" s="194"/>
      <c r="D326" s="194"/>
      <c r="E326" s="342"/>
      <c r="F326" s="546"/>
      <c r="G326" s="342"/>
      <c r="H326" s="456"/>
      <c r="I326" s="456"/>
      <c r="J326" s="544" t="str">
        <f>IF(OR(D326="",D326="-"),"",VLOOKUP(D326,'Fatores de Emissão'!$D$117:$F$121,3,FALSE))</f>
        <v/>
      </c>
      <c r="K326" s="1024" t="str">
        <f>IF(OR(D326="",D326="-"),"",VLOOKUP(D326,'Fatores de Emissão'!$D$117:$E$121,2,FALSE))</f>
        <v/>
      </c>
      <c r="L326" s="1024" t="str">
        <f>IF(OR(D326="",D326="-"),"",VLOOKUP(D326,'Fatores de Emissão'!$D$117:$G$121,4,FALSE))</f>
        <v/>
      </c>
      <c r="M326" s="1024" t="str">
        <f>IF(OR(D326="",D326="-"),"",VLOOKUP(D326,'Fatores de Emissão'!$D$117:$I$121,6,FALSE))</f>
        <v/>
      </c>
      <c r="N326" s="544" t="str">
        <f t="shared" si="12"/>
        <v/>
      </c>
      <c r="O326" s="1024" t="str">
        <f t="shared" si="10"/>
        <v/>
      </c>
      <c r="P326" s="1024" t="str">
        <f t="shared" si="11"/>
        <v/>
      </c>
      <c r="Q326" s="543" t="str">
        <f>IF(B326="","",IF(D326="","",N326*'Fatores de Emissão'!$E$252+'Combustão Móvel'!O326*'Fatores de Emissão'!$E$248+'Combustão Móvel'!P326*'Fatores de Emissão'!$E$249))</f>
        <v/>
      </c>
    </row>
    <row r="327" spans="2:17" s="314" customFormat="1" hidden="1" outlineLevel="2" x14ac:dyDescent="0.35">
      <c r="B327" s="454"/>
      <c r="C327" s="194"/>
      <c r="D327" s="194"/>
      <c r="E327" s="342"/>
      <c r="F327" s="546"/>
      <c r="G327" s="342"/>
      <c r="H327" s="456"/>
      <c r="I327" s="456"/>
      <c r="J327" s="544" t="str">
        <f>IF(OR(D327="",D327="-"),"",VLOOKUP(D327,'Fatores de Emissão'!$D$117:$F$121,3,FALSE))</f>
        <v/>
      </c>
      <c r="K327" s="1024" t="str">
        <f>IF(OR(D327="",D327="-"),"",VLOOKUP(D327,'Fatores de Emissão'!$D$117:$E$121,2,FALSE))</f>
        <v/>
      </c>
      <c r="L327" s="1024" t="str">
        <f>IF(OR(D327="",D327="-"),"",VLOOKUP(D327,'Fatores de Emissão'!$D$117:$G$121,4,FALSE))</f>
        <v/>
      </c>
      <c r="M327" s="1024" t="str">
        <f>IF(OR(D327="",D327="-"),"",VLOOKUP(D327,'Fatores de Emissão'!$D$117:$I$121,6,FALSE))</f>
        <v/>
      </c>
      <c r="N327" s="544" t="str">
        <f t="shared" si="12"/>
        <v/>
      </c>
      <c r="O327" s="1024" t="str">
        <f t="shared" si="10"/>
        <v/>
      </c>
      <c r="P327" s="1024" t="str">
        <f t="shared" si="11"/>
        <v/>
      </c>
      <c r="Q327" s="543" t="str">
        <f>IF(B327="","",IF(D327="","",N327*'Fatores de Emissão'!$E$252+'Combustão Móvel'!O327*'Fatores de Emissão'!$E$248+'Combustão Móvel'!P327*'Fatores de Emissão'!$E$249))</f>
        <v/>
      </c>
    </row>
    <row r="328" spans="2:17" s="314" customFormat="1" hidden="1" outlineLevel="2" x14ac:dyDescent="0.35">
      <c r="B328" s="454"/>
      <c r="C328" s="194"/>
      <c r="D328" s="194"/>
      <c r="E328" s="342"/>
      <c r="F328" s="546"/>
      <c r="G328" s="342"/>
      <c r="H328" s="456"/>
      <c r="I328" s="456"/>
      <c r="J328" s="544" t="str">
        <f>IF(OR(D328="",D328="-"),"",VLOOKUP(D328,'Fatores de Emissão'!$D$117:$F$121,3,FALSE))</f>
        <v/>
      </c>
      <c r="K328" s="1024" t="str">
        <f>IF(OR(D328="",D328="-"),"",VLOOKUP(D328,'Fatores de Emissão'!$D$117:$E$121,2,FALSE))</f>
        <v/>
      </c>
      <c r="L328" s="1024" t="str">
        <f>IF(OR(D328="",D328="-"),"",VLOOKUP(D328,'Fatores de Emissão'!$D$117:$G$121,4,FALSE))</f>
        <v/>
      </c>
      <c r="M328" s="1024" t="str">
        <f>IF(OR(D328="",D328="-"),"",VLOOKUP(D328,'Fatores de Emissão'!$D$117:$I$121,6,FALSE))</f>
        <v/>
      </c>
      <c r="N328" s="544" t="str">
        <f t="shared" si="12"/>
        <v/>
      </c>
      <c r="O328" s="1024" t="str">
        <f t="shared" si="10"/>
        <v/>
      </c>
      <c r="P328" s="1024" t="str">
        <f t="shared" si="11"/>
        <v/>
      </c>
      <c r="Q328" s="543" t="str">
        <f>IF(B328="","",IF(D328="","",N328*'Fatores de Emissão'!$E$252+'Combustão Móvel'!O328*'Fatores de Emissão'!$E$248+'Combustão Móvel'!P328*'Fatores de Emissão'!$E$249))</f>
        <v/>
      </c>
    </row>
    <row r="329" spans="2:17" s="314" customFormat="1" hidden="1" outlineLevel="2" x14ac:dyDescent="0.35">
      <c r="B329" s="454"/>
      <c r="C329" s="194"/>
      <c r="D329" s="194"/>
      <c r="E329" s="342"/>
      <c r="F329" s="546"/>
      <c r="G329" s="342"/>
      <c r="H329" s="456"/>
      <c r="I329" s="456"/>
      <c r="J329" s="544" t="str">
        <f>IF(OR(D329="",D329="-"),"",VLOOKUP(D329,'Fatores de Emissão'!$D$117:$F$121,3,FALSE))</f>
        <v/>
      </c>
      <c r="K329" s="1024" t="str">
        <f>IF(OR(D329="",D329="-"),"",VLOOKUP(D329,'Fatores de Emissão'!$D$117:$E$121,2,FALSE))</f>
        <v/>
      </c>
      <c r="L329" s="1024" t="str">
        <f>IF(OR(D329="",D329="-"),"",VLOOKUP(D329,'Fatores de Emissão'!$D$117:$G$121,4,FALSE))</f>
        <v/>
      </c>
      <c r="M329" s="1024" t="str">
        <f>IF(OR(D329="",D329="-"),"",VLOOKUP(D329,'Fatores de Emissão'!$D$117:$I$121,6,FALSE))</f>
        <v/>
      </c>
      <c r="N329" s="544" t="str">
        <f t="shared" si="12"/>
        <v/>
      </c>
      <c r="O329" s="1024" t="str">
        <f t="shared" si="10"/>
        <v/>
      </c>
      <c r="P329" s="1024" t="str">
        <f t="shared" si="11"/>
        <v/>
      </c>
      <c r="Q329" s="543" t="str">
        <f>IF(B329="","",IF(D329="","",N329*'Fatores de Emissão'!$E$252+'Combustão Móvel'!O329*'Fatores de Emissão'!$E$248+'Combustão Móvel'!P329*'Fatores de Emissão'!$E$249))</f>
        <v/>
      </c>
    </row>
    <row r="330" spans="2:17" s="314" customFormat="1" hidden="1" outlineLevel="2" x14ac:dyDescent="0.35">
      <c r="B330" s="454"/>
      <c r="C330" s="194"/>
      <c r="D330" s="194"/>
      <c r="E330" s="342"/>
      <c r="F330" s="546"/>
      <c r="G330" s="342"/>
      <c r="H330" s="456"/>
      <c r="I330" s="456"/>
      <c r="J330" s="544" t="str">
        <f>IF(OR(D330="",D330="-"),"",VLOOKUP(D330,'Fatores de Emissão'!$D$117:$F$121,3,FALSE))</f>
        <v/>
      </c>
      <c r="K330" s="1024" t="str">
        <f>IF(OR(D330="",D330="-"),"",VLOOKUP(D330,'Fatores de Emissão'!$D$117:$E$121,2,FALSE))</f>
        <v/>
      </c>
      <c r="L330" s="1024" t="str">
        <f>IF(OR(D330="",D330="-"),"",VLOOKUP(D330,'Fatores de Emissão'!$D$117:$G$121,4,FALSE))</f>
        <v/>
      </c>
      <c r="M330" s="1024" t="str">
        <f>IF(OR(D330="",D330="-"),"",VLOOKUP(D330,'Fatores de Emissão'!$D$117:$I$121,6,FALSE))</f>
        <v/>
      </c>
      <c r="N330" s="544" t="str">
        <f t="shared" si="12"/>
        <v/>
      </c>
      <c r="O330" s="1024" t="str">
        <f t="shared" si="10"/>
        <v/>
      </c>
      <c r="P330" s="1024" t="str">
        <f t="shared" si="11"/>
        <v/>
      </c>
      <c r="Q330" s="543" t="str">
        <f>IF(B330="","",IF(D330="","",N330*'Fatores de Emissão'!$E$252+'Combustão Móvel'!O330*'Fatores de Emissão'!$E$248+'Combustão Móvel'!P330*'Fatores de Emissão'!$E$249))</f>
        <v/>
      </c>
    </row>
    <row r="331" spans="2:17" s="314" customFormat="1" hidden="1" outlineLevel="2" x14ac:dyDescent="0.35">
      <c r="B331" s="454"/>
      <c r="C331" s="194"/>
      <c r="D331" s="194"/>
      <c r="E331" s="342"/>
      <c r="F331" s="546"/>
      <c r="G331" s="342"/>
      <c r="H331" s="456"/>
      <c r="I331" s="456"/>
      <c r="J331" s="544" t="str">
        <f>IF(OR(D331="",D331="-"),"",VLOOKUP(D331,'Fatores de Emissão'!$D$117:$F$121,3,FALSE))</f>
        <v/>
      </c>
      <c r="K331" s="1024" t="str">
        <f>IF(OR(D331="",D331="-"),"",VLOOKUP(D331,'Fatores de Emissão'!$D$117:$E$121,2,FALSE))</f>
        <v/>
      </c>
      <c r="L331" s="1024" t="str">
        <f>IF(OR(D331="",D331="-"),"",VLOOKUP(D331,'Fatores de Emissão'!$D$117:$G$121,4,FALSE))</f>
        <v/>
      </c>
      <c r="M331" s="1024" t="str">
        <f>IF(OR(D331="",D331="-"),"",VLOOKUP(D331,'Fatores de Emissão'!$D$117:$I$121,6,FALSE))</f>
        <v/>
      </c>
      <c r="N331" s="544" t="str">
        <f t="shared" si="12"/>
        <v/>
      </c>
      <c r="O331" s="1024" t="str">
        <f t="shared" si="10"/>
        <v/>
      </c>
      <c r="P331" s="1024" t="str">
        <f t="shared" si="11"/>
        <v/>
      </c>
      <c r="Q331" s="543" t="str">
        <f>IF(B331="","",IF(D331="","",N331*'Fatores de Emissão'!$E$252+'Combustão Móvel'!O331*'Fatores de Emissão'!$E$248+'Combustão Móvel'!P331*'Fatores de Emissão'!$E$249))</f>
        <v/>
      </c>
    </row>
    <row r="332" spans="2:17" s="314" customFormat="1" hidden="1" outlineLevel="2" x14ac:dyDescent="0.35">
      <c r="B332" s="454"/>
      <c r="C332" s="194"/>
      <c r="D332" s="194"/>
      <c r="E332" s="342"/>
      <c r="F332" s="546"/>
      <c r="G332" s="342"/>
      <c r="H332" s="456"/>
      <c r="I332" s="456"/>
      <c r="J332" s="544" t="str">
        <f>IF(OR(D332="",D332="-"),"",VLOOKUP(D332,'Fatores de Emissão'!$D$117:$F$121,3,FALSE))</f>
        <v/>
      </c>
      <c r="K332" s="1024" t="str">
        <f>IF(OR(D332="",D332="-"),"",VLOOKUP(D332,'Fatores de Emissão'!$D$117:$E$121,2,FALSE))</f>
        <v/>
      </c>
      <c r="L332" s="1024" t="str">
        <f>IF(OR(D332="",D332="-"),"",VLOOKUP(D332,'Fatores de Emissão'!$D$117:$G$121,4,FALSE))</f>
        <v/>
      </c>
      <c r="M332" s="1024" t="str">
        <f>IF(OR(D332="",D332="-"),"",VLOOKUP(D332,'Fatores de Emissão'!$D$117:$I$121,6,FALSE))</f>
        <v/>
      </c>
      <c r="N332" s="544" t="str">
        <f t="shared" si="12"/>
        <v/>
      </c>
      <c r="O332" s="1024" t="str">
        <f t="shared" si="10"/>
        <v/>
      </c>
      <c r="P332" s="1024" t="str">
        <f t="shared" si="11"/>
        <v/>
      </c>
      <c r="Q332" s="543" t="str">
        <f>IF(B332="","",IF(D332="","",N332*'Fatores de Emissão'!$E$252+'Combustão Móvel'!O332*'Fatores de Emissão'!$E$248+'Combustão Móvel'!P332*'Fatores de Emissão'!$E$249))</f>
        <v/>
      </c>
    </row>
    <row r="333" spans="2:17" s="314" customFormat="1" hidden="1" outlineLevel="2" x14ac:dyDescent="0.35">
      <c r="B333" s="454"/>
      <c r="C333" s="194"/>
      <c r="D333" s="194"/>
      <c r="E333" s="342"/>
      <c r="F333" s="546"/>
      <c r="G333" s="342"/>
      <c r="H333" s="456"/>
      <c r="I333" s="456"/>
      <c r="J333" s="544" t="str">
        <f>IF(OR(D333="",D333="-"),"",VLOOKUP(D333,'Fatores de Emissão'!$D$117:$F$121,3,FALSE))</f>
        <v/>
      </c>
      <c r="K333" s="1024" t="str">
        <f>IF(OR(D333="",D333="-"),"",VLOOKUP(D333,'Fatores de Emissão'!$D$117:$E$121,2,FALSE))</f>
        <v/>
      </c>
      <c r="L333" s="1024" t="str">
        <f>IF(OR(D333="",D333="-"),"",VLOOKUP(D333,'Fatores de Emissão'!$D$117:$G$121,4,FALSE))</f>
        <v/>
      </c>
      <c r="M333" s="1024" t="str">
        <f>IF(OR(D333="",D333="-"),"",VLOOKUP(D333,'Fatores de Emissão'!$D$117:$I$121,6,FALSE))</f>
        <v/>
      </c>
      <c r="N333" s="544" t="str">
        <f t="shared" si="12"/>
        <v/>
      </c>
      <c r="O333" s="1024" t="str">
        <f t="shared" si="10"/>
        <v/>
      </c>
      <c r="P333" s="1024" t="str">
        <f t="shared" si="11"/>
        <v/>
      </c>
      <c r="Q333" s="543" t="str">
        <f>IF(B333="","",IF(D333="","",N333*'Fatores de Emissão'!$E$252+'Combustão Móvel'!O333*'Fatores de Emissão'!$E$248+'Combustão Móvel'!P333*'Fatores de Emissão'!$E$249))</f>
        <v/>
      </c>
    </row>
    <row r="334" spans="2:17" s="314" customFormat="1" hidden="1" outlineLevel="2" x14ac:dyDescent="0.35">
      <c r="B334" s="454"/>
      <c r="C334" s="194"/>
      <c r="D334" s="194"/>
      <c r="E334" s="342"/>
      <c r="F334" s="546"/>
      <c r="G334" s="342"/>
      <c r="H334" s="456"/>
      <c r="I334" s="456"/>
      <c r="J334" s="544" t="str">
        <f>IF(OR(D334="",D334="-"),"",VLOOKUP(D334,'Fatores de Emissão'!$D$117:$F$121,3,FALSE))</f>
        <v/>
      </c>
      <c r="K334" s="1024" t="str">
        <f>IF(OR(D334="",D334="-"),"",VLOOKUP(D334,'Fatores de Emissão'!$D$117:$E$121,2,FALSE))</f>
        <v/>
      </c>
      <c r="L334" s="1024" t="str">
        <f>IF(OR(D334="",D334="-"),"",VLOOKUP(D334,'Fatores de Emissão'!$D$117:$G$121,4,FALSE))</f>
        <v/>
      </c>
      <c r="M334" s="1024" t="str">
        <f>IF(OR(D334="",D334="-"),"",VLOOKUP(D334,'Fatores de Emissão'!$D$117:$I$121,6,FALSE))</f>
        <v/>
      </c>
      <c r="N334" s="544" t="str">
        <f t="shared" si="12"/>
        <v/>
      </c>
      <c r="O334" s="1024" t="str">
        <f t="shared" si="10"/>
        <v/>
      </c>
      <c r="P334" s="1024" t="str">
        <f t="shared" si="11"/>
        <v/>
      </c>
      <c r="Q334" s="543" t="str">
        <f>IF(B334="","",IF(D334="","",N334*'Fatores de Emissão'!$E$252+'Combustão Móvel'!O334*'Fatores de Emissão'!$E$248+'Combustão Móvel'!P334*'Fatores de Emissão'!$E$249))</f>
        <v/>
      </c>
    </row>
    <row r="335" spans="2:17" s="314" customFormat="1" hidden="1" outlineLevel="2" x14ac:dyDescent="0.35">
      <c r="B335" s="454"/>
      <c r="C335" s="194"/>
      <c r="D335" s="194"/>
      <c r="E335" s="342"/>
      <c r="F335" s="546"/>
      <c r="G335" s="342"/>
      <c r="H335" s="456"/>
      <c r="I335" s="456"/>
      <c r="J335" s="544" t="str">
        <f>IF(OR(D335="",D335="-"),"",VLOOKUP(D335,'Fatores de Emissão'!$D$117:$F$121,3,FALSE))</f>
        <v/>
      </c>
      <c r="K335" s="1024" t="str">
        <f>IF(OR(D335="",D335="-"),"",VLOOKUP(D335,'Fatores de Emissão'!$D$117:$E$121,2,FALSE))</f>
        <v/>
      </c>
      <c r="L335" s="1024" t="str">
        <f>IF(OR(D335="",D335="-"),"",VLOOKUP(D335,'Fatores de Emissão'!$D$117:$G$121,4,FALSE))</f>
        <v/>
      </c>
      <c r="M335" s="1024" t="str">
        <f>IF(OR(D335="",D335="-"),"",VLOOKUP(D335,'Fatores de Emissão'!$D$117:$I$121,6,FALSE))</f>
        <v/>
      </c>
      <c r="N335" s="544" t="str">
        <f t="shared" si="12"/>
        <v/>
      </c>
      <c r="O335" s="1024" t="str">
        <f t="shared" si="10"/>
        <v/>
      </c>
      <c r="P335" s="1024" t="str">
        <f t="shared" si="11"/>
        <v/>
      </c>
      <c r="Q335" s="543" t="str">
        <f>IF(B335="","",IF(D335="","",N335*'Fatores de Emissão'!$E$252+'Combustão Móvel'!O335*'Fatores de Emissão'!$E$248+'Combustão Móvel'!P335*'Fatores de Emissão'!$E$249))</f>
        <v/>
      </c>
    </row>
    <row r="336" spans="2:17" s="314" customFormat="1" hidden="1" outlineLevel="2" x14ac:dyDescent="0.35">
      <c r="B336" s="454"/>
      <c r="C336" s="194"/>
      <c r="D336" s="194"/>
      <c r="E336" s="342"/>
      <c r="F336" s="546"/>
      <c r="G336" s="342"/>
      <c r="H336" s="456"/>
      <c r="I336" s="456"/>
      <c r="J336" s="544" t="str">
        <f>IF(OR(D336="",D336="-"),"",VLOOKUP(D336,'Fatores de Emissão'!$D$117:$F$121,3,FALSE))</f>
        <v/>
      </c>
      <c r="K336" s="1024" t="str">
        <f>IF(OR(D336="",D336="-"),"",VLOOKUP(D336,'Fatores de Emissão'!$D$117:$E$121,2,FALSE))</f>
        <v/>
      </c>
      <c r="L336" s="1024" t="str">
        <f>IF(OR(D336="",D336="-"),"",VLOOKUP(D336,'Fatores de Emissão'!$D$117:$G$121,4,FALSE))</f>
        <v/>
      </c>
      <c r="M336" s="1024" t="str">
        <f>IF(OR(D336="",D336="-"),"",VLOOKUP(D336,'Fatores de Emissão'!$D$117:$I$121,6,FALSE))</f>
        <v/>
      </c>
      <c r="N336" s="544" t="str">
        <f t="shared" si="12"/>
        <v/>
      </c>
      <c r="O336" s="1024" t="str">
        <f t="shared" si="10"/>
        <v/>
      </c>
      <c r="P336" s="1024" t="str">
        <f t="shared" si="11"/>
        <v/>
      </c>
      <c r="Q336" s="543" t="str">
        <f>IF(B336="","",IF(D336="","",N336*'Fatores de Emissão'!$E$252+'Combustão Móvel'!O336*'Fatores de Emissão'!$E$248+'Combustão Móvel'!P336*'Fatores de Emissão'!$E$249))</f>
        <v/>
      </c>
    </row>
    <row r="337" spans="2:17" s="314" customFormat="1" hidden="1" outlineLevel="2" x14ac:dyDescent="0.35">
      <c r="B337" s="454"/>
      <c r="C337" s="194"/>
      <c r="D337" s="194"/>
      <c r="E337" s="342"/>
      <c r="F337" s="546"/>
      <c r="G337" s="342"/>
      <c r="H337" s="456"/>
      <c r="I337" s="456"/>
      <c r="J337" s="544" t="str">
        <f>IF(OR(D337="",D337="-"),"",VLOOKUP(D337,'Fatores de Emissão'!$D$117:$F$121,3,FALSE))</f>
        <v/>
      </c>
      <c r="K337" s="1024" t="str">
        <f>IF(OR(D337="",D337="-"),"",VLOOKUP(D337,'Fatores de Emissão'!$D$117:$E$121,2,FALSE))</f>
        <v/>
      </c>
      <c r="L337" s="1024" t="str">
        <f>IF(OR(D337="",D337="-"),"",VLOOKUP(D337,'Fatores de Emissão'!$D$117:$G$121,4,FALSE))</f>
        <v/>
      </c>
      <c r="M337" s="1024" t="str">
        <f>IF(OR(D337="",D337="-"),"",VLOOKUP(D337,'Fatores de Emissão'!$D$117:$I$121,6,FALSE))</f>
        <v/>
      </c>
      <c r="N337" s="544" t="str">
        <f t="shared" si="12"/>
        <v/>
      </c>
      <c r="O337" s="1024" t="str">
        <f t="shared" si="10"/>
        <v/>
      </c>
      <c r="P337" s="1024" t="str">
        <f t="shared" si="11"/>
        <v/>
      </c>
      <c r="Q337" s="543" t="str">
        <f>IF(B337="","",IF(D337="","",N337*'Fatores de Emissão'!$E$252+'Combustão Móvel'!O337*'Fatores de Emissão'!$E$248+'Combustão Móvel'!P337*'Fatores de Emissão'!$E$249))</f>
        <v/>
      </c>
    </row>
    <row r="338" spans="2:17" s="314" customFormat="1" hidden="1" outlineLevel="2" x14ac:dyDescent="0.35">
      <c r="B338" s="454"/>
      <c r="C338" s="194"/>
      <c r="D338" s="194"/>
      <c r="E338" s="342"/>
      <c r="F338" s="546"/>
      <c r="G338" s="342"/>
      <c r="H338" s="456"/>
      <c r="I338" s="456"/>
      <c r="J338" s="544" t="str">
        <f>IF(OR(D338="",D338="-"),"",VLOOKUP(D338,'Fatores de Emissão'!$D$117:$F$121,3,FALSE))</f>
        <v/>
      </c>
      <c r="K338" s="1024" t="str">
        <f>IF(OR(D338="",D338="-"),"",VLOOKUP(D338,'Fatores de Emissão'!$D$117:$E$121,2,FALSE))</f>
        <v/>
      </c>
      <c r="L338" s="1024" t="str">
        <f>IF(OR(D338="",D338="-"),"",VLOOKUP(D338,'Fatores de Emissão'!$D$117:$G$121,4,FALSE))</f>
        <v/>
      </c>
      <c r="M338" s="1024" t="str">
        <f>IF(OR(D338="",D338="-"),"",VLOOKUP(D338,'Fatores de Emissão'!$D$117:$I$121,6,FALSE))</f>
        <v/>
      </c>
      <c r="N338" s="544" t="str">
        <f t="shared" si="12"/>
        <v/>
      </c>
      <c r="O338" s="1024" t="str">
        <f t="shared" si="10"/>
        <v/>
      </c>
      <c r="P338" s="1024" t="str">
        <f t="shared" si="11"/>
        <v/>
      </c>
      <c r="Q338" s="543" t="str">
        <f>IF(B338="","",IF(D338="","",N338*'Fatores de Emissão'!$E$252+'Combustão Móvel'!O338*'Fatores de Emissão'!$E$248+'Combustão Móvel'!P338*'Fatores de Emissão'!$E$249))</f>
        <v/>
      </c>
    </row>
    <row r="339" spans="2:17" s="314" customFormat="1" hidden="1" outlineLevel="2" x14ac:dyDescent="0.35">
      <c r="B339" s="454"/>
      <c r="C339" s="194"/>
      <c r="D339" s="194"/>
      <c r="E339" s="342"/>
      <c r="F339" s="546"/>
      <c r="G339" s="342"/>
      <c r="H339" s="456"/>
      <c r="I339" s="456"/>
      <c r="J339" s="544" t="str">
        <f>IF(OR(D339="",D339="-"),"",VLOOKUP(D339,'Fatores de Emissão'!$D$117:$F$121,3,FALSE))</f>
        <v/>
      </c>
      <c r="K339" s="1024" t="str">
        <f>IF(OR(D339="",D339="-"),"",VLOOKUP(D339,'Fatores de Emissão'!$D$117:$E$121,2,FALSE))</f>
        <v/>
      </c>
      <c r="L339" s="1024" t="str">
        <f>IF(OR(D339="",D339="-"),"",VLOOKUP(D339,'Fatores de Emissão'!$D$117:$G$121,4,FALSE))</f>
        <v/>
      </c>
      <c r="M339" s="1024" t="str">
        <f>IF(OR(D339="",D339="-"),"",VLOOKUP(D339,'Fatores de Emissão'!$D$117:$I$121,6,FALSE))</f>
        <v/>
      </c>
      <c r="N339" s="544" t="str">
        <f t="shared" si="12"/>
        <v/>
      </c>
      <c r="O339" s="1024" t="str">
        <f t="shared" si="10"/>
        <v/>
      </c>
      <c r="P339" s="1024" t="str">
        <f t="shared" si="11"/>
        <v/>
      </c>
      <c r="Q339" s="543" t="str">
        <f>IF(B339="","",IF(D339="","",N339*'Fatores de Emissão'!$E$252+'Combustão Móvel'!O339*'Fatores de Emissão'!$E$248+'Combustão Móvel'!P339*'Fatores de Emissão'!$E$249))</f>
        <v/>
      </c>
    </row>
    <row r="340" spans="2:17" s="314" customFormat="1" hidden="1" outlineLevel="2" x14ac:dyDescent="0.35">
      <c r="B340" s="454"/>
      <c r="C340" s="194"/>
      <c r="D340" s="194"/>
      <c r="E340" s="342"/>
      <c r="F340" s="546"/>
      <c r="G340" s="342"/>
      <c r="H340" s="456"/>
      <c r="I340" s="456"/>
      <c r="J340" s="544" t="str">
        <f>IF(OR(D340="",D340="-"),"",VLOOKUP(D340,'Fatores de Emissão'!$D$117:$F$121,3,FALSE))</f>
        <v/>
      </c>
      <c r="K340" s="1024" t="str">
        <f>IF(OR(D340="",D340="-"),"",VLOOKUP(D340,'Fatores de Emissão'!$D$117:$E$121,2,FALSE))</f>
        <v/>
      </c>
      <c r="L340" s="1024" t="str">
        <f>IF(OR(D340="",D340="-"),"",VLOOKUP(D340,'Fatores de Emissão'!$D$117:$G$121,4,FALSE))</f>
        <v/>
      </c>
      <c r="M340" s="1024" t="str">
        <f>IF(OR(D340="",D340="-"),"",VLOOKUP(D340,'Fatores de Emissão'!$D$117:$I$121,6,FALSE))</f>
        <v/>
      </c>
      <c r="N340" s="544" t="str">
        <f t="shared" si="12"/>
        <v/>
      </c>
      <c r="O340" s="1024" t="str">
        <f t="shared" si="10"/>
        <v/>
      </c>
      <c r="P340" s="1024" t="str">
        <f t="shared" si="11"/>
        <v/>
      </c>
      <c r="Q340" s="543" t="str">
        <f>IF(B340="","",IF(D340="","",N340*'Fatores de Emissão'!$E$252+'Combustão Móvel'!O340*'Fatores de Emissão'!$E$248+'Combustão Móvel'!P340*'Fatores de Emissão'!$E$249))</f>
        <v/>
      </c>
    </row>
    <row r="341" spans="2:17" s="314" customFormat="1" hidden="1" outlineLevel="2" x14ac:dyDescent="0.35">
      <c r="B341" s="454"/>
      <c r="C341" s="194"/>
      <c r="D341" s="194"/>
      <c r="E341" s="342"/>
      <c r="F341" s="546"/>
      <c r="G341" s="342"/>
      <c r="H341" s="456"/>
      <c r="I341" s="456"/>
      <c r="J341" s="544" t="str">
        <f>IF(OR(D341="",D341="-"),"",VLOOKUP(D341,'Fatores de Emissão'!$D$117:$F$121,3,FALSE))</f>
        <v/>
      </c>
      <c r="K341" s="1024" t="str">
        <f>IF(OR(D341="",D341="-"),"",VLOOKUP(D341,'Fatores de Emissão'!$D$117:$E$121,2,FALSE))</f>
        <v/>
      </c>
      <c r="L341" s="1024" t="str">
        <f>IF(OR(D341="",D341="-"),"",VLOOKUP(D341,'Fatores de Emissão'!$D$117:$G$121,4,FALSE))</f>
        <v/>
      </c>
      <c r="M341" s="1024" t="str">
        <f>IF(OR(D341="",D341="-"),"",VLOOKUP(D341,'Fatores de Emissão'!$D$117:$I$121,6,FALSE))</f>
        <v/>
      </c>
      <c r="N341" s="544" t="str">
        <f t="shared" si="12"/>
        <v/>
      </c>
      <c r="O341" s="1024" t="str">
        <f t="shared" si="10"/>
        <v/>
      </c>
      <c r="P341" s="1024" t="str">
        <f t="shared" si="11"/>
        <v/>
      </c>
      <c r="Q341" s="543" t="str">
        <f>IF(B341="","",IF(D341="","",N341*'Fatores de Emissão'!$E$252+'Combustão Móvel'!O341*'Fatores de Emissão'!$E$248+'Combustão Móvel'!P341*'Fatores de Emissão'!$E$249))</f>
        <v/>
      </c>
    </row>
    <row r="342" spans="2:17" s="314" customFormat="1" hidden="1" outlineLevel="2" x14ac:dyDescent="0.35">
      <c r="B342" s="454"/>
      <c r="C342" s="194"/>
      <c r="D342" s="194"/>
      <c r="E342" s="342"/>
      <c r="F342" s="546"/>
      <c r="G342" s="342"/>
      <c r="H342" s="456"/>
      <c r="I342" s="456"/>
      <c r="J342" s="544" t="str">
        <f>IF(OR(D342="",D342="-"),"",VLOOKUP(D342,'Fatores de Emissão'!$D$117:$F$121,3,FALSE))</f>
        <v/>
      </c>
      <c r="K342" s="1024" t="str">
        <f>IF(OR(D342="",D342="-"),"",VLOOKUP(D342,'Fatores de Emissão'!$D$117:$E$121,2,FALSE))</f>
        <v/>
      </c>
      <c r="L342" s="1024" t="str">
        <f>IF(OR(D342="",D342="-"),"",VLOOKUP(D342,'Fatores de Emissão'!$D$117:$G$121,4,FALSE))</f>
        <v/>
      </c>
      <c r="M342" s="1024" t="str">
        <f>IF(OR(D342="",D342="-"),"",VLOOKUP(D342,'Fatores de Emissão'!$D$117:$I$121,6,FALSE))</f>
        <v/>
      </c>
      <c r="N342" s="544" t="str">
        <f t="shared" si="12"/>
        <v/>
      </c>
      <c r="O342" s="1024" t="str">
        <f t="shared" si="10"/>
        <v/>
      </c>
      <c r="P342" s="1024" t="str">
        <f t="shared" si="11"/>
        <v/>
      </c>
      <c r="Q342" s="543" t="str">
        <f>IF(B342="","",IF(D342="","",N342*'Fatores de Emissão'!$E$252+'Combustão Móvel'!O342*'Fatores de Emissão'!$E$248+'Combustão Móvel'!P342*'Fatores de Emissão'!$E$249))</f>
        <v/>
      </c>
    </row>
    <row r="343" spans="2:17" s="314" customFormat="1" hidden="1" outlineLevel="2" x14ac:dyDescent="0.35">
      <c r="B343" s="454"/>
      <c r="C343" s="194"/>
      <c r="D343" s="194"/>
      <c r="E343" s="342"/>
      <c r="F343" s="546"/>
      <c r="G343" s="342"/>
      <c r="H343" s="456"/>
      <c r="I343" s="456"/>
      <c r="J343" s="544" t="str">
        <f>IF(OR(D343="",D343="-"),"",VLOOKUP(D343,'Fatores de Emissão'!$D$117:$F$121,3,FALSE))</f>
        <v/>
      </c>
      <c r="K343" s="1024" t="str">
        <f>IF(OR(D343="",D343="-"),"",VLOOKUP(D343,'Fatores de Emissão'!$D$117:$E$121,2,FALSE))</f>
        <v/>
      </c>
      <c r="L343" s="1024" t="str">
        <f>IF(OR(D343="",D343="-"),"",VLOOKUP(D343,'Fatores de Emissão'!$D$117:$G$121,4,FALSE))</f>
        <v/>
      </c>
      <c r="M343" s="1024" t="str">
        <f>IF(OR(D343="",D343="-"),"",VLOOKUP(D343,'Fatores de Emissão'!$D$117:$I$121,6,FALSE))</f>
        <v/>
      </c>
      <c r="N343" s="544" t="str">
        <f t="shared" si="12"/>
        <v/>
      </c>
      <c r="O343" s="1024" t="str">
        <f t="shared" si="10"/>
        <v/>
      </c>
      <c r="P343" s="1024" t="str">
        <f t="shared" si="11"/>
        <v/>
      </c>
      <c r="Q343" s="543" t="str">
        <f>IF(B343="","",IF(D343="","",N343*'Fatores de Emissão'!$E$252+'Combustão Móvel'!O343*'Fatores de Emissão'!$E$248+'Combustão Móvel'!P343*'Fatores de Emissão'!$E$249))</f>
        <v/>
      </c>
    </row>
    <row r="344" spans="2:17" s="314" customFormat="1" hidden="1" outlineLevel="2" x14ac:dyDescent="0.35">
      <c r="B344" s="454"/>
      <c r="C344" s="194"/>
      <c r="D344" s="194"/>
      <c r="E344" s="342"/>
      <c r="F344" s="546"/>
      <c r="G344" s="342"/>
      <c r="H344" s="456"/>
      <c r="I344" s="456"/>
      <c r="J344" s="544" t="str">
        <f>IF(OR(D344="",D344="-"),"",VLOOKUP(D344,'Fatores de Emissão'!$D$117:$F$121,3,FALSE))</f>
        <v/>
      </c>
      <c r="K344" s="1024" t="str">
        <f>IF(OR(D344="",D344="-"),"",VLOOKUP(D344,'Fatores de Emissão'!$D$117:$E$121,2,FALSE))</f>
        <v/>
      </c>
      <c r="L344" s="1024" t="str">
        <f>IF(OR(D344="",D344="-"),"",VLOOKUP(D344,'Fatores de Emissão'!$D$117:$G$121,4,FALSE))</f>
        <v/>
      </c>
      <c r="M344" s="1024" t="str">
        <f>IF(OR(D344="",D344="-"),"",VLOOKUP(D344,'Fatores de Emissão'!$D$117:$I$121,6,FALSE))</f>
        <v/>
      </c>
      <c r="N344" s="544" t="str">
        <f t="shared" si="12"/>
        <v/>
      </c>
      <c r="O344" s="1024" t="str">
        <f t="shared" si="10"/>
        <v/>
      </c>
      <c r="P344" s="1024" t="str">
        <f t="shared" si="11"/>
        <v/>
      </c>
      <c r="Q344" s="543" t="str">
        <f>IF(B344="","",IF(D344="","",N344*'Fatores de Emissão'!$E$252+'Combustão Móvel'!O344*'Fatores de Emissão'!$E$248+'Combustão Móvel'!P344*'Fatores de Emissão'!$E$249))</f>
        <v/>
      </c>
    </row>
    <row r="345" spans="2:17" s="314" customFormat="1" hidden="1" outlineLevel="2" x14ac:dyDescent="0.35">
      <c r="B345" s="454"/>
      <c r="C345" s="194"/>
      <c r="D345" s="194"/>
      <c r="E345" s="342"/>
      <c r="F345" s="546"/>
      <c r="G345" s="342"/>
      <c r="H345" s="456"/>
      <c r="I345" s="456"/>
      <c r="J345" s="544" t="str">
        <f>IF(OR(D345="",D345="-"),"",VLOOKUP(D345,'Fatores de Emissão'!$D$117:$F$121,3,FALSE))</f>
        <v/>
      </c>
      <c r="K345" s="1024" t="str">
        <f>IF(OR(D345="",D345="-"),"",VLOOKUP(D345,'Fatores de Emissão'!$D$117:$E$121,2,FALSE))</f>
        <v/>
      </c>
      <c r="L345" s="1024" t="str">
        <f>IF(OR(D345="",D345="-"),"",VLOOKUP(D345,'Fatores de Emissão'!$D$117:$G$121,4,FALSE))</f>
        <v/>
      </c>
      <c r="M345" s="1024" t="str">
        <f>IF(OR(D345="",D345="-"),"",VLOOKUP(D345,'Fatores de Emissão'!$D$117:$I$121,6,FALSE))</f>
        <v/>
      </c>
      <c r="N345" s="544" t="str">
        <f t="shared" si="12"/>
        <v/>
      </c>
      <c r="O345" s="1024" t="str">
        <f t="shared" si="10"/>
        <v/>
      </c>
      <c r="P345" s="1024" t="str">
        <f t="shared" si="11"/>
        <v/>
      </c>
      <c r="Q345" s="543" t="str">
        <f>IF(B345="","",IF(D345="","",N345*'Fatores de Emissão'!$E$252+'Combustão Móvel'!O345*'Fatores de Emissão'!$E$248+'Combustão Móvel'!P345*'Fatores de Emissão'!$E$249))</f>
        <v/>
      </c>
    </row>
    <row r="346" spans="2:17" s="314" customFormat="1" hidden="1" outlineLevel="2" x14ac:dyDescent="0.35">
      <c r="B346" s="454"/>
      <c r="C346" s="194"/>
      <c r="D346" s="194"/>
      <c r="E346" s="342"/>
      <c r="F346" s="546"/>
      <c r="G346" s="342"/>
      <c r="H346" s="456"/>
      <c r="I346" s="456"/>
      <c r="J346" s="544" t="str">
        <f>IF(OR(D346="",D346="-"),"",VLOOKUP(D346,'Fatores de Emissão'!$D$117:$F$121,3,FALSE))</f>
        <v/>
      </c>
      <c r="K346" s="1024" t="str">
        <f>IF(OR(D346="",D346="-"),"",VLOOKUP(D346,'Fatores de Emissão'!$D$117:$E$121,2,FALSE))</f>
        <v/>
      </c>
      <c r="L346" s="1024" t="str">
        <f>IF(OR(D346="",D346="-"),"",VLOOKUP(D346,'Fatores de Emissão'!$D$117:$G$121,4,FALSE))</f>
        <v/>
      </c>
      <c r="M346" s="1024" t="str">
        <f>IF(OR(D346="",D346="-"),"",VLOOKUP(D346,'Fatores de Emissão'!$D$117:$I$121,6,FALSE))</f>
        <v/>
      </c>
      <c r="N346" s="544" t="str">
        <f t="shared" si="12"/>
        <v/>
      </c>
      <c r="O346" s="1024" t="str">
        <f t="shared" si="10"/>
        <v/>
      </c>
      <c r="P346" s="1024" t="str">
        <f t="shared" si="11"/>
        <v/>
      </c>
      <c r="Q346" s="543" t="str">
        <f>IF(B346="","",IF(D346="","",N346*'Fatores de Emissão'!$E$252+'Combustão Móvel'!O346*'Fatores de Emissão'!$E$248+'Combustão Móvel'!P346*'Fatores de Emissão'!$E$249))</f>
        <v/>
      </c>
    </row>
    <row r="347" spans="2:17" s="314" customFormat="1" hidden="1" outlineLevel="2" x14ac:dyDescent="0.35">
      <c r="B347" s="454"/>
      <c r="C347" s="194"/>
      <c r="D347" s="194"/>
      <c r="E347" s="342"/>
      <c r="F347" s="546"/>
      <c r="G347" s="342"/>
      <c r="H347" s="456"/>
      <c r="I347" s="456"/>
      <c r="J347" s="544" t="str">
        <f>IF(OR(D347="",D347="-"),"",VLOOKUP(D347,'Fatores de Emissão'!$D$117:$F$121,3,FALSE))</f>
        <v/>
      </c>
      <c r="K347" s="1024" t="str">
        <f>IF(OR(D347="",D347="-"),"",VLOOKUP(D347,'Fatores de Emissão'!$D$117:$E$121,2,FALSE))</f>
        <v/>
      </c>
      <c r="L347" s="1024" t="str">
        <f>IF(OR(D347="",D347="-"),"",VLOOKUP(D347,'Fatores de Emissão'!$D$117:$G$121,4,FALSE))</f>
        <v/>
      </c>
      <c r="M347" s="1024" t="str">
        <f>IF(OR(D347="",D347="-"),"",VLOOKUP(D347,'Fatores de Emissão'!$D$117:$I$121,6,FALSE))</f>
        <v/>
      </c>
      <c r="N347" s="544" t="str">
        <f t="shared" si="12"/>
        <v/>
      </c>
      <c r="O347" s="1024" t="str">
        <f t="shared" si="10"/>
        <v/>
      </c>
      <c r="P347" s="1024" t="str">
        <f t="shared" si="11"/>
        <v/>
      </c>
      <c r="Q347" s="543" t="str">
        <f>IF(B347="","",IF(D347="","",N347*'Fatores de Emissão'!$E$252+'Combustão Móvel'!O347*'Fatores de Emissão'!$E$248+'Combustão Móvel'!P347*'Fatores de Emissão'!$E$249))</f>
        <v/>
      </c>
    </row>
    <row r="348" spans="2:17" s="314" customFormat="1" hidden="1" outlineLevel="2" x14ac:dyDescent="0.35">
      <c r="B348" s="454"/>
      <c r="C348" s="194"/>
      <c r="D348" s="194"/>
      <c r="E348" s="342"/>
      <c r="F348" s="546"/>
      <c r="G348" s="342"/>
      <c r="H348" s="456"/>
      <c r="I348" s="456"/>
      <c r="J348" s="544" t="str">
        <f>IF(OR(D348="",D348="-"),"",VLOOKUP(D348,'Fatores de Emissão'!$D$117:$F$121,3,FALSE))</f>
        <v/>
      </c>
      <c r="K348" s="1024" t="str">
        <f>IF(OR(D348="",D348="-"),"",VLOOKUP(D348,'Fatores de Emissão'!$D$117:$E$121,2,FALSE))</f>
        <v/>
      </c>
      <c r="L348" s="1024" t="str">
        <f>IF(OR(D348="",D348="-"),"",VLOOKUP(D348,'Fatores de Emissão'!$D$117:$G$121,4,FALSE))</f>
        <v/>
      </c>
      <c r="M348" s="1024" t="str">
        <f>IF(OR(D348="",D348="-"),"",VLOOKUP(D348,'Fatores de Emissão'!$D$117:$I$121,6,FALSE))</f>
        <v/>
      </c>
      <c r="N348" s="544" t="str">
        <f t="shared" si="12"/>
        <v/>
      </c>
      <c r="O348" s="1024" t="str">
        <f t="shared" si="10"/>
        <v/>
      </c>
      <c r="P348" s="1024" t="str">
        <f t="shared" si="11"/>
        <v/>
      </c>
      <c r="Q348" s="543" t="str">
        <f>IF(B348="","",IF(D348="","",N348*'Fatores de Emissão'!$E$252+'Combustão Móvel'!O348*'Fatores de Emissão'!$E$248+'Combustão Móvel'!P348*'Fatores de Emissão'!$E$249))</f>
        <v/>
      </c>
    </row>
    <row r="349" spans="2:17" s="314" customFormat="1" hidden="1" outlineLevel="2" x14ac:dyDescent="0.35">
      <c r="B349" s="454"/>
      <c r="C349" s="194"/>
      <c r="D349" s="194"/>
      <c r="E349" s="342"/>
      <c r="F349" s="546"/>
      <c r="G349" s="342"/>
      <c r="H349" s="456"/>
      <c r="I349" s="456"/>
      <c r="J349" s="544" t="str">
        <f>IF(OR(D349="",D349="-"),"",VLOOKUP(D349,'Fatores de Emissão'!$D$117:$F$121,3,FALSE))</f>
        <v/>
      </c>
      <c r="K349" s="1024" t="str">
        <f>IF(OR(D349="",D349="-"),"",VLOOKUP(D349,'Fatores de Emissão'!$D$117:$E$121,2,FALSE))</f>
        <v/>
      </c>
      <c r="L349" s="1024" t="str">
        <f>IF(OR(D349="",D349="-"),"",VLOOKUP(D349,'Fatores de Emissão'!$D$117:$G$121,4,FALSE))</f>
        <v/>
      </c>
      <c r="M349" s="1024" t="str">
        <f>IF(OR(D349="",D349="-"),"",VLOOKUP(D349,'Fatores de Emissão'!$D$117:$I$121,6,FALSE))</f>
        <v/>
      </c>
      <c r="N349" s="544" t="str">
        <f t="shared" ref="N349:N385" si="13">IF(D349="","",IF(J349="kg/km",E349*K349/1000,IF(J349="kg/p.km",E349*F349*K349/1000,E349*G349*K349/1000)))</f>
        <v/>
      </c>
      <c r="O349" s="1024" t="str">
        <f t="shared" ref="O349:O385" si="14">IF(D349="","",IF(J349="kg/km",E349*L349/1000,IF(J349="kg/p.km",E349*F349*L349/1000,E349*G349*L349/1000)))</f>
        <v/>
      </c>
      <c r="P349" s="1024" t="str">
        <f t="shared" ref="P349:P385" si="15">IF(D349="","",IF(J349="kg/km",E349*M349/1000,IF(J349="kg/p.km",E349*F349*M349/1000,E349*G349*M349/1000)))</f>
        <v/>
      </c>
      <c r="Q349" s="543" t="str">
        <f>IF(B349="","",IF(D349="","",N349*'Fatores de Emissão'!$E$252+'Combustão Móvel'!O349*'Fatores de Emissão'!$E$248+'Combustão Móvel'!P349*'Fatores de Emissão'!$E$249))</f>
        <v/>
      </c>
    </row>
    <row r="350" spans="2:17" s="314" customFormat="1" hidden="1" outlineLevel="2" x14ac:dyDescent="0.35">
      <c r="B350" s="454"/>
      <c r="C350" s="194"/>
      <c r="D350" s="194"/>
      <c r="E350" s="342"/>
      <c r="F350" s="546"/>
      <c r="G350" s="342"/>
      <c r="H350" s="456"/>
      <c r="I350" s="456"/>
      <c r="J350" s="544" t="str">
        <f>IF(OR(D350="",D350="-"),"",VLOOKUP(D350,'Fatores de Emissão'!$D$117:$F$121,3,FALSE))</f>
        <v/>
      </c>
      <c r="K350" s="1024" t="str">
        <f>IF(OR(D350="",D350="-"),"",VLOOKUP(D350,'Fatores de Emissão'!$D$117:$E$121,2,FALSE))</f>
        <v/>
      </c>
      <c r="L350" s="1024" t="str">
        <f>IF(OR(D350="",D350="-"),"",VLOOKUP(D350,'Fatores de Emissão'!$D$117:$G$121,4,FALSE))</f>
        <v/>
      </c>
      <c r="M350" s="1024" t="str">
        <f>IF(OR(D350="",D350="-"),"",VLOOKUP(D350,'Fatores de Emissão'!$D$117:$I$121,6,FALSE))</f>
        <v/>
      </c>
      <c r="N350" s="544" t="str">
        <f t="shared" si="13"/>
        <v/>
      </c>
      <c r="O350" s="1024" t="str">
        <f t="shared" si="14"/>
        <v/>
      </c>
      <c r="P350" s="1024" t="str">
        <f t="shared" si="15"/>
        <v/>
      </c>
      <c r="Q350" s="543" t="str">
        <f>IF(B350="","",IF(D350="","",N350*'Fatores de Emissão'!$E$252+'Combustão Móvel'!O350*'Fatores de Emissão'!$E$248+'Combustão Móvel'!P350*'Fatores de Emissão'!$E$249))</f>
        <v/>
      </c>
    </row>
    <row r="351" spans="2:17" s="314" customFormat="1" hidden="1" outlineLevel="2" x14ac:dyDescent="0.35">
      <c r="B351" s="454"/>
      <c r="C351" s="194"/>
      <c r="D351" s="194"/>
      <c r="E351" s="342"/>
      <c r="F351" s="546"/>
      <c r="G351" s="342"/>
      <c r="H351" s="456"/>
      <c r="I351" s="456"/>
      <c r="J351" s="544" t="str">
        <f>IF(OR(D351="",D351="-"),"",VLOOKUP(D351,'Fatores de Emissão'!$D$117:$F$121,3,FALSE))</f>
        <v/>
      </c>
      <c r="K351" s="1024" t="str">
        <f>IF(OR(D351="",D351="-"),"",VLOOKUP(D351,'Fatores de Emissão'!$D$117:$E$121,2,FALSE))</f>
        <v/>
      </c>
      <c r="L351" s="1024" t="str">
        <f>IF(OR(D351="",D351="-"),"",VLOOKUP(D351,'Fatores de Emissão'!$D$117:$G$121,4,FALSE))</f>
        <v/>
      </c>
      <c r="M351" s="1024" t="str">
        <f>IF(OR(D351="",D351="-"),"",VLOOKUP(D351,'Fatores de Emissão'!$D$117:$I$121,6,FALSE))</f>
        <v/>
      </c>
      <c r="N351" s="544" t="str">
        <f t="shared" si="13"/>
        <v/>
      </c>
      <c r="O351" s="1024" t="str">
        <f t="shared" si="14"/>
        <v/>
      </c>
      <c r="P351" s="1024" t="str">
        <f t="shared" si="15"/>
        <v/>
      </c>
      <c r="Q351" s="543" t="str">
        <f>IF(B351="","",IF(D351="","",N351*'Fatores de Emissão'!$E$252+'Combustão Móvel'!O351*'Fatores de Emissão'!$E$248+'Combustão Móvel'!P351*'Fatores de Emissão'!$E$249))</f>
        <v/>
      </c>
    </row>
    <row r="352" spans="2:17" s="314" customFormat="1" hidden="1" outlineLevel="2" x14ac:dyDescent="0.35">
      <c r="B352" s="454"/>
      <c r="C352" s="194"/>
      <c r="D352" s="194"/>
      <c r="E352" s="342"/>
      <c r="F352" s="546"/>
      <c r="G352" s="342"/>
      <c r="H352" s="456"/>
      <c r="I352" s="456"/>
      <c r="J352" s="544" t="str">
        <f>IF(OR(D352="",D352="-"),"",VLOOKUP(D352,'Fatores de Emissão'!$D$117:$F$121,3,FALSE))</f>
        <v/>
      </c>
      <c r="K352" s="1024" t="str">
        <f>IF(OR(D352="",D352="-"),"",VLOOKUP(D352,'Fatores de Emissão'!$D$117:$E$121,2,FALSE))</f>
        <v/>
      </c>
      <c r="L352" s="1024" t="str">
        <f>IF(OR(D352="",D352="-"),"",VLOOKUP(D352,'Fatores de Emissão'!$D$117:$G$121,4,FALSE))</f>
        <v/>
      </c>
      <c r="M352" s="1024" t="str">
        <f>IF(OR(D352="",D352="-"),"",VLOOKUP(D352,'Fatores de Emissão'!$D$117:$I$121,6,FALSE))</f>
        <v/>
      </c>
      <c r="N352" s="544" t="str">
        <f t="shared" si="13"/>
        <v/>
      </c>
      <c r="O352" s="1024" t="str">
        <f t="shared" si="14"/>
        <v/>
      </c>
      <c r="P352" s="1024" t="str">
        <f t="shared" si="15"/>
        <v/>
      </c>
      <c r="Q352" s="543" t="str">
        <f>IF(B352="","",IF(D352="","",N352*'Fatores de Emissão'!$E$252+'Combustão Móvel'!O352*'Fatores de Emissão'!$E$248+'Combustão Móvel'!P352*'Fatores de Emissão'!$E$249))</f>
        <v/>
      </c>
    </row>
    <row r="353" spans="2:17" s="314" customFormat="1" hidden="1" outlineLevel="2" x14ac:dyDescent="0.35">
      <c r="B353" s="454"/>
      <c r="C353" s="194"/>
      <c r="D353" s="194"/>
      <c r="E353" s="342"/>
      <c r="F353" s="546"/>
      <c r="G353" s="342"/>
      <c r="H353" s="456"/>
      <c r="I353" s="456"/>
      <c r="J353" s="544" t="str">
        <f>IF(OR(D353="",D353="-"),"",VLOOKUP(D353,'Fatores de Emissão'!$D$117:$F$121,3,FALSE))</f>
        <v/>
      </c>
      <c r="K353" s="1024" t="str">
        <f>IF(OR(D353="",D353="-"),"",VLOOKUP(D353,'Fatores de Emissão'!$D$117:$E$121,2,FALSE))</f>
        <v/>
      </c>
      <c r="L353" s="1024" t="str">
        <f>IF(OR(D353="",D353="-"),"",VLOOKUP(D353,'Fatores de Emissão'!$D$117:$G$121,4,FALSE))</f>
        <v/>
      </c>
      <c r="M353" s="1024" t="str">
        <f>IF(OR(D353="",D353="-"),"",VLOOKUP(D353,'Fatores de Emissão'!$D$117:$I$121,6,FALSE))</f>
        <v/>
      </c>
      <c r="N353" s="544" t="str">
        <f t="shared" si="13"/>
        <v/>
      </c>
      <c r="O353" s="1024" t="str">
        <f t="shared" si="14"/>
        <v/>
      </c>
      <c r="P353" s="1024" t="str">
        <f t="shared" si="15"/>
        <v/>
      </c>
      <c r="Q353" s="543" t="str">
        <f>IF(B353="","",IF(D353="","",N353*'Fatores de Emissão'!$E$252+'Combustão Móvel'!O353*'Fatores de Emissão'!$E$248+'Combustão Móvel'!P353*'Fatores de Emissão'!$E$249))</f>
        <v/>
      </c>
    </row>
    <row r="354" spans="2:17" s="314" customFormat="1" hidden="1" outlineLevel="2" x14ac:dyDescent="0.35">
      <c r="B354" s="454"/>
      <c r="C354" s="194"/>
      <c r="D354" s="194"/>
      <c r="E354" s="342"/>
      <c r="F354" s="546"/>
      <c r="G354" s="342"/>
      <c r="H354" s="456"/>
      <c r="I354" s="456"/>
      <c r="J354" s="544" t="str">
        <f>IF(OR(D354="",D354="-"),"",VLOOKUP(D354,'Fatores de Emissão'!$D$117:$F$121,3,FALSE))</f>
        <v/>
      </c>
      <c r="K354" s="1024" t="str">
        <f>IF(OR(D354="",D354="-"),"",VLOOKUP(D354,'Fatores de Emissão'!$D$117:$E$121,2,FALSE))</f>
        <v/>
      </c>
      <c r="L354" s="1024" t="str">
        <f>IF(OR(D354="",D354="-"),"",VLOOKUP(D354,'Fatores de Emissão'!$D$117:$G$121,4,FALSE))</f>
        <v/>
      </c>
      <c r="M354" s="1024" t="str">
        <f>IF(OR(D354="",D354="-"),"",VLOOKUP(D354,'Fatores de Emissão'!$D$117:$I$121,6,FALSE))</f>
        <v/>
      </c>
      <c r="N354" s="544" t="str">
        <f t="shared" si="13"/>
        <v/>
      </c>
      <c r="O354" s="1024" t="str">
        <f t="shared" si="14"/>
        <v/>
      </c>
      <c r="P354" s="1024" t="str">
        <f t="shared" si="15"/>
        <v/>
      </c>
      <c r="Q354" s="543" t="str">
        <f>IF(B354="","",IF(D354="","",N354*'Fatores de Emissão'!$E$252+'Combustão Móvel'!O354*'Fatores de Emissão'!$E$248+'Combustão Móvel'!P354*'Fatores de Emissão'!$E$249))</f>
        <v/>
      </c>
    </row>
    <row r="355" spans="2:17" s="314" customFormat="1" hidden="1" outlineLevel="2" x14ac:dyDescent="0.35">
      <c r="B355" s="454"/>
      <c r="C355" s="194"/>
      <c r="D355" s="194"/>
      <c r="E355" s="342"/>
      <c r="F355" s="546"/>
      <c r="G355" s="342"/>
      <c r="H355" s="456"/>
      <c r="I355" s="456"/>
      <c r="J355" s="544" t="str">
        <f>IF(OR(D355="",D355="-"),"",VLOOKUP(D355,'Fatores de Emissão'!$D$117:$F$121,3,FALSE))</f>
        <v/>
      </c>
      <c r="K355" s="1024" t="str">
        <f>IF(OR(D355="",D355="-"),"",VLOOKUP(D355,'Fatores de Emissão'!$D$117:$E$121,2,FALSE))</f>
        <v/>
      </c>
      <c r="L355" s="1024" t="str">
        <f>IF(OR(D355="",D355="-"),"",VLOOKUP(D355,'Fatores de Emissão'!$D$117:$G$121,4,FALSE))</f>
        <v/>
      </c>
      <c r="M355" s="1024" t="str">
        <f>IF(OR(D355="",D355="-"),"",VLOOKUP(D355,'Fatores de Emissão'!$D$117:$I$121,6,FALSE))</f>
        <v/>
      </c>
      <c r="N355" s="544" t="str">
        <f t="shared" si="13"/>
        <v/>
      </c>
      <c r="O355" s="1024" t="str">
        <f t="shared" si="14"/>
        <v/>
      </c>
      <c r="P355" s="1024" t="str">
        <f t="shared" si="15"/>
        <v/>
      </c>
      <c r="Q355" s="543" t="str">
        <f>IF(B355="","",IF(D355="","",N355*'Fatores de Emissão'!$E$252+'Combustão Móvel'!O355*'Fatores de Emissão'!$E$248+'Combustão Móvel'!P355*'Fatores de Emissão'!$E$249))</f>
        <v/>
      </c>
    </row>
    <row r="356" spans="2:17" s="314" customFormat="1" hidden="1" outlineLevel="2" x14ac:dyDescent="0.35">
      <c r="B356" s="454"/>
      <c r="C356" s="194"/>
      <c r="D356" s="194"/>
      <c r="E356" s="342"/>
      <c r="F356" s="546"/>
      <c r="G356" s="342"/>
      <c r="H356" s="456"/>
      <c r="I356" s="456"/>
      <c r="J356" s="544" t="str">
        <f>IF(OR(D356="",D356="-"),"",VLOOKUP(D356,'Fatores de Emissão'!$D$117:$F$121,3,FALSE))</f>
        <v/>
      </c>
      <c r="K356" s="1024" t="str">
        <f>IF(OR(D356="",D356="-"),"",VLOOKUP(D356,'Fatores de Emissão'!$D$117:$E$121,2,FALSE))</f>
        <v/>
      </c>
      <c r="L356" s="1024" t="str">
        <f>IF(OR(D356="",D356="-"),"",VLOOKUP(D356,'Fatores de Emissão'!$D$117:$G$121,4,FALSE))</f>
        <v/>
      </c>
      <c r="M356" s="1024" t="str">
        <f>IF(OR(D356="",D356="-"),"",VLOOKUP(D356,'Fatores de Emissão'!$D$117:$I$121,6,FALSE))</f>
        <v/>
      </c>
      <c r="N356" s="544" t="str">
        <f t="shared" si="13"/>
        <v/>
      </c>
      <c r="O356" s="1024" t="str">
        <f t="shared" si="14"/>
        <v/>
      </c>
      <c r="P356" s="1024" t="str">
        <f t="shared" si="15"/>
        <v/>
      </c>
      <c r="Q356" s="543" t="str">
        <f>IF(B356="","",IF(D356="","",N356*'Fatores de Emissão'!$E$252+'Combustão Móvel'!O356*'Fatores de Emissão'!$E$248+'Combustão Móvel'!P356*'Fatores de Emissão'!$E$249))</f>
        <v/>
      </c>
    </row>
    <row r="357" spans="2:17" s="314" customFormat="1" hidden="1" outlineLevel="2" x14ac:dyDescent="0.35">
      <c r="B357" s="454"/>
      <c r="C357" s="194"/>
      <c r="D357" s="194"/>
      <c r="E357" s="342"/>
      <c r="F357" s="546"/>
      <c r="G357" s="342"/>
      <c r="H357" s="456"/>
      <c r="I357" s="456"/>
      <c r="J357" s="544" t="str">
        <f>IF(OR(D357="",D357="-"),"",VLOOKUP(D357,'Fatores de Emissão'!$D$117:$F$121,3,FALSE))</f>
        <v/>
      </c>
      <c r="K357" s="1024" t="str">
        <f>IF(OR(D357="",D357="-"),"",VLOOKUP(D357,'Fatores de Emissão'!$D$117:$E$121,2,FALSE))</f>
        <v/>
      </c>
      <c r="L357" s="1024" t="str">
        <f>IF(OR(D357="",D357="-"),"",VLOOKUP(D357,'Fatores de Emissão'!$D$117:$G$121,4,FALSE))</f>
        <v/>
      </c>
      <c r="M357" s="1024" t="str">
        <f>IF(OR(D357="",D357="-"),"",VLOOKUP(D357,'Fatores de Emissão'!$D$117:$I$121,6,FALSE))</f>
        <v/>
      </c>
      <c r="N357" s="544" t="str">
        <f t="shared" si="13"/>
        <v/>
      </c>
      <c r="O357" s="1024" t="str">
        <f t="shared" si="14"/>
        <v/>
      </c>
      <c r="P357" s="1024" t="str">
        <f t="shared" si="15"/>
        <v/>
      </c>
      <c r="Q357" s="543" t="str">
        <f>IF(B357="","",IF(D357="","",N357*'Fatores de Emissão'!$E$252+'Combustão Móvel'!O357*'Fatores de Emissão'!$E$248+'Combustão Móvel'!P357*'Fatores de Emissão'!$E$249))</f>
        <v/>
      </c>
    </row>
    <row r="358" spans="2:17" s="314" customFormat="1" hidden="1" outlineLevel="2" x14ac:dyDescent="0.35">
      <c r="B358" s="454"/>
      <c r="C358" s="194"/>
      <c r="D358" s="194"/>
      <c r="E358" s="342"/>
      <c r="F358" s="546"/>
      <c r="G358" s="342"/>
      <c r="H358" s="456"/>
      <c r="I358" s="456"/>
      <c r="J358" s="544" t="str">
        <f>IF(OR(D358="",D358="-"),"",VLOOKUP(D358,'Fatores de Emissão'!$D$117:$F$121,3,FALSE))</f>
        <v/>
      </c>
      <c r="K358" s="1024" t="str">
        <f>IF(OR(D358="",D358="-"),"",VLOOKUP(D358,'Fatores de Emissão'!$D$117:$E$121,2,FALSE))</f>
        <v/>
      </c>
      <c r="L358" s="1024" t="str">
        <f>IF(OR(D358="",D358="-"),"",VLOOKUP(D358,'Fatores de Emissão'!$D$117:$G$121,4,FALSE))</f>
        <v/>
      </c>
      <c r="M358" s="1024" t="str">
        <f>IF(OR(D358="",D358="-"),"",VLOOKUP(D358,'Fatores de Emissão'!$D$117:$I$121,6,FALSE))</f>
        <v/>
      </c>
      <c r="N358" s="544" t="str">
        <f t="shared" si="13"/>
        <v/>
      </c>
      <c r="O358" s="1024" t="str">
        <f t="shared" si="14"/>
        <v/>
      </c>
      <c r="P358" s="1024" t="str">
        <f t="shared" si="15"/>
        <v/>
      </c>
      <c r="Q358" s="543" t="str">
        <f>IF(B358="","",IF(D358="","",N358*'Fatores de Emissão'!$E$252+'Combustão Móvel'!O358*'Fatores de Emissão'!$E$248+'Combustão Móvel'!P358*'Fatores de Emissão'!$E$249))</f>
        <v/>
      </c>
    </row>
    <row r="359" spans="2:17" s="314" customFormat="1" hidden="1" outlineLevel="2" x14ac:dyDescent="0.35">
      <c r="B359" s="454"/>
      <c r="C359" s="194"/>
      <c r="D359" s="194"/>
      <c r="E359" s="342"/>
      <c r="F359" s="546"/>
      <c r="G359" s="342"/>
      <c r="H359" s="456"/>
      <c r="I359" s="456"/>
      <c r="J359" s="544" t="str">
        <f>IF(OR(D359="",D359="-"),"",VLOOKUP(D359,'Fatores de Emissão'!$D$117:$F$121,3,FALSE))</f>
        <v/>
      </c>
      <c r="K359" s="1024" t="str">
        <f>IF(OR(D359="",D359="-"),"",VLOOKUP(D359,'Fatores de Emissão'!$D$117:$E$121,2,FALSE))</f>
        <v/>
      </c>
      <c r="L359" s="1024" t="str">
        <f>IF(OR(D359="",D359="-"),"",VLOOKUP(D359,'Fatores de Emissão'!$D$117:$G$121,4,FALSE))</f>
        <v/>
      </c>
      <c r="M359" s="1024" t="str">
        <f>IF(OR(D359="",D359="-"),"",VLOOKUP(D359,'Fatores de Emissão'!$D$117:$I$121,6,FALSE))</f>
        <v/>
      </c>
      <c r="N359" s="544" t="str">
        <f t="shared" si="13"/>
        <v/>
      </c>
      <c r="O359" s="1024" t="str">
        <f t="shared" si="14"/>
        <v/>
      </c>
      <c r="P359" s="1024" t="str">
        <f t="shared" si="15"/>
        <v/>
      </c>
      <c r="Q359" s="543" t="str">
        <f>IF(B359="","",IF(D359="","",N359*'Fatores de Emissão'!$E$252+'Combustão Móvel'!O359*'Fatores de Emissão'!$E$248+'Combustão Móvel'!P359*'Fatores de Emissão'!$E$249))</f>
        <v/>
      </c>
    </row>
    <row r="360" spans="2:17" s="314" customFormat="1" hidden="1" outlineLevel="2" x14ac:dyDescent="0.35">
      <c r="B360" s="454"/>
      <c r="C360" s="194"/>
      <c r="D360" s="194"/>
      <c r="E360" s="342"/>
      <c r="F360" s="546"/>
      <c r="G360" s="342"/>
      <c r="H360" s="456"/>
      <c r="I360" s="456"/>
      <c r="J360" s="544" t="str">
        <f>IF(OR(D360="",D360="-"),"",VLOOKUP(D360,'Fatores de Emissão'!$D$117:$F$121,3,FALSE))</f>
        <v/>
      </c>
      <c r="K360" s="1024" t="str">
        <f>IF(OR(D360="",D360="-"),"",VLOOKUP(D360,'Fatores de Emissão'!$D$117:$E$121,2,FALSE))</f>
        <v/>
      </c>
      <c r="L360" s="1024" t="str">
        <f>IF(OR(D360="",D360="-"),"",VLOOKUP(D360,'Fatores de Emissão'!$D$117:$G$121,4,FALSE))</f>
        <v/>
      </c>
      <c r="M360" s="1024" t="str">
        <f>IF(OR(D360="",D360="-"),"",VLOOKUP(D360,'Fatores de Emissão'!$D$117:$I$121,6,FALSE))</f>
        <v/>
      </c>
      <c r="N360" s="544" t="str">
        <f t="shared" si="13"/>
        <v/>
      </c>
      <c r="O360" s="1024" t="str">
        <f t="shared" si="14"/>
        <v/>
      </c>
      <c r="P360" s="1024" t="str">
        <f t="shared" si="15"/>
        <v/>
      </c>
      <c r="Q360" s="543" t="str">
        <f>IF(B360="","",IF(D360="","",N360*'Fatores de Emissão'!$E$252+'Combustão Móvel'!O360*'Fatores de Emissão'!$E$248+'Combustão Móvel'!P360*'Fatores de Emissão'!$E$249))</f>
        <v/>
      </c>
    </row>
    <row r="361" spans="2:17" s="314" customFormat="1" hidden="1" outlineLevel="2" x14ac:dyDescent="0.35">
      <c r="B361" s="454"/>
      <c r="C361" s="194"/>
      <c r="D361" s="194"/>
      <c r="E361" s="342"/>
      <c r="F361" s="546"/>
      <c r="G361" s="342"/>
      <c r="H361" s="456"/>
      <c r="I361" s="456"/>
      <c r="J361" s="544" t="str">
        <f>IF(OR(D361="",D361="-"),"",VLOOKUP(D361,'Fatores de Emissão'!$D$117:$F$121,3,FALSE))</f>
        <v/>
      </c>
      <c r="K361" s="1024" t="str">
        <f>IF(OR(D361="",D361="-"),"",VLOOKUP(D361,'Fatores de Emissão'!$D$117:$E$121,2,FALSE))</f>
        <v/>
      </c>
      <c r="L361" s="1024" t="str">
        <f>IF(OR(D361="",D361="-"),"",VLOOKUP(D361,'Fatores de Emissão'!$D$117:$G$121,4,FALSE))</f>
        <v/>
      </c>
      <c r="M361" s="1024" t="str">
        <f>IF(OR(D361="",D361="-"),"",VLOOKUP(D361,'Fatores de Emissão'!$D$117:$I$121,6,FALSE))</f>
        <v/>
      </c>
      <c r="N361" s="544" t="str">
        <f t="shared" si="13"/>
        <v/>
      </c>
      <c r="O361" s="1024" t="str">
        <f t="shared" si="14"/>
        <v/>
      </c>
      <c r="P361" s="1024" t="str">
        <f t="shared" si="15"/>
        <v/>
      </c>
      <c r="Q361" s="543" t="str">
        <f>IF(B361="","",IF(D361="","",N361*'Fatores de Emissão'!$E$252+'Combustão Móvel'!O361*'Fatores de Emissão'!$E$248+'Combustão Móvel'!P361*'Fatores de Emissão'!$E$249))</f>
        <v/>
      </c>
    </row>
    <row r="362" spans="2:17" s="314" customFormat="1" hidden="1" outlineLevel="2" x14ac:dyDescent="0.35">
      <c r="B362" s="454"/>
      <c r="C362" s="194"/>
      <c r="D362" s="194"/>
      <c r="E362" s="342"/>
      <c r="F362" s="546"/>
      <c r="G362" s="342"/>
      <c r="H362" s="456"/>
      <c r="I362" s="456"/>
      <c r="J362" s="544" t="str">
        <f>IF(OR(D362="",D362="-"),"",VLOOKUP(D362,'Fatores de Emissão'!$D$117:$F$121,3,FALSE))</f>
        <v/>
      </c>
      <c r="K362" s="1024" t="str">
        <f>IF(OR(D362="",D362="-"),"",VLOOKUP(D362,'Fatores de Emissão'!$D$117:$E$121,2,FALSE))</f>
        <v/>
      </c>
      <c r="L362" s="1024" t="str">
        <f>IF(OR(D362="",D362="-"),"",VLOOKUP(D362,'Fatores de Emissão'!$D$117:$G$121,4,FALSE))</f>
        <v/>
      </c>
      <c r="M362" s="1024" t="str">
        <f>IF(OR(D362="",D362="-"),"",VLOOKUP(D362,'Fatores de Emissão'!$D$117:$I$121,6,FALSE))</f>
        <v/>
      </c>
      <c r="N362" s="544" t="str">
        <f t="shared" si="13"/>
        <v/>
      </c>
      <c r="O362" s="1024" t="str">
        <f t="shared" si="14"/>
        <v/>
      </c>
      <c r="P362" s="1024" t="str">
        <f t="shared" si="15"/>
        <v/>
      </c>
      <c r="Q362" s="543" t="str">
        <f>IF(B362="","",IF(D362="","",N362*'Fatores de Emissão'!$E$252+'Combustão Móvel'!O362*'Fatores de Emissão'!$E$248+'Combustão Móvel'!P362*'Fatores de Emissão'!$E$249))</f>
        <v/>
      </c>
    </row>
    <row r="363" spans="2:17" s="314" customFormat="1" hidden="1" outlineLevel="2" x14ac:dyDescent="0.35">
      <c r="B363" s="454"/>
      <c r="C363" s="194"/>
      <c r="D363" s="194"/>
      <c r="E363" s="342"/>
      <c r="F363" s="546"/>
      <c r="G363" s="342"/>
      <c r="H363" s="456"/>
      <c r="I363" s="456"/>
      <c r="J363" s="544" t="str">
        <f>IF(OR(D363="",D363="-"),"",VLOOKUP(D363,'Fatores de Emissão'!$D$117:$F$121,3,FALSE))</f>
        <v/>
      </c>
      <c r="K363" s="1024" t="str">
        <f>IF(OR(D363="",D363="-"),"",VLOOKUP(D363,'Fatores de Emissão'!$D$117:$E$121,2,FALSE))</f>
        <v/>
      </c>
      <c r="L363" s="1024" t="str">
        <f>IF(OR(D363="",D363="-"),"",VLOOKUP(D363,'Fatores de Emissão'!$D$117:$G$121,4,FALSE))</f>
        <v/>
      </c>
      <c r="M363" s="1024" t="str">
        <f>IF(OR(D363="",D363="-"),"",VLOOKUP(D363,'Fatores de Emissão'!$D$117:$I$121,6,FALSE))</f>
        <v/>
      </c>
      <c r="N363" s="544" t="str">
        <f t="shared" si="13"/>
        <v/>
      </c>
      <c r="O363" s="1024" t="str">
        <f t="shared" si="14"/>
        <v/>
      </c>
      <c r="P363" s="1024" t="str">
        <f t="shared" si="15"/>
        <v/>
      </c>
      <c r="Q363" s="543" t="str">
        <f>IF(B363="","",IF(D363="","",N363*'Fatores de Emissão'!$E$252+'Combustão Móvel'!O363*'Fatores de Emissão'!$E$248+'Combustão Móvel'!P363*'Fatores de Emissão'!$E$249))</f>
        <v/>
      </c>
    </row>
    <row r="364" spans="2:17" s="314" customFormat="1" hidden="1" outlineLevel="2" x14ac:dyDescent="0.35">
      <c r="B364" s="454"/>
      <c r="C364" s="194"/>
      <c r="D364" s="194"/>
      <c r="E364" s="342"/>
      <c r="F364" s="546"/>
      <c r="G364" s="342"/>
      <c r="H364" s="456"/>
      <c r="I364" s="456"/>
      <c r="J364" s="544" t="str">
        <f>IF(OR(D364="",D364="-"),"",VLOOKUP(D364,'Fatores de Emissão'!$D$117:$F$121,3,FALSE))</f>
        <v/>
      </c>
      <c r="K364" s="1024" t="str">
        <f>IF(OR(D364="",D364="-"),"",VLOOKUP(D364,'Fatores de Emissão'!$D$117:$E$121,2,FALSE))</f>
        <v/>
      </c>
      <c r="L364" s="1024" t="str">
        <f>IF(OR(D364="",D364="-"),"",VLOOKUP(D364,'Fatores de Emissão'!$D$117:$G$121,4,FALSE))</f>
        <v/>
      </c>
      <c r="M364" s="1024" t="str">
        <f>IF(OR(D364="",D364="-"),"",VLOOKUP(D364,'Fatores de Emissão'!$D$117:$I$121,6,FALSE))</f>
        <v/>
      </c>
      <c r="N364" s="544" t="str">
        <f t="shared" si="13"/>
        <v/>
      </c>
      <c r="O364" s="1024" t="str">
        <f t="shared" si="14"/>
        <v/>
      </c>
      <c r="P364" s="1024" t="str">
        <f t="shared" si="15"/>
        <v/>
      </c>
      <c r="Q364" s="543" t="str">
        <f>IF(B364="","",IF(D364="","",N364*'Fatores de Emissão'!$E$252+'Combustão Móvel'!O364*'Fatores de Emissão'!$E$248+'Combustão Móvel'!P364*'Fatores de Emissão'!$E$249))</f>
        <v/>
      </c>
    </row>
    <row r="365" spans="2:17" s="314" customFormat="1" hidden="1" outlineLevel="2" x14ac:dyDescent="0.35">
      <c r="B365" s="454"/>
      <c r="C365" s="194"/>
      <c r="D365" s="194"/>
      <c r="E365" s="342"/>
      <c r="F365" s="546"/>
      <c r="G365" s="342"/>
      <c r="H365" s="456"/>
      <c r="I365" s="456"/>
      <c r="J365" s="544" t="str">
        <f>IF(OR(D365="",D365="-"),"",VLOOKUP(D365,'Fatores de Emissão'!$D$117:$F$121,3,FALSE))</f>
        <v/>
      </c>
      <c r="K365" s="1024" t="str">
        <f>IF(OR(D365="",D365="-"),"",VLOOKUP(D365,'Fatores de Emissão'!$D$117:$E$121,2,FALSE))</f>
        <v/>
      </c>
      <c r="L365" s="1024" t="str">
        <f>IF(OR(D365="",D365="-"),"",VLOOKUP(D365,'Fatores de Emissão'!$D$117:$G$121,4,FALSE))</f>
        <v/>
      </c>
      <c r="M365" s="1024" t="str">
        <f>IF(OR(D365="",D365="-"),"",VLOOKUP(D365,'Fatores de Emissão'!$D$117:$I$121,6,FALSE))</f>
        <v/>
      </c>
      <c r="N365" s="544" t="str">
        <f t="shared" si="13"/>
        <v/>
      </c>
      <c r="O365" s="1024" t="str">
        <f t="shared" si="14"/>
        <v/>
      </c>
      <c r="P365" s="1024" t="str">
        <f t="shared" si="15"/>
        <v/>
      </c>
      <c r="Q365" s="543" t="str">
        <f>IF(B365="","",IF(D365="","",N365*'Fatores de Emissão'!$E$252+'Combustão Móvel'!O365*'Fatores de Emissão'!$E$248+'Combustão Móvel'!P365*'Fatores de Emissão'!$E$249))</f>
        <v/>
      </c>
    </row>
    <row r="366" spans="2:17" s="314" customFormat="1" hidden="1" outlineLevel="2" x14ac:dyDescent="0.35">
      <c r="B366" s="454"/>
      <c r="C366" s="194"/>
      <c r="D366" s="194"/>
      <c r="E366" s="342"/>
      <c r="F366" s="546"/>
      <c r="G366" s="342"/>
      <c r="H366" s="456"/>
      <c r="I366" s="456"/>
      <c r="J366" s="544" t="str">
        <f>IF(OR(D366="",D366="-"),"",VLOOKUP(D366,'Fatores de Emissão'!$D$117:$F$121,3,FALSE))</f>
        <v/>
      </c>
      <c r="K366" s="1024" t="str">
        <f>IF(OR(D366="",D366="-"),"",VLOOKUP(D366,'Fatores de Emissão'!$D$117:$E$121,2,FALSE))</f>
        <v/>
      </c>
      <c r="L366" s="1024" t="str">
        <f>IF(OR(D366="",D366="-"),"",VLOOKUP(D366,'Fatores de Emissão'!$D$117:$G$121,4,FALSE))</f>
        <v/>
      </c>
      <c r="M366" s="1024" t="str">
        <f>IF(OR(D366="",D366="-"),"",VLOOKUP(D366,'Fatores de Emissão'!$D$117:$I$121,6,FALSE))</f>
        <v/>
      </c>
      <c r="N366" s="544" t="str">
        <f t="shared" si="13"/>
        <v/>
      </c>
      <c r="O366" s="1024" t="str">
        <f t="shared" si="14"/>
        <v/>
      </c>
      <c r="P366" s="1024" t="str">
        <f t="shared" si="15"/>
        <v/>
      </c>
      <c r="Q366" s="543" t="str">
        <f>IF(B366="","",IF(D366="","",N366*'Fatores de Emissão'!$E$252+'Combustão Móvel'!O366*'Fatores de Emissão'!$E$248+'Combustão Móvel'!P366*'Fatores de Emissão'!$E$249))</f>
        <v/>
      </c>
    </row>
    <row r="367" spans="2:17" s="314" customFormat="1" hidden="1" outlineLevel="2" x14ac:dyDescent="0.35">
      <c r="B367" s="454"/>
      <c r="C367" s="194"/>
      <c r="D367" s="194"/>
      <c r="E367" s="342"/>
      <c r="F367" s="546"/>
      <c r="G367" s="342"/>
      <c r="H367" s="456"/>
      <c r="I367" s="456"/>
      <c r="J367" s="544" t="str">
        <f>IF(OR(D367="",D367="-"),"",VLOOKUP(D367,'Fatores de Emissão'!$D$117:$F$121,3,FALSE))</f>
        <v/>
      </c>
      <c r="K367" s="1024" t="str">
        <f>IF(OR(D367="",D367="-"),"",VLOOKUP(D367,'Fatores de Emissão'!$D$117:$E$121,2,FALSE))</f>
        <v/>
      </c>
      <c r="L367" s="1024" t="str">
        <f>IF(OR(D367="",D367="-"),"",VLOOKUP(D367,'Fatores de Emissão'!$D$117:$G$121,4,FALSE))</f>
        <v/>
      </c>
      <c r="M367" s="1024" t="str">
        <f>IF(OR(D367="",D367="-"),"",VLOOKUP(D367,'Fatores de Emissão'!$D$117:$I$121,6,FALSE))</f>
        <v/>
      </c>
      <c r="N367" s="544" t="str">
        <f t="shared" si="13"/>
        <v/>
      </c>
      <c r="O367" s="1024" t="str">
        <f t="shared" si="14"/>
        <v/>
      </c>
      <c r="P367" s="1024" t="str">
        <f t="shared" si="15"/>
        <v/>
      </c>
      <c r="Q367" s="543" t="str">
        <f>IF(B367="","",IF(D367="","",N367*'Fatores de Emissão'!$E$252+'Combustão Móvel'!O367*'Fatores de Emissão'!$E$248+'Combustão Móvel'!P367*'Fatores de Emissão'!$E$249))</f>
        <v/>
      </c>
    </row>
    <row r="368" spans="2:17" s="314" customFormat="1" hidden="1" outlineLevel="2" x14ac:dyDescent="0.35">
      <c r="B368" s="454"/>
      <c r="C368" s="194"/>
      <c r="D368" s="194"/>
      <c r="E368" s="342"/>
      <c r="F368" s="546"/>
      <c r="G368" s="342"/>
      <c r="H368" s="456"/>
      <c r="I368" s="456"/>
      <c r="J368" s="544" t="str">
        <f>IF(OR(D368="",D368="-"),"",VLOOKUP(D368,'Fatores de Emissão'!$D$117:$F$121,3,FALSE))</f>
        <v/>
      </c>
      <c r="K368" s="1024" t="str">
        <f>IF(OR(D368="",D368="-"),"",VLOOKUP(D368,'Fatores de Emissão'!$D$117:$E$121,2,FALSE))</f>
        <v/>
      </c>
      <c r="L368" s="1024" t="str">
        <f>IF(OR(D368="",D368="-"),"",VLOOKUP(D368,'Fatores de Emissão'!$D$117:$G$121,4,FALSE))</f>
        <v/>
      </c>
      <c r="M368" s="1024" t="str">
        <f>IF(OR(D368="",D368="-"),"",VLOOKUP(D368,'Fatores de Emissão'!$D$117:$I$121,6,FALSE))</f>
        <v/>
      </c>
      <c r="N368" s="544" t="str">
        <f t="shared" si="13"/>
        <v/>
      </c>
      <c r="O368" s="1024" t="str">
        <f t="shared" si="14"/>
        <v/>
      </c>
      <c r="P368" s="1024" t="str">
        <f t="shared" si="15"/>
        <v/>
      </c>
      <c r="Q368" s="543" t="str">
        <f>IF(B368="","",IF(D368="","",N368*'Fatores de Emissão'!$E$252+'Combustão Móvel'!O368*'Fatores de Emissão'!$E$248+'Combustão Móvel'!P368*'Fatores de Emissão'!$E$249))</f>
        <v/>
      </c>
    </row>
    <row r="369" spans="2:17" s="314" customFormat="1" hidden="1" outlineLevel="2" x14ac:dyDescent="0.35">
      <c r="B369" s="454"/>
      <c r="C369" s="194"/>
      <c r="D369" s="194"/>
      <c r="E369" s="342"/>
      <c r="F369" s="546"/>
      <c r="G369" s="342"/>
      <c r="H369" s="456"/>
      <c r="I369" s="456"/>
      <c r="J369" s="544" t="str">
        <f>IF(OR(D369="",D369="-"),"",VLOOKUP(D369,'Fatores de Emissão'!$D$117:$F$121,3,FALSE))</f>
        <v/>
      </c>
      <c r="K369" s="1024" t="str">
        <f>IF(OR(D369="",D369="-"),"",VLOOKUP(D369,'Fatores de Emissão'!$D$117:$E$121,2,FALSE))</f>
        <v/>
      </c>
      <c r="L369" s="1024" t="str">
        <f>IF(OR(D369="",D369="-"),"",VLOOKUP(D369,'Fatores de Emissão'!$D$117:$G$121,4,FALSE))</f>
        <v/>
      </c>
      <c r="M369" s="1024" t="str">
        <f>IF(OR(D369="",D369="-"),"",VLOOKUP(D369,'Fatores de Emissão'!$D$117:$I$121,6,FALSE))</f>
        <v/>
      </c>
      <c r="N369" s="544" t="str">
        <f t="shared" si="13"/>
        <v/>
      </c>
      <c r="O369" s="1024" t="str">
        <f t="shared" si="14"/>
        <v/>
      </c>
      <c r="P369" s="1024" t="str">
        <f t="shared" si="15"/>
        <v/>
      </c>
      <c r="Q369" s="543" t="str">
        <f>IF(B369="","",IF(D369="","",N369*'Fatores de Emissão'!$E$252+'Combustão Móvel'!O369*'Fatores de Emissão'!$E$248+'Combustão Móvel'!P369*'Fatores de Emissão'!$E$249))</f>
        <v/>
      </c>
    </row>
    <row r="370" spans="2:17" s="314" customFormat="1" hidden="1" outlineLevel="2" x14ac:dyDescent="0.35">
      <c r="B370" s="454"/>
      <c r="C370" s="194"/>
      <c r="D370" s="194"/>
      <c r="E370" s="342"/>
      <c r="F370" s="546"/>
      <c r="G370" s="342"/>
      <c r="H370" s="456"/>
      <c r="I370" s="456"/>
      <c r="J370" s="544" t="str">
        <f>IF(OR(D370="",D370="-"),"",VLOOKUP(D370,'Fatores de Emissão'!$D$117:$F$121,3,FALSE))</f>
        <v/>
      </c>
      <c r="K370" s="1024" t="str">
        <f>IF(OR(D370="",D370="-"),"",VLOOKUP(D370,'Fatores de Emissão'!$D$117:$E$121,2,FALSE))</f>
        <v/>
      </c>
      <c r="L370" s="1024" t="str">
        <f>IF(OR(D370="",D370="-"),"",VLOOKUP(D370,'Fatores de Emissão'!$D$117:$G$121,4,FALSE))</f>
        <v/>
      </c>
      <c r="M370" s="1024" t="str">
        <f>IF(OR(D370="",D370="-"),"",VLOOKUP(D370,'Fatores de Emissão'!$D$117:$I$121,6,FALSE))</f>
        <v/>
      </c>
      <c r="N370" s="544" t="str">
        <f t="shared" si="13"/>
        <v/>
      </c>
      <c r="O370" s="1024" t="str">
        <f t="shared" si="14"/>
        <v/>
      </c>
      <c r="P370" s="1024" t="str">
        <f t="shared" si="15"/>
        <v/>
      </c>
      <c r="Q370" s="543" t="str">
        <f>IF(B370="","",IF(D370="","",N370*'Fatores de Emissão'!$E$252+'Combustão Móvel'!O370*'Fatores de Emissão'!$E$248+'Combustão Móvel'!P370*'Fatores de Emissão'!$E$249))</f>
        <v/>
      </c>
    </row>
    <row r="371" spans="2:17" s="314" customFormat="1" hidden="1" outlineLevel="2" x14ac:dyDescent="0.35">
      <c r="B371" s="454"/>
      <c r="C371" s="194"/>
      <c r="D371" s="194"/>
      <c r="E371" s="342"/>
      <c r="F371" s="546"/>
      <c r="G371" s="342"/>
      <c r="H371" s="456"/>
      <c r="I371" s="456"/>
      <c r="J371" s="544" t="str">
        <f>IF(OR(D371="",D371="-"),"",VLOOKUP(D371,'Fatores de Emissão'!$D$117:$F$121,3,FALSE))</f>
        <v/>
      </c>
      <c r="K371" s="1024" t="str">
        <f>IF(OR(D371="",D371="-"),"",VLOOKUP(D371,'Fatores de Emissão'!$D$117:$E$121,2,FALSE))</f>
        <v/>
      </c>
      <c r="L371" s="1024" t="str">
        <f>IF(OR(D371="",D371="-"),"",VLOOKUP(D371,'Fatores de Emissão'!$D$117:$G$121,4,FALSE))</f>
        <v/>
      </c>
      <c r="M371" s="1024" t="str">
        <f>IF(OR(D371="",D371="-"),"",VLOOKUP(D371,'Fatores de Emissão'!$D$117:$I$121,6,FALSE))</f>
        <v/>
      </c>
      <c r="N371" s="544" t="str">
        <f t="shared" si="13"/>
        <v/>
      </c>
      <c r="O371" s="1024" t="str">
        <f t="shared" si="14"/>
        <v/>
      </c>
      <c r="P371" s="1024" t="str">
        <f t="shared" si="15"/>
        <v/>
      </c>
      <c r="Q371" s="543" t="str">
        <f>IF(B371="","",IF(D371="","",N371*'Fatores de Emissão'!$E$252+'Combustão Móvel'!O371*'Fatores de Emissão'!$E$248+'Combustão Móvel'!P371*'Fatores de Emissão'!$E$249))</f>
        <v/>
      </c>
    </row>
    <row r="372" spans="2:17" s="314" customFormat="1" hidden="1" outlineLevel="2" x14ac:dyDescent="0.35">
      <c r="B372" s="454"/>
      <c r="C372" s="194"/>
      <c r="D372" s="194"/>
      <c r="E372" s="342"/>
      <c r="F372" s="546"/>
      <c r="G372" s="342"/>
      <c r="H372" s="456"/>
      <c r="I372" s="456"/>
      <c r="J372" s="544" t="str">
        <f>IF(OR(D372="",D372="-"),"",VLOOKUP(D372,'Fatores de Emissão'!$D$117:$F$121,3,FALSE))</f>
        <v/>
      </c>
      <c r="K372" s="1024" t="str">
        <f>IF(OR(D372="",D372="-"),"",VLOOKUP(D372,'Fatores de Emissão'!$D$117:$E$121,2,FALSE))</f>
        <v/>
      </c>
      <c r="L372" s="1024" t="str">
        <f>IF(OR(D372="",D372="-"),"",VLOOKUP(D372,'Fatores de Emissão'!$D$117:$G$121,4,FALSE))</f>
        <v/>
      </c>
      <c r="M372" s="1024" t="str">
        <f>IF(OR(D372="",D372="-"),"",VLOOKUP(D372,'Fatores de Emissão'!$D$117:$I$121,6,FALSE))</f>
        <v/>
      </c>
      <c r="N372" s="544" t="str">
        <f t="shared" si="13"/>
        <v/>
      </c>
      <c r="O372" s="1024" t="str">
        <f t="shared" si="14"/>
        <v/>
      </c>
      <c r="P372" s="1024" t="str">
        <f t="shared" si="15"/>
        <v/>
      </c>
      <c r="Q372" s="543" t="str">
        <f>IF(B372="","",IF(D372="","",N372*'Fatores de Emissão'!$E$252+'Combustão Móvel'!O372*'Fatores de Emissão'!$E$248+'Combustão Móvel'!P372*'Fatores de Emissão'!$E$249))</f>
        <v/>
      </c>
    </row>
    <row r="373" spans="2:17" s="314" customFormat="1" hidden="1" outlineLevel="2" x14ac:dyDescent="0.35">
      <c r="B373" s="454"/>
      <c r="C373" s="194"/>
      <c r="D373" s="194"/>
      <c r="E373" s="342"/>
      <c r="F373" s="546"/>
      <c r="G373" s="342"/>
      <c r="H373" s="456"/>
      <c r="I373" s="456"/>
      <c r="J373" s="544" t="str">
        <f>IF(OR(D373="",D373="-"),"",VLOOKUP(D373,'Fatores de Emissão'!$D$117:$F$121,3,FALSE))</f>
        <v/>
      </c>
      <c r="K373" s="1024" t="str">
        <f>IF(OR(D373="",D373="-"),"",VLOOKUP(D373,'Fatores de Emissão'!$D$117:$E$121,2,FALSE))</f>
        <v/>
      </c>
      <c r="L373" s="1024" t="str">
        <f>IF(OR(D373="",D373="-"),"",VLOOKUP(D373,'Fatores de Emissão'!$D$117:$G$121,4,FALSE))</f>
        <v/>
      </c>
      <c r="M373" s="1024" t="str">
        <f>IF(OR(D373="",D373="-"),"",VLOOKUP(D373,'Fatores de Emissão'!$D$117:$I$121,6,FALSE))</f>
        <v/>
      </c>
      <c r="N373" s="544" t="str">
        <f t="shared" si="13"/>
        <v/>
      </c>
      <c r="O373" s="1024" t="str">
        <f t="shared" si="14"/>
        <v/>
      </c>
      <c r="P373" s="1024" t="str">
        <f t="shared" si="15"/>
        <v/>
      </c>
      <c r="Q373" s="543" t="str">
        <f>IF(B373="","",IF(D373="","",N373*'Fatores de Emissão'!$E$252+'Combustão Móvel'!O373*'Fatores de Emissão'!$E$248+'Combustão Móvel'!P373*'Fatores de Emissão'!$E$249))</f>
        <v/>
      </c>
    </row>
    <row r="374" spans="2:17" s="314" customFormat="1" hidden="1" outlineLevel="2" x14ac:dyDescent="0.35">
      <c r="B374" s="454"/>
      <c r="C374" s="194"/>
      <c r="D374" s="194"/>
      <c r="E374" s="342"/>
      <c r="F374" s="546"/>
      <c r="G374" s="342"/>
      <c r="H374" s="456"/>
      <c r="I374" s="456"/>
      <c r="J374" s="544" t="str">
        <f>IF(OR(D374="",D374="-"),"",VLOOKUP(D374,'Fatores de Emissão'!$D$117:$F$121,3,FALSE))</f>
        <v/>
      </c>
      <c r="K374" s="1024" t="str">
        <f>IF(OR(D374="",D374="-"),"",VLOOKUP(D374,'Fatores de Emissão'!$D$117:$E$121,2,FALSE))</f>
        <v/>
      </c>
      <c r="L374" s="1024" t="str">
        <f>IF(OR(D374="",D374="-"),"",VLOOKUP(D374,'Fatores de Emissão'!$D$117:$G$121,4,FALSE))</f>
        <v/>
      </c>
      <c r="M374" s="1024" t="str">
        <f>IF(OR(D374="",D374="-"),"",VLOOKUP(D374,'Fatores de Emissão'!$D$117:$I$121,6,FALSE))</f>
        <v/>
      </c>
      <c r="N374" s="544" t="str">
        <f t="shared" si="13"/>
        <v/>
      </c>
      <c r="O374" s="1024" t="str">
        <f t="shared" si="14"/>
        <v/>
      </c>
      <c r="P374" s="1024" t="str">
        <f t="shared" si="15"/>
        <v/>
      </c>
      <c r="Q374" s="543" t="str">
        <f>IF(B374="","",IF(D374="","",N374*'Fatores de Emissão'!$E$252+'Combustão Móvel'!O374*'Fatores de Emissão'!$E$248+'Combustão Móvel'!P374*'Fatores de Emissão'!$E$249))</f>
        <v/>
      </c>
    </row>
    <row r="375" spans="2:17" s="314" customFormat="1" hidden="1" outlineLevel="2" x14ac:dyDescent="0.35">
      <c r="B375" s="454"/>
      <c r="C375" s="194"/>
      <c r="D375" s="194"/>
      <c r="E375" s="342"/>
      <c r="F375" s="546"/>
      <c r="G375" s="342"/>
      <c r="H375" s="456"/>
      <c r="I375" s="456"/>
      <c r="J375" s="544" t="str">
        <f>IF(OR(D375="",D375="-"),"",VLOOKUP(D375,'Fatores de Emissão'!$D$117:$F$121,3,FALSE))</f>
        <v/>
      </c>
      <c r="K375" s="1024" t="str">
        <f>IF(OR(D375="",D375="-"),"",VLOOKUP(D375,'Fatores de Emissão'!$D$117:$E$121,2,FALSE))</f>
        <v/>
      </c>
      <c r="L375" s="1024" t="str">
        <f>IF(OR(D375="",D375="-"),"",VLOOKUP(D375,'Fatores de Emissão'!$D$117:$G$121,4,FALSE))</f>
        <v/>
      </c>
      <c r="M375" s="1024" t="str">
        <f>IF(OR(D375="",D375="-"),"",VLOOKUP(D375,'Fatores de Emissão'!$D$117:$I$121,6,FALSE))</f>
        <v/>
      </c>
      <c r="N375" s="544" t="str">
        <f t="shared" si="13"/>
        <v/>
      </c>
      <c r="O375" s="1024" t="str">
        <f t="shared" si="14"/>
        <v/>
      </c>
      <c r="P375" s="1024" t="str">
        <f t="shared" si="15"/>
        <v/>
      </c>
      <c r="Q375" s="543" t="str">
        <f>IF(B375="","",IF(D375="","",N375*'Fatores de Emissão'!$E$252+'Combustão Móvel'!O375*'Fatores de Emissão'!$E$248+'Combustão Móvel'!P375*'Fatores de Emissão'!$E$249))</f>
        <v/>
      </c>
    </row>
    <row r="376" spans="2:17" s="314" customFormat="1" hidden="1" outlineLevel="2" x14ac:dyDescent="0.35">
      <c r="B376" s="454"/>
      <c r="C376" s="194"/>
      <c r="D376" s="194"/>
      <c r="E376" s="342"/>
      <c r="F376" s="546"/>
      <c r="G376" s="342"/>
      <c r="H376" s="456"/>
      <c r="I376" s="456"/>
      <c r="J376" s="544" t="str">
        <f>IF(OR(D376="",D376="-"),"",VLOOKUP(D376,'Fatores de Emissão'!$D$117:$F$121,3,FALSE))</f>
        <v/>
      </c>
      <c r="K376" s="1024" t="str">
        <f>IF(OR(D376="",D376="-"),"",VLOOKUP(D376,'Fatores de Emissão'!$D$117:$E$121,2,FALSE))</f>
        <v/>
      </c>
      <c r="L376" s="1024" t="str">
        <f>IF(OR(D376="",D376="-"),"",VLOOKUP(D376,'Fatores de Emissão'!$D$117:$G$121,4,FALSE))</f>
        <v/>
      </c>
      <c r="M376" s="1024" t="str">
        <f>IF(OR(D376="",D376="-"),"",VLOOKUP(D376,'Fatores de Emissão'!$D$117:$I$121,6,FALSE))</f>
        <v/>
      </c>
      <c r="N376" s="544" t="str">
        <f t="shared" si="13"/>
        <v/>
      </c>
      <c r="O376" s="1024" t="str">
        <f t="shared" si="14"/>
        <v/>
      </c>
      <c r="P376" s="1024" t="str">
        <f t="shared" si="15"/>
        <v/>
      </c>
      <c r="Q376" s="543" t="str">
        <f>IF(B376="","",IF(D376="","",N376*'Fatores de Emissão'!$E$252+'Combustão Móvel'!O376*'Fatores de Emissão'!$E$248+'Combustão Móvel'!P376*'Fatores de Emissão'!$E$249))</f>
        <v/>
      </c>
    </row>
    <row r="377" spans="2:17" s="314" customFormat="1" hidden="1" outlineLevel="2" x14ac:dyDescent="0.35">
      <c r="B377" s="454"/>
      <c r="C377" s="194"/>
      <c r="D377" s="194"/>
      <c r="E377" s="342"/>
      <c r="F377" s="546"/>
      <c r="G377" s="342"/>
      <c r="H377" s="456"/>
      <c r="I377" s="456"/>
      <c r="J377" s="544" t="str">
        <f>IF(OR(D377="",D377="-"),"",VLOOKUP(D377,'Fatores de Emissão'!$D$117:$F$121,3,FALSE))</f>
        <v/>
      </c>
      <c r="K377" s="1024" t="str">
        <f>IF(OR(D377="",D377="-"),"",VLOOKUP(D377,'Fatores de Emissão'!$D$117:$E$121,2,FALSE))</f>
        <v/>
      </c>
      <c r="L377" s="1024" t="str">
        <f>IF(OR(D377="",D377="-"),"",VLOOKUP(D377,'Fatores de Emissão'!$D$117:$G$121,4,FALSE))</f>
        <v/>
      </c>
      <c r="M377" s="1024" t="str">
        <f>IF(OR(D377="",D377="-"),"",VLOOKUP(D377,'Fatores de Emissão'!$D$117:$I$121,6,FALSE))</f>
        <v/>
      </c>
      <c r="N377" s="544" t="str">
        <f t="shared" si="13"/>
        <v/>
      </c>
      <c r="O377" s="1024" t="str">
        <f t="shared" si="14"/>
        <v/>
      </c>
      <c r="P377" s="1024" t="str">
        <f t="shared" si="15"/>
        <v/>
      </c>
      <c r="Q377" s="543" t="str">
        <f>IF(B377="","",IF(D377="","",N377*'Fatores de Emissão'!$E$252+'Combustão Móvel'!O377*'Fatores de Emissão'!$E$248+'Combustão Móvel'!P377*'Fatores de Emissão'!$E$249))</f>
        <v/>
      </c>
    </row>
    <row r="378" spans="2:17" s="314" customFormat="1" hidden="1" outlineLevel="2" x14ac:dyDescent="0.35">
      <c r="B378" s="454"/>
      <c r="C378" s="194"/>
      <c r="D378" s="194"/>
      <c r="E378" s="342"/>
      <c r="F378" s="546"/>
      <c r="G378" s="342"/>
      <c r="H378" s="456"/>
      <c r="I378" s="456"/>
      <c r="J378" s="544" t="str">
        <f>IF(OR(D378="",D378="-"),"",VLOOKUP(D378,'Fatores de Emissão'!$D$117:$F$121,3,FALSE))</f>
        <v/>
      </c>
      <c r="K378" s="1024" t="str">
        <f>IF(OR(D378="",D378="-"),"",VLOOKUP(D378,'Fatores de Emissão'!$D$117:$E$121,2,FALSE))</f>
        <v/>
      </c>
      <c r="L378" s="1024" t="str">
        <f>IF(OR(D378="",D378="-"),"",VLOOKUP(D378,'Fatores de Emissão'!$D$117:$G$121,4,FALSE))</f>
        <v/>
      </c>
      <c r="M378" s="1024" t="str">
        <f>IF(OR(D378="",D378="-"),"",VLOOKUP(D378,'Fatores de Emissão'!$D$117:$I$121,6,FALSE))</f>
        <v/>
      </c>
      <c r="N378" s="544" t="str">
        <f t="shared" si="13"/>
        <v/>
      </c>
      <c r="O378" s="1024" t="str">
        <f t="shared" si="14"/>
        <v/>
      </c>
      <c r="P378" s="1024" t="str">
        <f t="shared" si="15"/>
        <v/>
      </c>
      <c r="Q378" s="543" t="str">
        <f>IF(B378="","",IF(D378="","",N378*'Fatores de Emissão'!$E$252+'Combustão Móvel'!O378*'Fatores de Emissão'!$E$248+'Combustão Móvel'!P378*'Fatores de Emissão'!$E$249))</f>
        <v/>
      </c>
    </row>
    <row r="379" spans="2:17" s="314" customFormat="1" hidden="1" outlineLevel="2" x14ac:dyDescent="0.35">
      <c r="B379" s="454"/>
      <c r="C379" s="194"/>
      <c r="D379" s="194"/>
      <c r="E379" s="342"/>
      <c r="F379" s="546"/>
      <c r="G379" s="342"/>
      <c r="H379" s="456"/>
      <c r="I379" s="456"/>
      <c r="J379" s="544" t="str">
        <f>IF(OR(D379="",D379="-"),"",VLOOKUP(D379,'Fatores de Emissão'!$D$117:$F$121,3,FALSE))</f>
        <v/>
      </c>
      <c r="K379" s="1024" t="str">
        <f>IF(OR(D379="",D379="-"),"",VLOOKUP(D379,'Fatores de Emissão'!$D$117:$E$121,2,FALSE))</f>
        <v/>
      </c>
      <c r="L379" s="1024" t="str">
        <f>IF(OR(D379="",D379="-"),"",VLOOKUP(D379,'Fatores de Emissão'!$D$117:$G$121,4,FALSE))</f>
        <v/>
      </c>
      <c r="M379" s="1024" t="str">
        <f>IF(OR(D379="",D379="-"),"",VLOOKUP(D379,'Fatores de Emissão'!$D$117:$I$121,6,FALSE))</f>
        <v/>
      </c>
      <c r="N379" s="544" t="str">
        <f t="shared" si="13"/>
        <v/>
      </c>
      <c r="O379" s="1024" t="str">
        <f t="shared" si="14"/>
        <v/>
      </c>
      <c r="P379" s="1024" t="str">
        <f t="shared" si="15"/>
        <v/>
      </c>
      <c r="Q379" s="543" t="str">
        <f>IF(B379="","",IF(D379="","",N379*'Fatores de Emissão'!$E$252+'Combustão Móvel'!O379*'Fatores de Emissão'!$E$248+'Combustão Móvel'!P379*'Fatores de Emissão'!$E$249))</f>
        <v/>
      </c>
    </row>
    <row r="380" spans="2:17" s="314" customFormat="1" hidden="1" outlineLevel="2" x14ac:dyDescent="0.35">
      <c r="B380" s="454"/>
      <c r="C380" s="194"/>
      <c r="D380" s="194"/>
      <c r="E380" s="342"/>
      <c r="F380" s="546"/>
      <c r="G380" s="342"/>
      <c r="H380" s="456"/>
      <c r="I380" s="456"/>
      <c r="J380" s="544" t="str">
        <f>IF(OR(D380="",D380="-"),"",VLOOKUP(D380,'Fatores de Emissão'!$D$117:$F$121,3,FALSE))</f>
        <v/>
      </c>
      <c r="K380" s="1024" t="str">
        <f>IF(OR(D380="",D380="-"),"",VLOOKUP(D380,'Fatores de Emissão'!$D$117:$E$121,2,FALSE))</f>
        <v/>
      </c>
      <c r="L380" s="1024" t="str">
        <f>IF(OR(D380="",D380="-"),"",VLOOKUP(D380,'Fatores de Emissão'!$D$117:$G$121,4,FALSE))</f>
        <v/>
      </c>
      <c r="M380" s="1024" t="str">
        <f>IF(OR(D380="",D380="-"),"",VLOOKUP(D380,'Fatores de Emissão'!$D$117:$I$121,6,FALSE))</f>
        <v/>
      </c>
      <c r="N380" s="544" t="str">
        <f t="shared" si="13"/>
        <v/>
      </c>
      <c r="O380" s="1024" t="str">
        <f t="shared" si="14"/>
        <v/>
      </c>
      <c r="P380" s="1024" t="str">
        <f t="shared" si="15"/>
        <v/>
      </c>
      <c r="Q380" s="543" t="str">
        <f>IF(B380="","",IF(D380="","",N380*'Fatores de Emissão'!$E$252+'Combustão Móvel'!O380*'Fatores de Emissão'!$E$248+'Combustão Móvel'!P380*'Fatores de Emissão'!$E$249))</f>
        <v/>
      </c>
    </row>
    <row r="381" spans="2:17" s="314" customFormat="1" hidden="1" outlineLevel="2" x14ac:dyDescent="0.35">
      <c r="B381" s="454"/>
      <c r="C381" s="194"/>
      <c r="D381" s="194"/>
      <c r="E381" s="342"/>
      <c r="F381" s="546"/>
      <c r="G381" s="342"/>
      <c r="H381" s="456"/>
      <c r="I381" s="456"/>
      <c r="J381" s="544" t="str">
        <f>IF(OR(D381="",D381="-"),"",VLOOKUP(D381,'Fatores de Emissão'!$D$117:$F$121,3,FALSE))</f>
        <v/>
      </c>
      <c r="K381" s="1024" t="str">
        <f>IF(OR(D381="",D381="-"),"",VLOOKUP(D381,'Fatores de Emissão'!$D$117:$E$121,2,FALSE))</f>
        <v/>
      </c>
      <c r="L381" s="1024" t="str">
        <f>IF(OR(D381="",D381="-"),"",VLOOKUP(D381,'Fatores de Emissão'!$D$117:$G$121,4,FALSE))</f>
        <v/>
      </c>
      <c r="M381" s="1024" t="str">
        <f>IF(OR(D381="",D381="-"),"",VLOOKUP(D381,'Fatores de Emissão'!$D$117:$I$121,6,FALSE))</f>
        <v/>
      </c>
      <c r="N381" s="544" t="str">
        <f t="shared" si="13"/>
        <v/>
      </c>
      <c r="O381" s="1024" t="str">
        <f t="shared" si="14"/>
        <v/>
      </c>
      <c r="P381" s="1024" t="str">
        <f t="shared" si="15"/>
        <v/>
      </c>
      <c r="Q381" s="543" t="str">
        <f>IF(B381="","",IF(D381="","",N381*'Fatores de Emissão'!$E$252+'Combustão Móvel'!O381*'Fatores de Emissão'!$E$248+'Combustão Móvel'!P381*'Fatores de Emissão'!$E$249))</f>
        <v/>
      </c>
    </row>
    <row r="382" spans="2:17" s="314" customFormat="1" hidden="1" outlineLevel="2" x14ac:dyDescent="0.35">
      <c r="B382" s="454"/>
      <c r="C382" s="194"/>
      <c r="D382" s="194"/>
      <c r="E382" s="342"/>
      <c r="F382" s="546"/>
      <c r="G382" s="342"/>
      <c r="H382" s="456"/>
      <c r="I382" s="456"/>
      <c r="J382" s="544" t="str">
        <f>IF(OR(D382="",D382="-"),"",VLOOKUP(D382,'Fatores de Emissão'!$D$117:$F$121,3,FALSE))</f>
        <v/>
      </c>
      <c r="K382" s="1024" t="str">
        <f>IF(OR(D382="",D382="-"),"",VLOOKUP(D382,'Fatores de Emissão'!$D$117:$E$121,2,FALSE))</f>
        <v/>
      </c>
      <c r="L382" s="1024" t="str">
        <f>IF(OR(D382="",D382="-"),"",VLOOKUP(D382,'Fatores de Emissão'!$D$117:$G$121,4,FALSE))</f>
        <v/>
      </c>
      <c r="M382" s="1024" t="str">
        <f>IF(OR(D382="",D382="-"),"",VLOOKUP(D382,'Fatores de Emissão'!$D$117:$I$121,6,FALSE))</f>
        <v/>
      </c>
      <c r="N382" s="544" t="str">
        <f t="shared" si="13"/>
        <v/>
      </c>
      <c r="O382" s="1024" t="str">
        <f t="shared" si="14"/>
        <v/>
      </c>
      <c r="P382" s="1024" t="str">
        <f t="shared" si="15"/>
        <v/>
      </c>
      <c r="Q382" s="543" t="str">
        <f>IF(B382="","",IF(D382="","",N382*'Fatores de Emissão'!$E$252+'Combustão Móvel'!O382*'Fatores de Emissão'!$E$248+'Combustão Móvel'!P382*'Fatores de Emissão'!$E$249))</f>
        <v/>
      </c>
    </row>
    <row r="383" spans="2:17" s="314" customFormat="1" hidden="1" outlineLevel="2" x14ac:dyDescent="0.35">
      <c r="B383" s="454"/>
      <c r="C383" s="194"/>
      <c r="D383" s="194"/>
      <c r="E383" s="342"/>
      <c r="F383" s="546"/>
      <c r="G383" s="342"/>
      <c r="H383" s="456"/>
      <c r="I383" s="456"/>
      <c r="J383" s="544" t="str">
        <f>IF(OR(D383="",D383="-"),"",VLOOKUP(D383,'Fatores de Emissão'!$D$117:$F$121,3,FALSE))</f>
        <v/>
      </c>
      <c r="K383" s="1024" t="str">
        <f>IF(OR(D383="",D383="-"),"",VLOOKUP(D383,'Fatores de Emissão'!$D$117:$E$121,2,FALSE))</f>
        <v/>
      </c>
      <c r="L383" s="1024" t="str">
        <f>IF(OR(D383="",D383="-"),"",VLOOKUP(D383,'Fatores de Emissão'!$D$117:$G$121,4,FALSE))</f>
        <v/>
      </c>
      <c r="M383" s="1024" t="str">
        <f>IF(OR(D383="",D383="-"),"",VLOOKUP(D383,'Fatores de Emissão'!$D$117:$I$121,6,FALSE))</f>
        <v/>
      </c>
      <c r="N383" s="544" t="str">
        <f t="shared" si="13"/>
        <v/>
      </c>
      <c r="O383" s="1024" t="str">
        <f t="shared" si="14"/>
        <v/>
      </c>
      <c r="P383" s="1024" t="str">
        <f t="shared" si="15"/>
        <v/>
      </c>
      <c r="Q383" s="543" t="str">
        <f>IF(B383="","",IF(D383="","",N383*'Fatores de Emissão'!$E$252+'Combustão Móvel'!O383*'Fatores de Emissão'!$E$248+'Combustão Móvel'!P383*'Fatores de Emissão'!$E$249))</f>
        <v/>
      </c>
    </row>
    <row r="384" spans="2:17" s="314" customFormat="1" hidden="1" outlineLevel="2" x14ac:dyDescent="0.35">
      <c r="B384" s="454"/>
      <c r="C384" s="194"/>
      <c r="D384" s="194"/>
      <c r="E384" s="342"/>
      <c r="F384" s="546"/>
      <c r="G384" s="342"/>
      <c r="H384" s="456"/>
      <c r="I384" s="456"/>
      <c r="J384" s="544" t="str">
        <f>IF(OR(D384="",D384="-"),"",VLOOKUP(D384,'Fatores de Emissão'!$D$117:$F$121,3,FALSE))</f>
        <v/>
      </c>
      <c r="K384" s="1024" t="str">
        <f>IF(OR(D384="",D384="-"),"",VLOOKUP(D384,'Fatores de Emissão'!$D$117:$E$121,2,FALSE))</f>
        <v/>
      </c>
      <c r="L384" s="1024" t="str">
        <f>IF(OR(D384="",D384="-"),"",VLOOKUP(D384,'Fatores de Emissão'!$D$117:$G$121,4,FALSE))</f>
        <v/>
      </c>
      <c r="M384" s="1024" t="str">
        <f>IF(OR(D384="",D384="-"),"",VLOOKUP(D384,'Fatores de Emissão'!$D$117:$I$121,6,FALSE))</f>
        <v/>
      </c>
      <c r="N384" s="544" t="str">
        <f t="shared" si="13"/>
        <v/>
      </c>
      <c r="O384" s="1024" t="str">
        <f t="shared" si="14"/>
        <v/>
      </c>
      <c r="P384" s="1024" t="str">
        <f t="shared" si="15"/>
        <v/>
      </c>
      <c r="Q384" s="543" t="str">
        <f>IF(B384="","",IF(D384="","",N384*'Fatores de Emissão'!$E$252+'Combustão Móvel'!O384*'Fatores de Emissão'!$E$248+'Combustão Móvel'!P384*'Fatores de Emissão'!$E$249))</f>
        <v/>
      </c>
    </row>
    <row r="385" spans="1:17" s="314" customFormat="1" hidden="1" outlineLevel="2" x14ac:dyDescent="0.35">
      <c r="B385" s="454"/>
      <c r="C385" s="194"/>
      <c r="D385" s="194"/>
      <c r="E385" s="342"/>
      <c r="F385" s="546"/>
      <c r="G385" s="342"/>
      <c r="H385" s="456"/>
      <c r="I385" s="456"/>
      <c r="J385" s="544" t="str">
        <f>IF(OR(D385="",D385="-"),"",VLOOKUP(D385,'Fatores de Emissão'!$D$117:$F$121,3,FALSE))</f>
        <v/>
      </c>
      <c r="K385" s="1024" t="str">
        <f>IF(OR(D385="",D385="-"),"",VLOOKUP(D385,'Fatores de Emissão'!$D$117:$E$121,2,FALSE))</f>
        <v/>
      </c>
      <c r="L385" s="1024" t="str">
        <f>IF(OR(D385="",D385="-"),"",VLOOKUP(D385,'Fatores de Emissão'!$D$117:$G$121,4,FALSE))</f>
        <v/>
      </c>
      <c r="M385" s="1024" t="str">
        <f>IF(OR(D385="",D385="-"),"",VLOOKUP(D385,'Fatores de Emissão'!$D$117:$I$121,6,FALSE))</f>
        <v/>
      </c>
      <c r="N385" s="544" t="str">
        <f t="shared" si="13"/>
        <v/>
      </c>
      <c r="O385" s="1024" t="str">
        <f t="shared" si="14"/>
        <v/>
      </c>
      <c r="P385" s="1024" t="str">
        <f t="shared" si="15"/>
        <v/>
      </c>
      <c r="Q385" s="543" t="str">
        <f>IF(B385="","",IF(D385="","",N385*'Fatores de Emissão'!$E$252+'Combustão Móvel'!O385*'Fatores de Emissão'!$E$248+'Combustão Móvel'!P385*'Fatores de Emissão'!$E$249))</f>
        <v/>
      </c>
    </row>
    <row r="386" spans="1:17" s="314" customFormat="1" outlineLevel="1" collapsed="1" x14ac:dyDescent="0.35">
      <c r="B386" s="323" t="s">
        <v>40</v>
      </c>
      <c r="C386" s="280"/>
      <c r="D386" s="280"/>
      <c r="E386" s="280"/>
      <c r="F386" s="280"/>
      <c r="G386" s="280"/>
      <c r="H386" s="280"/>
      <c r="I386" s="280"/>
      <c r="J386" s="280"/>
      <c r="K386" s="280"/>
      <c r="L386" s="280"/>
      <c r="M386" s="324"/>
      <c r="N386" s="962">
        <f>SUM(N286:N385)</f>
        <v>0</v>
      </c>
      <c r="O386" s="962">
        <f>SUM(O286:O385)</f>
        <v>0</v>
      </c>
      <c r="P386" s="962">
        <f>SUM(P286:P385)</f>
        <v>0</v>
      </c>
      <c r="Q386" s="962">
        <f>SUM(Q286:Q385)</f>
        <v>0</v>
      </c>
    </row>
    <row r="387" spans="1:17" outlineLevel="1" x14ac:dyDescent="0.35"/>
    <row r="388" spans="1:17" s="538" customFormat="1" ht="30" customHeight="1" x14ac:dyDescent="0.35">
      <c r="B388" s="296" t="s">
        <v>700</v>
      </c>
    </row>
    <row r="389" spans="1:17" x14ac:dyDescent="0.35"/>
    <row r="390" spans="1:17" outlineLevel="1" x14ac:dyDescent="0.35">
      <c r="B390" s="167" t="s">
        <v>27</v>
      </c>
      <c r="C390" s="172"/>
      <c r="D390" s="172"/>
      <c r="E390" s="172"/>
      <c r="F390" s="172"/>
      <c r="G390" s="172"/>
      <c r="H390" s="172"/>
      <c r="I390" s="172"/>
      <c r="J390" s="172"/>
      <c r="K390" s="172"/>
      <c r="L390" s="172"/>
      <c r="M390" s="172"/>
      <c r="N390" s="172"/>
      <c r="O390" s="172"/>
      <c r="P390" s="172"/>
      <c r="Q390" s="172"/>
    </row>
    <row r="391" spans="1:17" outlineLevel="1" x14ac:dyDescent="0.35">
      <c r="B391" s="422" t="s">
        <v>603</v>
      </c>
      <c r="C391" s="172"/>
      <c r="D391" s="172"/>
      <c r="E391" s="172"/>
      <c r="F391" s="172"/>
      <c r="G391" s="172"/>
      <c r="H391" s="172"/>
      <c r="I391" s="172"/>
      <c r="J391" s="172"/>
      <c r="K391" s="172"/>
      <c r="L391" s="172"/>
      <c r="M391" s="172"/>
      <c r="N391" s="172"/>
      <c r="O391" s="172"/>
      <c r="P391" s="172"/>
      <c r="Q391" s="172"/>
    </row>
    <row r="392" spans="1:17" outlineLevel="1" x14ac:dyDescent="0.35">
      <c r="B392" s="312" t="s">
        <v>1348</v>
      </c>
      <c r="C392" s="172"/>
      <c r="D392" s="172"/>
      <c r="E392" s="172"/>
      <c r="F392" s="172"/>
      <c r="G392" s="172"/>
      <c r="H392" s="172"/>
      <c r="I392" s="172"/>
      <c r="J392" s="172"/>
      <c r="K392" s="172"/>
      <c r="L392" s="172"/>
      <c r="M392" s="172"/>
      <c r="N392" s="172"/>
      <c r="O392" s="172"/>
      <c r="P392" s="172"/>
      <c r="Q392" s="172"/>
    </row>
    <row r="393" spans="1:17" outlineLevel="1" x14ac:dyDescent="0.35">
      <c r="B393" s="422" t="s">
        <v>220</v>
      </c>
      <c r="C393" s="172"/>
      <c r="D393" s="172"/>
      <c r="E393" s="172"/>
      <c r="F393" s="172"/>
      <c r="G393" s="172"/>
      <c r="H393" s="172"/>
      <c r="I393" s="172"/>
      <c r="J393" s="172"/>
      <c r="K393" s="172"/>
      <c r="L393" s="172"/>
      <c r="M393" s="172"/>
      <c r="N393" s="172"/>
      <c r="O393" s="172"/>
      <c r="P393" s="172"/>
      <c r="Q393" s="172"/>
    </row>
    <row r="394" spans="1:17" outlineLevel="1" x14ac:dyDescent="0.35">
      <c r="B394" s="422" t="s">
        <v>1346</v>
      </c>
      <c r="C394" s="172"/>
      <c r="D394" s="172"/>
      <c r="E394" s="172"/>
      <c r="F394" s="172"/>
      <c r="G394" s="172"/>
      <c r="H394" s="172"/>
      <c r="I394" s="172"/>
      <c r="J394" s="172"/>
      <c r="K394" s="172"/>
      <c r="L394" s="172"/>
      <c r="M394" s="172"/>
      <c r="N394" s="172"/>
      <c r="O394" s="172"/>
      <c r="P394" s="172"/>
      <c r="Q394" s="172"/>
    </row>
    <row r="395" spans="1:17" outlineLevel="1" x14ac:dyDescent="0.35">
      <c r="B395" s="422" t="s">
        <v>1347</v>
      </c>
      <c r="C395" s="172"/>
      <c r="D395" s="172"/>
      <c r="E395" s="172"/>
      <c r="F395" s="172"/>
      <c r="G395" s="172"/>
      <c r="H395" s="172"/>
      <c r="I395" s="172"/>
      <c r="J395" s="172"/>
      <c r="K395" s="172"/>
      <c r="L395" s="172"/>
      <c r="M395" s="172"/>
      <c r="N395" s="172"/>
      <c r="O395" s="172"/>
      <c r="P395" s="172"/>
      <c r="Q395" s="172"/>
    </row>
    <row r="396" spans="1:17" outlineLevel="1" x14ac:dyDescent="0.35">
      <c r="B396" s="422" t="s">
        <v>601</v>
      </c>
      <c r="C396" s="172"/>
      <c r="D396" s="172"/>
      <c r="E396" s="172"/>
      <c r="F396" s="172"/>
      <c r="G396" s="172"/>
      <c r="H396" s="172"/>
      <c r="I396" s="172"/>
      <c r="J396" s="172"/>
      <c r="K396" s="172"/>
      <c r="L396" s="172"/>
      <c r="M396" s="172"/>
      <c r="N396" s="172"/>
      <c r="O396" s="172"/>
      <c r="P396" s="172"/>
      <c r="Q396" s="172"/>
    </row>
    <row r="397" spans="1:17" outlineLevel="1" x14ac:dyDescent="0.35">
      <c r="B397" s="463"/>
      <c r="P397" s="307"/>
    </row>
    <row r="398" spans="1:17" outlineLevel="1" x14ac:dyDescent="0.35">
      <c r="B398" s="438" t="s">
        <v>524</v>
      </c>
      <c r="P398" s="307"/>
    </row>
    <row r="399" spans="1:17" ht="19.899999999999999" customHeight="1" outlineLevel="1" x14ac:dyDescent="0.35">
      <c r="A399" s="314"/>
      <c r="B399" s="1089" t="s">
        <v>691</v>
      </c>
      <c r="C399" s="1089" t="s">
        <v>211</v>
      </c>
      <c r="D399" s="1089" t="s">
        <v>194</v>
      </c>
      <c r="E399" s="1089" t="s">
        <v>597</v>
      </c>
      <c r="F399" s="1089" t="s">
        <v>215</v>
      </c>
      <c r="G399" s="1089" t="s">
        <v>213</v>
      </c>
      <c r="H399" s="1089" t="s">
        <v>1537</v>
      </c>
      <c r="I399" s="1089" t="s">
        <v>544</v>
      </c>
      <c r="J399" s="1089" t="s">
        <v>214</v>
      </c>
      <c r="K399" s="1121" t="s">
        <v>604</v>
      </c>
      <c r="L399" s="1122"/>
      <c r="M399" s="1123"/>
      <c r="N399" s="1089" t="s">
        <v>1342</v>
      </c>
      <c r="O399" s="1089" t="s">
        <v>1343</v>
      </c>
      <c r="P399" s="1089" t="s">
        <v>1344</v>
      </c>
      <c r="Q399" s="1089" t="s">
        <v>1345</v>
      </c>
    </row>
    <row r="400" spans="1:17" ht="13.15" customHeight="1" outlineLevel="1" x14ac:dyDescent="0.35">
      <c r="A400" s="314"/>
      <c r="B400" s="1090"/>
      <c r="C400" s="1090"/>
      <c r="D400" s="1090"/>
      <c r="E400" s="1090"/>
      <c r="F400" s="1090"/>
      <c r="G400" s="1090"/>
      <c r="H400" s="1090"/>
      <c r="I400" s="1090"/>
      <c r="J400" s="1090"/>
      <c r="K400" s="1124"/>
      <c r="L400" s="1125"/>
      <c r="M400" s="1126"/>
      <c r="N400" s="1090"/>
      <c r="O400" s="1090"/>
      <c r="P400" s="1090"/>
      <c r="Q400" s="1090"/>
    </row>
    <row r="401" spans="1:17" ht="28.9" customHeight="1" outlineLevel="1" x14ac:dyDescent="0.35">
      <c r="A401" s="314"/>
      <c r="B401" s="1100"/>
      <c r="C401" s="1100"/>
      <c r="D401" s="1100"/>
      <c r="E401" s="1100"/>
      <c r="F401" s="1100"/>
      <c r="G401" s="1100"/>
      <c r="H401" s="1100"/>
      <c r="I401" s="1100"/>
      <c r="J401" s="1100"/>
      <c r="K401" s="257" t="s">
        <v>1336</v>
      </c>
      <c r="L401" s="257" t="s">
        <v>1337</v>
      </c>
      <c r="M401" s="257" t="s">
        <v>1338</v>
      </c>
      <c r="N401" s="1100"/>
      <c r="O401" s="1100"/>
      <c r="P401" s="1100"/>
      <c r="Q401" s="1100"/>
    </row>
    <row r="402" spans="1:17" ht="31" outlineLevel="1" x14ac:dyDescent="0.35">
      <c r="A402" s="317" t="s">
        <v>39</v>
      </c>
      <c r="B402" s="451" t="s">
        <v>1049</v>
      </c>
      <c r="C402" s="551" t="s">
        <v>701</v>
      </c>
      <c r="D402" s="551" t="s">
        <v>696</v>
      </c>
      <c r="E402" s="552">
        <v>1000</v>
      </c>
      <c r="F402" s="551">
        <v>10</v>
      </c>
      <c r="G402" s="552"/>
      <c r="H402" s="452" t="s">
        <v>541</v>
      </c>
      <c r="I402" s="452" t="s">
        <v>547</v>
      </c>
      <c r="J402" s="551" t="str">
        <f>IF(OR(D402="",D402="-"),"",VLOOKUP(D402,'Fatores de Emissão'!$C$130:$F$135,4,FALSE))</f>
        <v>kg/p.km</v>
      </c>
      <c r="K402" s="1027">
        <v>0.17147000000000001</v>
      </c>
      <c r="L402" s="1027">
        <v>0</v>
      </c>
      <c r="M402" s="1027">
        <v>0</v>
      </c>
      <c r="N402" s="1027">
        <v>1.8518760000000003</v>
      </c>
      <c r="O402" s="1027">
        <v>0</v>
      </c>
      <c r="P402" s="1027">
        <v>0</v>
      </c>
      <c r="Q402" s="452">
        <f>IF(B402="","",IF(D402="","",N402*'Fatores de Emissão'!$E$252+'Combustão Móvel'!O402*'Fatores de Emissão'!$E$248+'Combustão Móvel'!P402*'Fatores de Emissão'!$E$249))</f>
        <v>1.8518760000000003</v>
      </c>
    </row>
    <row r="403" spans="1:17" outlineLevel="1" x14ac:dyDescent="0.35">
      <c r="B403" s="454"/>
      <c r="C403" s="194"/>
      <c r="D403" s="194"/>
      <c r="E403" s="342"/>
      <c r="F403" s="194"/>
      <c r="G403" s="342"/>
      <c r="H403" s="456"/>
      <c r="I403" s="456"/>
      <c r="J403" s="548" t="str">
        <f>IF(OR(D403="",D403="-"),"",VLOOKUP(D403,'Fatores de Emissão'!$C$130:$F$135,4,FALSE))</f>
        <v/>
      </c>
      <c r="K403" s="1024" t="str">
        <f>IF(OR(D403="",D403="-"),"",VLOOKUP(D403,'Fatores de Emissão'!$C$130:$E$135,3,FALSE))</f>
        <v/>
      </c>
      <c r="L403" s="1024" t="str">
        <f>IF(OR(D403="",D403="-"),"",VLOOKUP(D403,'Fatores de Emissão'!$C$130:$G$135,5,FALSE))</f>
        <v/>
      </c>
      <c r="M403" s="1024" t="str">
        <f>IF(OR(D403="",D403="-"),"",VLOOKUP(D403,'Fatores de Emissão'!$C$130:$I$135,7,FALSE))</f>
        <v/>
      </c>
      <c r="N403" s="1024" t="str">
        <f t="shared" ref="N403" si="16">IF(D403="","",IF(J403="kg/p.km",E403*1.08*F403*K403/1000,E403*1.08*G403*K403/1000))</f>
        <v/>
      </c>
      <c r="O403" s="1024" t="str">
        <f t="shared" ref="O403" si="17">IF(D403="","",IF(J403="kg/p.km",E403*1.08*F403*L403/1000,E403*1.08*G403*L403/1000))</f>
        <v/>
      </c>
      <c r="P403" s="1024" t="str">
        <f t="shared" ref="P403" si="18">IF(D403="","",IF(J403="kg/p.km",E403*1.08*F403*M403/1000,E403*1.08*G403*M403/1000))</f>
        <v/>
      </c>
      <c r="Q403" s="961" t="str">
        <f>IF(B403="","",IF(D403="","",N403*'Fatores de Emissão'!$E$252+'Combustão Móvel'!O403*'Fatores de Emissão'!$E$248+'Combustão Móvel'!P403*'Fatores de Emissão'!$E$249))</f>
        <v/>
      </c>
    </row>
    <row r="404" spans="1:17" outlineLevel="1" x14ac:dyDescent="0.35">
      <c r="B404" s="454"/>
      <c r="C404" s="194"/>
      <c r="D404" s="194"/>
      <c r="E404" s="342"/>
      <c r="F404" s="194"/>
      <c r="G404" s="342"/>
      <c r="H404" s="456"/>
      <c r="I404" s="456"/>
      <c r="J404" s="548" t="str">
        <f>IF(OR(D404="",D404="-"),"",VLOOKUP(D404,'Fatores de Emissão'!$C$130:$F$135,4,FALSE))</f>
        <v/>
      </c>
      <c r="K404" s="1024" t="str">
        <f>IF(OR(D404="",D404="-"),"",VLOOKUP(D404,'Fatores de Emissão'!$C$130:$E$135,3,FALSE))</f>
        <v/>
      </c>
      <c r="L404" s="1024" t="str">
        <f>IF(OR(D404="",D404="-"),"",VLOOKUP(D404,'Fatores de Emissão'!$C$130:$G$135,5,FALSE))</f>
        <v/>
      </c>
      <c r="M404" s="1024" t="str">
        <f>IF(OR(D404="",D404="-"),"",VLOOKUP(D404,'Fatores de Emissão'!$C$130:$I$135,7,FALSE))</f>
        <v/>
      </c>
      <c r="N404" s="1024" t="str">
        <f t="shared" ref="N404:N467" si="19">IF(D404="","",IF(J404="kg/p.km",E404*1.08*F404*K404/1000,E404*1.08*G404*K404/1000))</f>
        <v/>
      </c>
      <c r="O404" s="1024" t="str">
        <f t="shared" ref="O404:O467" si="20">IF(D404="","",IF(J404="kg/p.km",E404*1.08*F404*L404/1000,E404*1.08*G404*L404/1000))</f>
        <v/>
      </c>
      <c r="P404" s="1024" t="str">
        <f t="shared" ref="P404:P467" si="21">IF(D404="","",IF(J404="kg/p.km",E404*1.08*F404*M404/1000,E404*1.08*G404*M404/1000))</f>
        <v/>
      </c>
      <c r="Q404" s="961" t="str">
        <f>IF(B404="","",IF(D404="","",N404*'Fatores de Emissão'!$E$252+'Combustão Móvel'!O404*'Fatores de Emissão'!$E$248+'Combustão Móvel'!P404*'Fatores de Emissão'!$E$249))</f>
        <v/>
      </c>
    </row>
    <row r="405" spans="1:17" outlineLevel="1" x14ac:dyDescent="0.35">
      <c r="B405" s="454"/>
      <c r="C405" s="194"/>
      <c r="D405" s="194"/>
      <c r="E405" s="342"/>
      <c r="F405" s="194"/>
      <c r="G405" s="342"/>
      <c r="H405" s="456"/>
      <c r="I405" s="456"/>
      <c r="J405" s="548" t="str">
        <f>IF(OR(D405="",D405="-"),"",VLOOKUP(D405,'Fatores de Emissão'!$C$130:$F$135,4,FALSE))</f>
        <v/>
      </c>
      <c r="K405" s="1024" t="str">
        <f>IF(OR(D405="",D405="-"),"",VLOOKUP(D405,'Fatores de Emissão'!$C$130:$E$135,3,FALSE))</f>
        <v/>
      </c>
      <c r="L405" s="1024" t="str">
        <f>IF(OR(D405="",D405="-"),"",VLOOKUP(D405,'Fatores de Emissão'!$C$130:$G$135,5,FALSE))</f>
        <v/>
      </c>
      <c r="M405" s="1024" t="str">
        <f>IF(OR(D405="",D405="-"),"",VLOOKUP(D405,'Fatores de Emissão'!$C$130:$I$135,7,FALSE))</f>
        <v/>
      </c>
      <c r="N405" s="1024" t="str">
        <f t="shared" si="19"/>
        <v/>
      </c>
      <c r="O405" s="1024" t="str">
        <f t="shared" si="20"/>
        <v/>
      </c>
      <c r="P405" s="1024" t="str">
        <f t="shared" si="21"/>
        <v/>
      </c>
      <c r="Q405" s="961" t="str">
        <f>IF(B405="","",IF(D405="","",N405*'Fatores de Emissão'!$E$252+'Combustão Móvel'!O405*'Fatores de Emissão'!$E$248+'Combustão Móvel'!P405*'Fatores de Emissão'!$E$249))</f>
        <v/>
      </c>
    </row>
    <row r="406" spans="1:17" outlineLevel="1" x14ac:dyDescent="0.35">
      <c r="B406" s="454"/>
      <c r="C406" s="194"/>
      <c r="D406" s="194"/>
      <c r="E406" s="342"/>
      <c r="F406" s="194"/>
      <c r="G406" s="342"/>
      <c r="H406" s="456"/>
      <c r="I406" s="456"/>
      <c r="J406" s="548" t="str">
        <f>IF(OR(D406="",D406="-"),"",VLOOKUP(D406,'Fatores de Emissão'!$C$130:$F$135,4,FALSE))</f>
        <v/>
      </c>
      <c r="K406" s="1024" t="str">
        <f>IF(OR(D406="",D406="-"),"",VLOOKUP(D406,'Fatores de Emissão'!$C$130:$E$135,3,FALSE))</f>
        <v/>
      </c>
      <c r="L406" s="1024" t="str">
        <f>IF(OR(D406="",D406="-"),"",VLOOKUP(D406,'Fatores de Emissão'!$C$130:$G$135,5,FALSE))</f>
        <v/>
      </c>
      <c r="M406" s="1024" t="str">
        <f>IF(OR(D406="",D406="-"),"",VLOOKUP(D406,'Fatores de Emissão'!$C$130:$I$135,7,FALSE))</f>
        <v/>
      </c>
      <c r="N406" s="1024" t="str">
        <f t="shared" si="19"/>
        <v/>
      </c>
      <c r="O406" s="1024" t="str">
        <f t="shared" si="20"/>
        <v/>
      </c>
      <c r="P406" s="1024" t="str">
        <f t="shared" si="21"/>
        <v/>
      </c>
      <c r="Q406" s="961" t="str">
        <f>IF(B406="","",IF(D406="","",N406*'Fatores de Emissão'!$E$252+'Combustão Móvel'!O406*'Fatores de Emissão'!$E$248+'Combustão Móvel'!P406*'Fatores de Emissão'!$E$249))</f>
        <v/>
      </c>
    </row>
    <row r="407" spans="1:17" outlineLevel="1" x14ac:dyDescent="0.35">
      <c r="B407" s="454"/>
      <c r="C407" s="194"/>
      <c r="D407" s="194"/>
      <c r="E407" s="342"/>
      <c r="F407" s="194"/>
      <c r="G407" s="342"/>
      <c r="H407" s="456"/>
      <c r="I407" s="456"/>
      <c r="J407" s="548" t="str">
        <f>IF(OR(D407="",D407="-"),"",VLOOKUP(D407,'Fatores de Emissão'!$C$130:$F$135,4,FALSE))</f>
        <v/>
      </c>
      <c r="K407" s="1024" t="str">
        <f>IF(OR(D407="",D407="-"),"",VLOOKUP(D407,'Fatores de Emissão'!$C$130:$E$135,3,FALSE))</f>
        <v/>
      </c>
      <c r="L407" s="1024" t="str">
        <f>IF(OR(D407="",D407="-"),"",VLOOKUP(D407,'Fatores de Emissão'!$C$130:$G$135,5,FALSE))</f>
        <v/>
      </c>
      <c r="M407" s="1024" t="str">
        <f>IF(OR(D407="",D407="-"),"",VLOOKUP(D407,'Fatores de Emissão'!$C$130:$I$135,7,FALSE))</f>
        <v/>
      </c>
      <c r="N407" s="1024" t="str">
        <f t="shared" si="19"/>
        <v/>
      </c>
      <c r="O407" s="1024" t="str">
        <f t="shared" si="20"/>
        <v/>
      </c>
      <c r="P407" s="1024" t="str">
        <f t="shared" si="21"/>
        <v/>
      </c>
      <c r="Q407" s="961" t="str">
        <f>IF(B407="","",IF(D407="","",N407*'Fatores de Emissão'!$E$252+'Combustão Móvel'!O407*'Fatores de Emissão'!$E$248+'Combustão Móvel'!P407*'Fatores de Emissão'!$E$249))</f>
        <v/>
      </c>
    </row>
    <row r="408" spans="1:17" outlineLevel="1" x14ac:dyDescent="0.35">
      <c r="B408" s="454"/>
      <c r="C408" s="194"/>
      <c r="D408" s="194"/>
      <c r="E408" s="342"/>
      <c r="F408" s="194"/>
      <c r="G408" s="342"/>
      <c r="H408" s="456"/>
      <c r="I408" s="456"/>
      <c r="J408" s="548" t="str">
        <f>IF(OR(D408="",D408="-"),"",VLOOKUP(D408,'Fatores de Emissão'!$C$130:$F$135,4,FALSE))</f>
        <v/>
      </c>
      <c r="K408" s="1024" t="str">
        <f>IF(OR(D408="",D408="-"),"",VLOOKUP(D408,'Fatores de Emissão'!$C$130:$E$135,3,FALSE))</f>
        <v/>
      </c>
      <c r="L408" s="1024" t="str">
        <f>IF(OR(D408="",D408="-"),"",VLOOKUP(D408,'Fatores de Emissão'!$C$130:$G$135,5,FALSE))</f>
        <v/>
      </c>
      <c r="M408" s="1024" t="str">
        <f>IF(OR(D408="",D408="-"),"",VLOOKUP(D408,'Fatores de Emissão'!$C$130:$I$135,7,FALSE))</f>
        <v/>
      </c>
      <c r="N408" s="1024" t="str">
        <f t="shared" si="19"/>
        <v/>
      </c>
      <c r="O408" s="1024" t="str">
        <f t="shared" si="20"/>
        <v/>
      </c>
      <c r="P408" s="1024" t="str">
        <f t="shared" si="21"/>
        <v/>
      </c>
      <c r="Q408" s="961" t="str">
        <f>IF(B408="","",IF(D408="","",N408*'Fatores de Emissão'!$E$252+'Combustão Móvel'!O408*'Fatores de Emissão'!$E$248+'Combustão Móvel'!P408*'Fatores de Emissão'!$E$249))</f>
        <v/>
      </c>
    </row>
    <row r="409" spans="1:17" outlineLevel="1" x14ac:dyDescent="0.35">
      <c r="B409" s="454"/>
      <c r="C409" s="194"/>
      <c r="D409" s="194"/>
      <c r="E409" s="342"/>
      <c r="F409" s="194"/>
      <c r="G409" s="342"/>
      <c r="H409" s="456"/>
      <c r="I409" s="456"/>
      <c r="J409" s="548" t="str">
        <f>IF(OR(D409="",D409="-"),"",VLOOKUP(D409,'Fatores de Emissão'!$C$130:$F$135,4,FALSE))</f>
        <v/>
      </c>
      <c r="K409" s="1024" t="str">
        <f>IF(OR(D409="",D409="-"),"",VLOOKUP(D409,'Fatores de Emissão'!$C$130:$E$135,3,FALSE))</f>
        <v/>
      </c>
      <c r="L409" s="1024" t="str">
        <f>IF(OR(D409="",D409="-"),"",VLOOKUP(D409,'Fatores de Emissão'!$C$130:$G$135,5,FALSE))</f>
        <v/>
      </c>
      <c r="M409" s="1024" t="str">
        <f>IF(OR(D409="",D409="-"),"",VLOOKUP(D409,'Fatores de Emissão'!$C$130:$I$135,7,FALSE))</f>
        <v/>
      </c>
      <c r="N409" s="1024" t="str">
        <f t="shared" si="19"/>
        <v/>
      </c>
      <c r="O409" s="1024" t="str">
        <f t="shared" si="20"/>
        <v/>
      </c>
      <c r="P409" s="1024" t="str">
        <f t="shared" si="21"/>
        <v/>
      </c>
      <c r="Q409" s="961" t="str">
        <f>IF(B409="","",IF(D409="","",N409*'Fatores de Emissão'!$E$252+'Combustão Móvel'!O409*'Fatores de Emissão'!$E$248+'Combustão Móvel'!P409*'Fatores de Emissão'!$E$249))</f>
        <v/>
      </c>
    </row>
    <row r="410" spans="1:17" outlineLevel="1" x14ac:dyDescent="0.35">
      <c r="B410" s="454"/>
      <c r="C410" s="194"/>
      <c r="D410" s="194"/>
      <c r="E410" s="342"/>
      <c r="F410" s="194"/>
      <c r="G410" s="342"/>
      <c r="H410" s="456"/>
      <c r="I410" s="456"/>
      <c r="J410" s="548" t="str">
        <f>IF(OR(D410="",D410="-"),"",VLOOKUP(D410,'Fatores de Emissão'!$C$130:$F$135,4,FALSE))</f>
        <v/>
      </c>
      <c r="K410" s="1024" t="str">
        <f>IF(OR(D410="",D410="-"),"",VLOOKUP(D410,'Fatores de Emissão'!$C$130:$E$135,3,FALSE))</f>
        <v/>
      </c>
      <c r="L410" s="1024" t="str">
        <f>IF(OR(D410="",D410="-"),"",VLOOKUP(D410,'Fatores de Emissão'!$C$130:$G$135,5,FALSE))</f>
        <v/>
      </c>
      <c r="M410" s="1024" t="str">
        <f>IF(OR(D410="",D410="-"),"",VLOOKUP(D410,'Fatores de Emissão'!$C$130:$I$135,7,FALSE))</f>
        <v/>
      </c>
      <c r="N410" s="1024" t="str">
        <f t="shared" si="19"/>
        <v/>
      </c>
      <c r="O410" s="1024" t="str">
        <f t="shared" si="20"/>
        <v/>
      </c>
      <c r="P410" s="1024" t="str">
        <f t="shared" si="21"/>
        <v/>
      </c>
      <c r="Q410" s="961" t="str">
        <f>IF(B410="","",IF(D410="","",N410*'Fatores de Emissão'!$E$252+'Combustão Móvel'!O410*'Fatores de Emissão'!$E$248+'Combustão Móvel'!P410*'Fatores de Emissão'!$E$249))</f>
        <v/>
      </c>
    </row>
    <row r="411" spans="1:17" outlineLevel="1" x14ac:dyDescent="0.35">
      <c r="B411" s="454"/>
      <c r="C411" s="194"/>
      <c r="D411" s="194"/>
      <c r="E411" s="342"/>
      <c r="F411" s="194"/>
      <c r="G411" s="342"/>
      <c r="H411" s="456"/>
      <c r="I411" s="456"/>
      <c r="J411" s="548" t="str">
        <f>IF(OR(D411="",D411="-"),"",VLOOKUP(D411,'Fatores de Emissão'!$C$130:$F$135,4,FALSE))</f>
        <v/>
      </c>
      <c r="K411" s="1024" t="str">
        <f>IF(OR(D411="",D411="-"),"",VLOOKUP(D411,'Fatores de Emissão'!$C$130:$E$135,3,FALSE))</f>
        <v/>
      </c>
      <c r="L411" s="1024" t="str">
        <f>IF(OR(D411="",D411="-"),"",VLOOKUP(D411,'Fatores de Emissão'!$C$130:$G$135,5,FALSE))</f>
        <v/>
      </c>
      <c r="M411" s="1024" t="str">
        <f>IF(OR(D411="",D411="-"),"",VLOOKUP(D411,'Fatores de Emissão'!$C$130:$I$135,7,FALSE))</f>
        <v/>
      </c>
      <c r="N411" s="1024" t="str">
        <f t="shared" si="19"/>
        <v/>
      </c>
      <c r="O411" s="1024" t="str">
        <f t="shared" si="20"/>
        <v/>
      </c>
      <c r="P411" s="1024" t="str">
        <f t="shared" si="21"/>
        <v/>
      </c>
      <c r="Q411" s="961" t="str">
        <f>IF(B411="","",IF(D411="","",N411*'Fatores de Emissão'!$E$252+'Combustão Móvel'!O411*'Fatores de Emissão'!$E$248+'Combustão Móvel'!P411*'Fatores de Emissão'!$E$249))</f>
        <v/>
      </c>
    </row>
    <row r="412" spans="1:17" outlineLevel="1" x14ac:dyDescent="0.35">
      <c r="B412" s="454"/>
      <c r="C412" s="194"/>
      <c r="D412" s="194"/>
      <c r="E412" s="342"/>
      <c r="F412" s="194"/>
      <c r="G412" s="342"/>
      <c r="H412" s="456"/>
      <c r="I412" s="456"/>
      <c r="J412" s="548" t="str">
        <f>IF(OR(D412="",D412="-"),"",VLOOKUP(D412,'Fatores de Emissão'!$C$130:$F$135,4,FALSE))</f>
        <v/>
      </c>
      <c r="K412" s="1024" t="str">
        <f>IF(OR(D412="",D412="-"),"",VLOOKUP(D412,'Fatores de Emissão'!$C$130:$E$135,3,FALSE))</f>
        <v/>
      </c>
      <c r="L412" s="1024" t="str">
        <f>IF(OR(D412="",D412="-"),"",VLOOKUP(D412,'Fatores de Emissão'!$C$130:$G$135,5,FALSE))</f>
        <v/>
      </c>
      <c r="M412" s="1024" t="str">
        <f>IF(OR(D412="",D412="-"),"",VLOOKUP(D412,'Fatores de Emissão'!$C$130:$I$135,7,FALSE))</f>
        <v/>
      </c>
      <c r="N412" s="1024" t="str">
        <f t="shared" si="19"/>
        <v/>
      </c>
      <c r="O412" s="1024" t="str">
        <f t="shared" si="20"/>
        <v/>
      </c>
      <c r="P412" s="1024" t="str">
        <f t="shared" si="21"/>
        <v/>
      </c>
      <c r="Q412" s="961" t="str">
        <f>IF(B412="","",IF(D412="","",N412*'Fatores de Emissão'!$E$252+'Combustão Móvel'!O412*'Fatores de Emissão'!$E$248+'Combustão Móvel'!P412*'Fatores de Emissão'!$E$249))</f>
        <v/>
      </c>
    </row>
    <row r="413" spans="1:17" outlineLevel="1" x14ac:dyDescent="0.35">
      <c r="B413" s="454"/>
      <c r="C413" s="194"/>
      <c r="D413" s="194"/>
      <c r="E413" s="342"/>
      <c r="F413" s="194"/>
      <c r="G413" s="342"/>
      <c r="H413" s="456"/>
      <c r="I413" s="456"/>
      <c r="J413" s="548" t="str">
        <f>IF(OR(D413="",D413="-"),"",VLOOKUP(D413,'Fatores de Emissão'!$C$130:$F$135,4,FALSE))</f>
        <v/>
      </c>
      <c r="K413" s="1024" t="str">
        <f>IF(OR(D413="",D413="-"),"",VLOOKUP(D413,'Fatores de Emissão'!$C$130:$E$135,3,FALSE))</f>
        <v/>
      </c>
      <c r="L413" s="1024" t="str">
        <f>IF(OR(D413="",D413="-"),"",VLOOKUP(D413,'Fatores de Emissão'!$C$130:$G$135,5,FALSE))</f>
        <v/>
      </c>
      <c r="M413" s="1024" t="str">
        <f>IF(OR(D413="",D413="-"),"",VLOOKUP(D413,'Fatores de Emissão'!$C$130:$I$135,7,FALSE))</f>
        <v/>
      </c>
      <c r="N413" s="1024" t="str">
        <f t="shared" si="19"/>
        <v/>
      </c>
      <c r="O413" s="1024" t="str">
        <f t="shared" si="20"/>
        <v/>
      </c>
      <c r="P413" s="1024" t="str">
        <f t="shared" si="21"/>
        <v/>
      </c>
      <c r="Q413" s="961" t="str">
        <f>IF(B413="","",IF(D413="","",N413*'Fatores de Emissão'!$E$252+'Combustão Móvel'!O413*'Fatores de Emissão'!$E$248+'Combustão Móvel'!P413*'Fatores de Emissão'!$E$249))</f>
        <v/>
      </c>
    </row>
    <row r="414" spans="1:17" hidden="1" outlineLevel="2" x14ac:dyDescent="0.35">
      <c r="B414" s="454"/>
      <c r="C414" s="194"/>
      <c r="D414" s="194"/>
      <c r="E414" s="342"/>
      <c r="F414" s="194"/>
      <c r="G414" s="342"/>
      <c r="H414" s="456"/>
      <c r="I414" s="456"/>
      <c r="J414" s="548" t="str">
        <f>IF(OR(D414="",D414="-"),"",VLOOKUP(D414,'Fatores de Emissão'!$C$130:$F$135,4,FALSE))</f>
        <v/>
      </c>
      <c r="K414" s="1024" t="str">
        <f>IF(OR(D414="",D414="-"),"",VLOOKUP(D414,'Fatores de Emissão'!$C$130:$E$135,3,FALSE))</f>
        <v/>
      </c>
      <c r="L414" s="1024" t="str">
        <f>IF(OR(D414="",D414="-"),"",VLOOKUP(D414,'Fatores de Emissão'!$C$130:$G$135,5,FALSE))</f>
        <v/>
      </c>
      <c r="M414" s="1024" t="str">
        <f>IF(OR(D414="",D414="-"),"",VLOOKUP(D414,'Fatores de Emissão'!$C$130:$I$135,7,FALSE))</f>
        <v/>
      </c>
      <c r="N414" s="1024" t="str">
        <f t="shared" si="19"/>
        <v/>
      </c>
      <c r="O414" s="1024" t="str">
        <f t="shared" si="20"/>
        <v/>
      </c>
      <c r="P414" s="1024" t="str">
        <f t="shared" si="21"/>
        <v/>
      </c>
      <c r="Q414" s="961" t="str">
        <f>IF(B414="","",IF(D414="","",N414*'Fatores de Emissão'!$E$252+'Combustão Móvel'!O414*'Fatores de Emissão'!$E$248+'Combustão Móvel'!P414*'Fatores de Emissão'!$E$249))</f>
        <v/>
      </c>
    </row>
    <row r="415" spans="1:17" hidden="1" outlineLevel="2" x14ac:dyDescent="0.35">
      <c r="B415" s="454"/>
      <c r="C415" s="194"/>
      <c r="D415" s="194"/>
      <c r="E415" s="342"/>
      <c r="F415" s="194"/>
      <c r="G415" s="342"/>
      <c r="H415" s="456"/>
      <c r="I415" s="456"/>
      <c r="J415" s="548" t="str">
        <f>IF(OR(D415="",D415="-"),"",VLOOKUP(D415,'Fatores de Emissão'!$C$130:$F$135,4,FALSE))</f>
        <v/>
      </c>
      <c r="K415" s="1024" t="str">
        <f>IF(OR(D415="",D415="-"),"",VLOOKUP(D415,'Fatores de Emissão'!$C$130:$E$135,3,FALSE))</f>
        <v/>
      </c>
      <c r="L415" s="1024" t="str">
        <f>IF(OR(D415="",D415="-"),"",VLOOKUP(D415,'Fatores de Emissão'!$C$130:$G$135,5,FALSE))</f>
        <v/>
      </c>
      <c r="M415" s="1024" t="str">
        <f>IF(OR(D415="",D415="-"),"",VLOOKUP(D415,'Fatores de Emissão'!$C$130:$I$135,7,FALSE))</f>
        <v/>
      </c>
      <c r="N415" s="1024" t="str">
        <f t="shared" si="19"/>
        <v/>
      </c>
      <c r="O415" s="1024" t="str">
        <f t="shared" si="20"/>
        <v/>
      </c>
      <c r="P415" s="1024" t="str">
        <f t="shared" si="21"/>
        <v/>
      </c>
      <c r="Q415" s="961" t="str">
        <f>IF(B415="","",IF(D415="","",N415*'Fatores de Emissão'!$E$252+'Combustão Móvel'!O415*'Fatores de Emissão'!$E$248+'Combustão Móvel'!P415*'Fatores de Emissão'!$E$249))</f>
        <v/>
      </c>
    </row>
    <row r="416" spans="1:17" hidden="1" outlineLevel="2" x14ac:dyDescent="0.35">
      <c r="B416" s="454"/>
      <c r="C416" s="194"/>
      <c r="D416" s="194"/>
      <c r="E416" s="342"/>
      <c r="F416" s="194"/>
      <c r="G416" s="342"/>
      <c r="H416" s="456"/>
      <c r="I416" s="456"/>
      <c r="J416" s="548" t="str">
        <f>IF(OR(D416="",D416="-"),"",VLOOKUP(D416,'Fatores de Emissão'!$C$130:$F$135,4,FALSE))</f>
        <v/>
      </c>
      <c r="K416" s="1024" t="str">
        <f>IF(OR(D416="",D416="-"),"",VLOOKUP(D416,'Fatores de Emissão'!$C$130:$E$135,3,FALSE))</f>
        <v/>
      </c>
      <c r="L416" s="1024" t="str">
        <f>IF(OR(D416="",D416="-"),"",VLOOKUP(D416,'Fatores de Emissão'!$C$130:$G$135,5,FALSE))</f>
        <v/>
      </c>
      <c r="M416" s="1024" t="str">
        <f>IF(OR(D416="",D416="-"),"",VLOOKUP(D416,'Fatores de Emissão'!$C$130:$I$135,7,FALSE))</f>
        <v/>
      </c>
      <c r="N416" s="1024" t="str">
        <f t="shared" si="19"/>
        <v/>
      </c>
      <c r="O416" s="1024" t="str">
        <f t="shared" si="20"/>
        <v/>
      </c>
      <c r="P416" s="1024" t="str">
        <f t="shared" si="21"/>
        <v/>
      </c>
      <c r="Q416" s="961" t="str">
        <f>IF(B416="","",IF(D416="","",N416*'Fatores de Emissão'!$E$252+'Combustão Móvel'!O416*'Fatores de Emissão'!$E$248+'Combustão Móvel'!P416*'Fatores de Emissão'!$E$249))</f>
        <v/>
      </c>
    </row>
    <row r="417" spans="2:17" hidden="1" outlineLevel="2" x14ac:dyDescent="0.35">
      <c r="B417" s="454"/>
      <c r="C417" s="194"/>
      <c r="D417" s="194"/>
      <c r="E417" s="342"/>
      <c r="F417" s="194"/>
      <c r="G417" s="342"/>
      <c r="H417" s="456"/>
      <c r="I417" s="456"/>
      <c r="J417" s="548" t="str">
        <f>IF(OR(D417="",D417="-"),"",VLOOKUP(D417,'Fatores de Emissão'!$C$130:$F$135,4,FALSE))</f>
        <v/>
      </c>
      <c r="K417" s="1024" t="str">
        <f>IF(OR(D417="",D417="-"),"",VLOOKUP(D417,'Fatores de Emissão'!$C$130:$E$135,3,FALSE))</f>
        <v/>
      </c>
      <c r="L417" s="1024" t="str">
        <f>IF(OR(D417="",D417="-"),"",VLOOKUP(D417,'Fatores de Emissão'!$C$130:$G$135,5,FALSE))</f>
        <v/>
      </c>
      <c r="M417" s="1024" t="str">
        <f>IF(OR(D417="",D417="-"),"",VLOOKUP(D417,'Fatores de Emissão'!$C$130:$I$135,7,FALSE))</f>
        <v/>
      </c>
      <c r="N417" s="1024" t="str">
        <f t="shared" si="19"/>
        <v/>
      </c>
      <c r="O417" s="1024" t="str">
        <f t="shared" si="20"/>
        <v/>
      </c>
      <c r="P417" s="1024" t="str">
        <f t="shared" si="21"/>
        <v/>
      </c>
      <c r="Q417" s="961" t="str">
        <f>IF(B417="","",IF(D417="","",N417*'Fatores de Emissão'!$E$252+'Combustão Móvel'!O417*'Fatores de Emissão'!$E$248+'Combustão Móvel'!P417*'Fatores de Emissão'!$E$249))</f>
        <v/>
      </c>
    </row>
    <row r="418" spans="2:17" hidden="1" outlineLevel="2" x14ac:dyDescent="0.35">
      <c r="B418" s="454"/>
      <c r="C418" s="194"/>
      <c r="D418" s="194"/>
      <c r="E418" s="342"/>
      <c r="F418" s="194"/>
      <c r="G418" s="342"/>
      <c r="H418" s="456"/>
      <c r="I418" s="456"/>
      <c r="J418" s="548" t="str">
        <f>IF(OR(D418="",D418="-"),"",VLOOKUP(D418,'Fatores de Emissão'!$C$130:$F$135,4,FALSE))</f>
        <v/>
      </c>
      <c r="K418" s="1024" t="str">
        <f>IF(OR(D418="",D418="-"),"",VLOOKUP(D418,'Fatores de Emissão'!$C$130:$E$135,3,FALSE))</f>
        <v/>
      </c>
      <c r="L418" s="1024" t="str">
        <f>IF(OR(D418="",D418="-"),"",VLOOKUP(D418,'Fatores de Emissão'!$C$130:$G$135,5,FALSE))</f>
        <v/>
      </c>
      <c r="M418" s="1024" t="str">
        <f>IF(OR(D418="",D418="-"),"",VLOOKUP(D418,'Fatores de Emissão'!$C$130:$I$135,7,FALSE))</f>
        <v/>
      </c>
      <c r="N418" s="1024" t="str">
        <f t="shared" si="19"/>
        <v/>
      </c>
      <c r="O418" s="1024" t="str">
        <f t="shared" si="20"/>
        <v/>
      </c>
      <c r="P418" s="1024" t="str">
        <f t="shared" si="21"/>
        <v/>
      </c>
      <c r="Q418" s="961" t="str">
        <f>IF(B418="","",IF(D418="","",N418*'Fatores de Emissão'!$E$252+'Combustão Móvel'!O418*'Fatores de Emissão'!$E$248+'Combustão Móvel'!P418*'Fatores de Emissão'!$E$249))</f>
        <v/>
      </c>
    </row>
    <row r="419" spans="2:17" hidden="1" outlineLevel="2" x14ac:dyDescent="0.35">
      <c r="B419" s="454"/>
      <c r="C419" s="194"/>
      <c r="D419" s="194"/>
      <c r="E419" s="342"/>
      <c r="F419" s="194"/>
      <c r="G419" s="342"/>
      <c r="H419" s="456"/>
      <c r="I419" s="456"/>
      <c r="J419" s="548" t="str">
        <f>IF(OR(D419="",D419="-"),"",VLOOKUP(D419,'Fatores de Emissão'!$C$130:$F$135,4,FALSE))</f>
        <v/>
      </c>
      <c r="K419" s="1024" t="str">
        <f>IF(OR(D419="",D419="-"),"",VLOOKUP(D419,'Fatores de Emissão'!$C$130:$E$135,3,FALSE))</f>
        <v/>
      </c>
      <c r="L419" s="1024" t="str">
        <f>IF(OR(D419="",D419="-"),"",VLOOKUP(D419,'Fatores de Emissão'!$C$130:$G$135,5,FALSE))</f>
        <v/>
      </c>
      <c r="M419" s="1024" t="str">
        <f>IF(OR(D419="",D419="-"),"",VLOOKUP(D419,'Fatores de Emissão'!$C$130:$I$135,7,FALSE))</f>
        <v/>
      </c>
      <c r="N419" s="1024" t="str">
        <f t="shared" si="19"/>
        <v/>
      </c>
      <c r="O419" s="1024" t="str">
        <f t="shared" si="20"/>
        <v/>
      </c>
      <c r="P419" s="1024" t="str">
        <f t="shared" si="21"/>
        <v/>
      </c>
      <c r="Q419" s="961" t="str">
        <f>IF(B419="","",IF(D419="","",N419*'Fatores de Emissão'!$E$252+'Combustão Móvel'!O419*'Fatores de Emissão'!$E$248+'Combustão Móvel'!P419*'Fatores de Emissão'!$E$249))</f>
        <v/>
      </c>
    </row>
    <row r="420" spans="2:17" hidden="1" outlineLevel="2" x14ac:dyDescent="0.35">
      <c r="B420" s="454"/>
      <c r="C420" s="194"/>
      <c r="D420" s="194"/>
      <c r="E420" s="342"/>
      <c r="F420" s="194"/>
      <c r="G420" s="342"/>
      <c r="H420" s="456"/>
      <c r="I420" s="456"/>
      <c r="J420" s="548" t="str">
        <f>IF(OR(D420="",D420="-"),"",VLOOKUP(D420,'Fatores de Emissão'!$C$130:$F$135,4,FALSE))</f>
        <v/>
      </c>
      <c r="K420" s="1024" t="str">
        <f>IF(OR(D420="",D420="-"),"",VLOOKUP(D420,'Fatores de Emissão'!$C$130:$E$135,3,FALSE))</f>
        <v/>
      </c>
      <c r="L420" s="1024" t="str">
        <f>IF(OR(D420="",D420="-"),"",VLOOKUP(D420,'Fatores de Emissão'!$C$130:$G$135,5,FALSE))</f>
        <v/>
      </c>
      <c r="M420" s="1024" t="str">
        <f>IF(OR(D420="",D420="-"),"",VLOOKUP(D420,'Fatores de Emissão'!$C$130:$I$135,7,FALSE))</f>
        <v/>
      </c>
      <c r="N420" s="1024" t="str">
        <f t="shared" si="19"/>
        <v/>
      </c>
      <c r="O420" s="1024" t="str">
        <f t="shared" si="20"/>
        <v/>
      </c>
      <c r="P420" s="1024" t="str">
        <f t="shared" si="21"/>
        <v/>
      </c>
      <c r="Q420" s="961" t="str">
        <f>IF(B420="","",IF(D420="","",N420*'Fatores de Emissão'!$E$252+'Combustão Móvel'!O420*'Fatores de Emissão'!$E$248+'Combustão Móvel'!P420*'Fatores de Emissão'!$E$249))</f>
        <v/>
      </c>
    </row>
    <row r="421" spans="2:17" hidden="1" outlineLevel="2" x14ac:dyDescent="0.35">
      <c r="B421" s="454"/>
      <c r="C421" s="194"/>
      <c r="D421" s="194"/>
      <c r="E421" s="342"/>
      <c r="F421" s="194"/>
      <c r="G421" s="342"/>
      <c r="H421" s="456"/>
      <c r="I421" s="456"/>
      <c r="J421" s="548" t="str">
        <f>IF(OR(D421="",D421="-"),"",VLOOKUP(D421,'Fatores de Emissão'!$C$130:$F$135,4,FALSE))</f>
        <v/>
      </c>
      <c r="K421" s="1024" t="str">
        <f>IF(OR(D421="",D421="-"),"",VLOOKUP(D421,'Fatores de Emissão'!$C$130:$E$135,3,FALSE))</f>
        <v/>
      </c>
      <c r="L421" s="1024" t="str">
        <f>IF(OR(D421="",D421="-"),"",VLOOKUP(D421,'Fatores de Emissão'!$C$130:$G$135,5,FALSE))</f>
        <v/>
      </c>
      <c r="M421" s="1024" t="str">
        <f>IF(OR(D421="",D421="-"),"",VLOOKUP(D421,'Fatores de Emissão'!$C$130:$I$135,7,FALSE))</f>
        <v/>
      </c>
      <c r="N421" s="1024" t="str">
        <f t="shared" si="19"/>
        <v/>
      </c>
      <c r="O421" s="1024" t="str">
        <f t="shared" si="20"/>
        <v/>
      </c>
      <c r="P421" s="1024" t="str">
        <f t="shared" si="21"/>
        <v/>
      </c>
      <c r="Q421" s="961" t="str">
        <f>IF(B421="","",IF(D421="","",N421*'Fatores de Emissão'!$E$252+'Combustão Móvel'!O421*'Fatores de Emissão'!$E$248+'Combustão Móvel'!P421*'Fatores de Emissão'!$E$249))</f>
        <v/>
      </c>
    </row>
    <row r="422" spans="2:17" hidden="1" outlineLevel="2" x14ac:dyDescent="0.35">
      <c r="B422" s="454"/>
      <c r="C422" s="194"/>
      <c r="D422" s="194"/>
      <c r="E422" s="342"/>
      <c r="F422" s="194"/>
      <c r="G422" s="342"/>
      <c r="H422" s="456"/>
      <c r="I422" s="456"/>
      <c r="J422" s="548" t="str">
        <f>IF(OR(D422="",D422="-"),"",VLOOKUP(D422,'Fatores de Emissão'!$C$130:$F$135,4,FALSE))</f>
        <v/>
      </c>
      <c r="K422" s="1024" t="str">
        <f>IF(OR(D422="",D422="-"),"",VLOOKUP(D422,'Fatores de Emissão'!$C$130:$E$135,3,FALSE))</f>
        <v/>
      </c>
      <c r="L422" s="1024" t="str">
        <f>IF(OR(D422="",D422="-"),"",VLOOKUP(D422,'Fatores de Emissão'!$C$130:$G$135,5,FALSE))</f>
        <v/>
      </c>
      <c r="M422" s="1024" t="str">
        <f>IF(OR(D422="",D422="-"),"",VLOOKUP(D422,'Fatores de Emissão'!$C$130:$I$135,7,FALSE))</f>
        <v/>
      </c>
      <c r="N422" s="1024" t="str">
        <f t="shared" si="19"/>
        <v/>
      </c>
      <c r="O422" s="1024" t="str">
        <f t="shared" si="20"/>
        <v/>
      </c>
      <c r="P422" s="1024" t="str">
        <f t="shared" si="21"/>
        <v/>
      </c>
      <c r="Q422" s="961" t="str">
        <f>IF(B422="","",IF(D422="","",N422*'Fatores de Emissão'!$E$252+'Combustão Móvel'!O422*'Fatores de Emissão'!$E$248+'Combustão Móvel'!P422*'Fatores de Emissão'!$E$249))</f>
        <v/>
      </c>
    </row>
    <row r="423" spans="2:17" hidden="1" outlineLevel="2" x14ac:dyDescent="0.35">
      <c r="B423" s="454"/>
      <c r="C423" s="194"/>
      <c r="D423" s="194"/>
      <c r="E423" s="342"/>
      <c r="F423" s="194"/>
      <c r="G423" s="342"/>
      <c r="H423" s="456"/>
      <c r="I423" s="456"/>
      <c r="J423" s="548" t="str">
        <f>IF(OR(D423="",D423="-"),"",VLOOKUP(D423,'Fatores de Emissão'!$C$130:$F$135,4,FALSE))</f>
        <v/>
      </c>
      <c r="K423" s="1024" t="str">
        <f>IF(OR(D423="",D423="-"),"",VLOOKUP(D423,'Fatores de Emissão'!$C$130:$E$135,3,FALSE))</f>
        <v/>
      </c>
      <c r="L423" s="1024" t="str">
        <f>IF(OR(D423="",D423="-"),"",VLOOKUP(D423,'Fatores de Emissão'!$C$130:$G$135,5,FALSE))</f>
        <v/>
      </c>
      <c r="M423" s="1024" t="str">
        <f>IF(OR(D423="",D423="-"),"",VLOOKUP(D423,'Fatores de Emissão'!$C$130:$I$135,7,FALSE))</f>
        <v/>
      </c>
      <c r="N423" s="1024" t="str">
        <f t="shared" si="19"/>
        <v/>
      </c>
      <c r="O423" s="1024" t="str">
        <f t="shared" si="20"/>
        <v/>
      </c>
      <c r="P423" s="1024" t="str">
        <f t="shared" si="21"/>
        <v/>
      </c>
      <c r="Q423" s="961" t="str">
        <f>IF(B423="","",IF(D423="","",N423*'Fatores de Emissão'!$E$252+'Combustão Móvel'!O423*'Fatores de Emissão'!$E$248+'Combustão Móvel'!P423*'Fatores de Emissão'!$E$249))</f>
        <v/>
      </c>
    </row>
    <row r="424" spans="2:17" hidden="1" outlineLevel="2" x14ac:dyDescent="0.35">
      <c r="B424" s="454"/>
      <c r="C424" s="194"/>
      <c r="D424" s="194"/>
      <c r="E424" s="342"/>
      <c r="F424" s="194"/>
      <c r="G424" s="342"/>
      <c r="H424" s="456"/>
      <c r="I424" s="456"/>
      <c r="J424" s="548" t="str">
        <f>IF(OR(D424="",D424="-"),"",VLOOKUP(D424,'Fatores de Emissão'!$C$130:$F$135,4,FALSE))</f>
        <v/>
      </c>
      <c r="K424" s="1024" t="str">
        <f>IF(OR(D424="",D424="-"),"",VLOOKUP(D424,'Fatores de Emissão'!$C$130:$E$135,3,FALSE))</f>
        <v/>
      </c>
      <c r="L424" s="1024" t="str">
        <f>IF(OR(D424="",D424="-"),"",VLOOKUP(D424,'Fatores de Emissão'!$C$130:$G$135,5,FALSE))</f>
        <v/>
      </c>
      <c r="M424" s="1024" t="str">
        <f>IF(OR(D424="",D424="-"),"",VLOOKUP(D424,'Fatores de Emissão'!$C$130:$I$135,7,FALSE))</f>
        <v/>
      </c>
      <c r="N424" s="1024" t="str">
        <f t="shared" si="19"/>
        <v/>
      </c>
      <c r="O424" s="1024" t="str">
        <f t="shared" si="20"/>
        <v/>
      </c>
      <c r="P424" s="1024" t="str">
        <f t="shared" si="21"/>
        <v/>
      </c>
      <c r="Q424" s="961" t="str">
        <f>IF(B424="","",IF(D424="","",N424*'Fatores de Emissão'!$E$252+'Combustão Móvel'!O424*'Fatores de Emissão'!$E$248+'Combustão Móvel'!P424*'Fatores de Emissão'!$E$249))</f>
        <v/>
      </c>
    </row>
    <row r="425" spans="2:17" hidden="1" outlineLevel="2" x14ac:dyDescent="0.35">
      <c r="B425" s="454"/>
      <c r="C425" s="194"/>
      <c r="D425" s="194"/>
      <c r="E425" s="342"/>
      <c r="F425" s="194"/>
      <c r="G425" s="342"/>
      <c r="H425" s="456"/>
      <c r="I425" s="456"/>
      <c r="J425" s="548" t="str">
        <f>IF(OR(D425="",D425="-"),"",VLOOKUP(D425,'Fatores de Emissão'!$C$130:$F$135,4,FALSE))</f>
        <v/>
      </c>
      <c r="K425" s="1024" t="str">
        <f>IF(OR(D425="",D425="-"),"",VLOOKUP(D425,'Fatores de Emissão'!$C$130:$E$135,3,FALSE))</f>
        <v/>
      </c>
      <c r="L425" s="1024" t="str">
        <f>IF(OR(D425="",D425="-"),"",VLOOKUP(D425,'Fatores de Emissão'!$C$130:$G$135,5,FALSE))</f>
        <v/>
      </c>
      <c r="M425" s="1024" t="str">
        <f>IF(OR(D425="",D425="-"),"",VLOOKUP(D425,'Fatores de Emissão'!$C$130:$I$135,7,FALSE))</f>
        <v/>
      </c>
      <c r="N425" s="1024" t="str">
        <f t="shared" si="19"/>
        <v/>
      </c>
      <c r="O425" s="1024" t="str">
        <f t="shared" si="20"/>
        <v/>
      </c>
      <c r="P425" s="1024" t="str">
        <f t="shared" si="21"/>
        <v/>
      </c>
      <c r="Q425" s="961" t="str">
        <f>IF(B425="","",IF(D425="","",N425*'Fatores de Emissão'!$E$252+'Combustão Móvel'!O425*'Fatores de Emissão'!$E$248+'Combustão Móvel'!P425*'Fatores de Emissão'!$E$249))</f>
        <v/>
      </c>
    </row>
    <row r="426" spans="2:17" hidden="1" outlineLevel="2" x14ac:dyDescent="0.35">
      <c r="B426" s="454"/>
      <c r="C426" s="194"/>
      <c r="D426" s="194"/>
      <c r="E426" s="342"/>
      <c r="F426" s="194"/>
      <c r="G426" s="342"/>
      <c r="H426" s="456"/>
      <c r="I426" s="456"/>
      <c r="J426" s="548" t="str">
        <f>IF(OR(D426="",D426="-"),"",VLOOKUP(D426,'Fatores de Emissão'!$C$130:$F$135,4,FALSE))</f>
        <v/>
      </c>
      <c r="K426" s="1024" t="str">
        <f>IF(OR(D426="",D426="-"),"",VLOOKUP(D426,'Fatores de Emissão'!$C$130:$E$135,3,FALSE))</f>
        <v/>
      </c>
      <c r="L426" s="1024" t="str">
        <f>IF(OR(D426="",D426="-"),"",VLOOKUP(D426,'Fatores de Emissão'!$C$130:$G$135,5,FALSE))</f>
        <v/>
      </c>
      <c r="M426" s="1024" t="str">
        <f>IF(OR(D426="",D426="-"),"",VLOOKUP(D426,'Fatores de Emissão'!$C$130:$I$135,7,FALSE))</f>
        <v/>
      </c>
      <c r="N426" s="1024" t="str">
        <f t="shared" si="19"/>
        <v/>
      </c>
      <c r="O426" s="1024" t="str">
        <f t="shared" si="20"/>
        <v/>
      </c>
      <c r="P426" s="1024" t="str">
        <f t="shared" si="21"/>
        <v/>
      </c>
      <c r="Q426" s="961" t="str">
        <f>IF(B426="","",IF(D426="","",N426*'Fatores de Emissão'!$E$252+'Combustão Móvel'!O426*'Fatores de Emissão'!$E$248+'Combustão Móvel'!P426*'Fatores de Emissão'!$E$249))</f>
        <v/>
      </c>
    </row>
    <row r="427" spans="2:17" hidden="1" outlineLevel="2" x14ac:dyDescent="0.35">
      <c r="B427" s="454"/>
      <c r="C427" s="194"/>
      <c r="D427" s="194"/>
      <c r="E427" s="342"/>
      <c r="F427" s="194"/>
      <c r="G427" s="342"/>
      <c r="H427" s="456"/>
      <c r="I427" s="456"/>
      <c r="J427" s="548" t="str">
        <f>IF(OR(D427="",D427="-"),"",VLOOKUP(D427,'Fatores de Emissão'!$C$130:$F$135,4,FALSE))</f>
        <v/>
      </c>
      <c r="K427" s="1024" t="str">
        <f>IF(OR(D427="",D427="-"),"",VLOOKUP(D427,'Fatores de Emissão'!$C$130:$E$135,3,FALSE))</f>
        <v/>
      </c>
      <c r="L427" s="1024" t="str">
        <f>IF(OR(D427="",D427="-"),"",VLOOKUP(D427,'Fatores de Emissão'!$C$130:$G$135,5,FALSE))</f>
        <v/>
      </c>
      <c r="M427" s="1024" t="str">
        <f>IF(OR(D427="",D427="-"),"",VLOOKUP(D427,'Fatores de Emissão'!$C$130:$I$135,7,FALSE))</f>
        <v/>
      </c>
      <c r="N427" s="1024" t="str">
        <f t="shared" si="19"/>
        <v/>
      </c>
      <c r="O427" s="1024" t="str">
        <f t="shared" si="20"/>
        <v/>
      </c>
      <c r="P427" s="1024" t="str">
        <f t="shared" si="21"/>
        <v/>
      </c>
      <c r="Q427" s="961" t="str">
        <f>IF(B427="","",IF(D427="","",N427*'Fatores de Emissão'!$E$252+'Combustão Móvel'!O427*'Fatores de Emissão'!$E$248+'Combustão Móvel'!P427*'Fatores de Emissão'!$E$249))</f>
        <v/>
      </c>
    </row>
    <row r="428" spans="2:17" hidden="1" outlineLevel="2" x14ac:dyDescent="0.35">
      <c r="B428" s="454"/>
      <c r="C428" s="194"/>
      <c r="D428" s="194"/>
      <c r="E428" s="342"/>
      <c r="F428" s="194"/>
      <c r="G428" s="342"/>
      <c r="H428" s="456"/>
      <c r="I428" s="456"/>
      <c r="J428" s="548" t="str">
        <f>IF(OR(D428="",D428="-"),"",VLOOKUP(D428,'Fatores de Emissão'!$C$130:$F$135,4,FALSE))</f>
        <v/>
      </c>
      <c r="K428" s="1024" t="str">
        <f>IF(OR(D428="",D428="-"),"",VLOOKUP(D428,'Fatores de Emissão'!$C$130:$E$135,3,FALSE))</f>
        <v/>
      </c>
      <c r="L428" s="1024" t="str">
        <f>IF(OR(D428="",D428="-"),"",VLOOKUP(D428,'Fatores de Emissão'!$C$130:$G$135,5,FALSE))</f>
        <v/>
      </c>
      <c r="M428" s="1024" t="str">
        <f>IF(OR(D428="",D428="-"),"",VLOOKUP(D428,'Fatores de Emissão'!$C$130:$I$135,7,FALSE))</f>
        <v/>
      </c>
      <c r="N428" s="1024" t="str">
        <f t="shared" si="19"/>
        <v/>
      </c>
      <c r="O428" s="1024" t="str">
        <f t="shared" si="20"/>
        <v/>
      </c>
      <c r="P428" s="1024" t="str">
        <f t="shared" si="21"/>
        <v/>
      </c>
      <c r="Q428" s="961" t="str">
        <f>IF(B428="","",IF(D428="","",N428*'Fatores de Emissão'!$E$252+'Combustão Móvel'!O428*'Fatores de Emissão'!$E$248+'Combustão Móvel'!P428*'Fatores de Emissão'!$E$249))</f>
        <v/>
      </c>
    </row>
    <row r="429" spans="2:17" hidden="1" outlineLevel="2" x14ac:dyDescent="0.35">
      <c r="B429" s="454"/>
      <c r="C429" s="194"/>
      <c r="D429" s="194"/>
      <c r="E429" s="342"/>
      <c r="F429" s="194"/>
      <c r="G429" s="342"/>
      <c r="H429" s="456"/>
      <c r="I429" s="456"/>
      <c r="J429" s="548" t="str">
        <f>IF(OR(D429="",D429="-"),"",VLOOKUP(D429,'Fatores de Emissão'!$C$130:$F$135,4,FALSE))</f>
        <v/>
      </c>
      <c r="K429" s="1024" t="str">
        <f>IF(OR(D429="",D429="-"),"",VLOOKUP(D429,'Fatores de Emissão'!$C$130:$E$135,3,FALSE))</f>
        <v/>
      </c>
      <c r="L429" s="1024" t="str">
        <f>IF(OR(D429="",D429="-"),"",VLOOKUP(D429,'Fatores de Emissão'!$C$130:$G$135,5,FALSE))</f>
        <v/>
      </c>
      <c r="M429" s="1024" t="str">
        <f>IF(OR(D429="",D429="-"),"",VLOOKUP(D429,'Fatores de Emissão'!$C$130:$I$135,7,FALSE))</f>
        <v/>
      </c>
      <c r="N429" s="1024" t="str">
        <f t="shared" si="19"/>
        <v/>
      </c>
      <c r="O429" s="1024" t="str">
        <f t="shared" si="20"/>
        <v/>
      </c>
      <c r="P429" s="1024" t="str">
        <f t="shared" si="21"/>
        <v/>
      </c>
      <c r="Q429" s="961" t="str">
        <f>IF(B429="","",IF(D429="","",N429*'Fatores de Emissão'!$E$252+'Combustão Móvel'!O429*'Fatores de Emissão'!$E$248+'Combustão Móvel'!P429*'Fatores de Emissão'!$E$249))</f>
        <v/>
      </c>
    </row>
    <row r="430" spans="2:17" hidden="1" outlineLevel="2" x14ac:dyDescent="0.35">
      <c r="B430" s="454"/>
      <c r="C430" s="194"/>
      <c r="D430" s="194"/>
      <c r="E430" s="342"/>
      <c r="F430" s="194"/>
      <c r="G430" s="342"/>
      <c r="H430" s="456"/>
      <c r="I430" s="456"/>
      <c r="J430" s="548" t="str">
        <f>IF(OR(D430="",D430="-"),"",VLOOKUP(D430,'Fatores de Emissão'!$C$130:$F$135,4,FALSE))</f>
        <v/>
      </c>
      <c r="K430" s="1024" t="str">
        <f>IF(OR(D430="",D430="-"),"",VLOOKUP(D430,'Fatores de Emissão'!$C$130:$E$135,3,FALSE))</f>
        <v/>
      </c>
      <c r="L430" s="1024" t="str">
        <f>IF(OR(D430="",D430="-"),"",VLOOKUP(D430,'Fatores de Emissão'!$C$130:$G$135,5,FALSE))</f>
        <v/>
      </c>
      <c r="M430" s="1024" t="str">
        <f>IF(OR(D430="",D430="-"),"",VLOOKUP(D430,'Fatores de Emissão'!$C$130:$I$135,7,FALSE))</f>
        <v/>
      </c>
      <c r="N430" s="1024" t="str">
        <f t="shared" si="19"/>
        <v/>
      </c>
      <c r="O430" s="1024" t="str">
        <f t="shared" si="20"/>
        <v/>
      </c>
      <c r="P430" s="1024" t="str">
        <f t="shared" si="21"/>
        <v/>
      </c>
      <c r="Q430" s="961" t="str">
        <f>IF(B430="","",IF(D430="","",N430*'Fatores de Emissão'!$E$252+'Combustão Móvel'!O430*'Fatores de Emissão'!$E$248+'Combustão Móvel'!P430*'Fatores de Emissão'!$E$249))</f>
        <v/>
      </c>
    </row>
    <row r="431" spans="2:17" hidden="1" outlineLevel="2" x14ac:dyDescent="0.35">
      <c r="B431" s="454"/>
      <c r="C431" s="194"/>
      <c r="D431" s="194"/>
      <c r="E431" s="342"/>
      <c r="F431" s="194"/>
      <c r="G431" s="342"/>
      <c r="H431" s="456"/>
      <c r="I431" s="456"/>
      <c r="J431" s="548" t="str">
        <f>IF(OR(D431="",D431="-"),"",VLOOKUP(D431,'Fatores de Emissão'!$C$130:$F$135,4,FALSE))</f>
        <v/>
      </c>
      <c r="K431" s="1024" t="str">
        <f>IF(OR(D431="",D431="-"),"",VLOOKUP(D431,'Fatores de Emissão'!$C$130:$E$135,3,FALSE))</f>
        <v/>
      </c>
      <c r="L431" s="1024" t="str">
        <f>IF(OR(D431="",D431="-"),"",VLOOKUP(D431,'Fatores de Emissão'!$C$130:$G$135,5,FALSE))</f>
        <v/>
      </c>
      <c r="M431" s="1024" t="str">
        <f>IF(OR(D431="",D431="-"),"",VLOOKUP(D431,'Fatores de Emissão'!$C$130:$I$135,7,FALSE))</f>
        <v/>
      </c>
      <c r="N431" s="1024" t="str">
        <f t="shared" si="19"/>
        <v/>
      </c>
      <c r="O431" s="1024" t="str">
        <f t="shared" si="20"/>
        <v/>
      </c>
      <c r="P431" s="1024" t="str">
        <f t="shared" si="21"/>
        <v/>
      </c>
      <c r="Q431" s="961" t="str">
        <f>IF(B431="","",IF(D431="","",N431*'Fatores de Emissão'!$E$252+'Combustão Móvel'!O431*'Fatores de Emissão'!$E$248+'Combustão Móvel'!P431*'Fatores de Emissão'!$E$249))</f>
        <v/>
      </c>
    </row>
    <row r="432" spans="2:17" hidden="1" outlineLevel="2" x14ac:dyDescent="0.35">
      <c r="B432" s="454"/>
      <c r="C432" s="194"/>
      <c r="D432" s="194"/>
      <c r="E432" s="342"/>
      <c r="F432" s="194"/>
      <c r="G432" s="342"/>
      <c r="H432" s="456"/>
      <c r="I432" s="456"/>
      <c r="J432" s="548" t="str">
        <f>IF(OR(D432="",D432="-"),"",VLOOKUP(D432,'Fatores de Emissão'!$C$130:$F$135,4,FALSE))</f>
        <v/>
      </c>
      <c r="K432" s="1024" t="str">
        <f>IF(OR(D432="",D432="-"),"",VLOOKUP(D432,'Fatores de Emissão'!$C$130:$E$135,3,FALSE))</f>
        <v/>
      </c>
      <c r="L432" s="1024" t="str">
        <f>IF(OR(D432="",D432="-"),"",VLOOKUP(D432,'Fatores de Emissão'!$C$130:$G$135,5,FALSE))</f>
        <v/>
      </c>
      <c r="M432" s="1024" t="str">
        <f>IF(OR(D432="",D432="-"),"",VLOOKUP(D432,'Fatores de Emissão'!$C$130:$I$135,7,FALSE))</f>
        <v/>
      </c>
      <c r="N432" s="1024" t="str">
        <f t="shared" si="19"/>
        <v/>
      </c>
      <c r="O432" s="1024" t="str">
        <f t="shared" si="20"/>
        <v/>
      </c>
      <c r="P432" s="1024" t="str">
        <f t="shared" si="21"/>
        <v/>
      </c>
      <c r="Q432" s="961" t="str">
        <f>IF(B432="","",IF(D432="","",N432*'Fatores de Emissão'!$E$252+'Combustão Móvel'!O432*'Fatores de Emissão'!$E$248+'Combustão Móvel'!P432*'Fatores de Emissão'!$E$249))</f>
        <v/>
      </c>
    </row>
    <row r="433" spans="2:17" hidden="1" outlineLevel="2" x14ac:dyDescent="0.35">
      <c r="B433" s="454"/>
      <c r="C433" s="194"/>
      <c r="D433" s="194"/>
      <c r="E433" s="342"/>
      <c r="F433" s="194"/>
      <c r="G433" s="342"/>
      <c r="H433" s="456"/>
      <c r="I433" s="456"/>
      <c r="J433" s="548" t="str">
        <f>IF(OR(D433="",D433="-"),"",VLOOKUP(D433,'Fatores de Emissão'!$C$130:$F$135,4,FALSE))</f>
        <v/>
      </c>
      <c r="K433" s="1024" t="str">
        <f>IF(OR(D433="",D433="-"),"",VLOOKUP(D433,'Fatores de Emissão'!$C$130:$E$135,3,FALSE))</f>
        <v/>
      </c>
      <c r="L433" s="1024" t="str">
        <f>IF(OR(D433="",D433="-"),"",VLOOKUP(D433,'Fatores de Emissão'!$C$130:$G$135,5,FALSE))</f>
        <v/>
      </c>
      <c r="M433" s="1024" t="str">
        <f>IF(OR(D433="",D433="-"),"",VLOOKUP(D433,'Fatores de Emissão'!$C$130:$I$135,7,FALSE))</f>
        <v/>
      </c>
      <c r="N433" s="1024" t="str">
        <f t="shared" si="19"/>
        <v/>
      </c>
      <c r="O433" s="1024" t="str">
        <f t="shared" si="20"/>
        <v/>
      </c>
      <c r="P433" s="1024" t="str">
        <f t="shared" si="21"/>
        <v/>
      </c>
      <c r="Q433" s="961" t="str">
        <f>IF(B433="","",IF(D433="","",N433*'Fatores de Emissão'!$E$252+'Combustão Móvel'!O433*'Fatores de Emissão'!$E$248+'Combustão Móvel'!P433*'Fatores de Emissão'!$E$249))</f>
        <v/>
      </c>
    </row>
    <row r="434" spans="2:17" hidden="1" outlineLevel="2" x14ac:dyDescent="0.35">
      <c r="B434" s="454"/>
      <c r="C434" s="194"/>
      <c r="D434" s="194"/>
      <c r="E434" s="342"/>
      <c r="F434" s="194"/>
      <c r="G434" s="342"/>
      <c r="H434" s="456"/>
      <c r="I434" s="456"/>
      <c r="J434" s="548" t="str">
        <f>IF(OR(D434="",D434="-"),"",VLOOKUP(D434,'Fatores de Emissão'!$C$130:$F$135,4,FALSE))</f>
        <v/>
      </c>
      <c r="K434" s="1024" t="str">
        <f>IF(OR(D434="",D434="-"),"",VLOOKUP(D434,'Fatores de Emissão'!$C$130:$E$135,3,FALSE))</f>
        <v/>
      </c>
      <c r="L434" s="1024" t="str">
        <f>IF(OR(D434="",D434="-"),"",VLOOKUP(D434,'Fatores de Emissão'!$C$130:$G$135,5,FALSE))</f>
        <v/>
      </c>
      <c r="M434" s="1024" t="str">
        <f>IF(OR(D434="",D434="-"),"",VLOOKUP(D434,'Fatores de Emissão'!$C$130:$I$135,7,FALSE))</f>
        <v/>
      </c>
      <c r="N434" s="1024" t="str">
        <f t="shared" si="19"/>
        <v/>
      </c>
      <c r="O434" s="1024" t="str">
        <f t="shared" si="20"/>
        <v/>
      </c>
      <c r="P434" s="1024" t="str">
        <f t="shared" si="21"/>
        <v/>
      </c>
      <c r="Q434" s="961" t="str">
        <f>IF(B434="","",IF(D434="","",N434*'Fatores de Emissão'!$E$252+'Combustão Móvel'!O434*'Fatores de Emissão'!$E$248+'Combustão Móvel'!P434*'Fatores de Emissão'!$E$249))</f>
        <v/>
      </c>
    </row>
    <row r="435" spans="2:17" hidden="1" outlineLevel="2" x14ac:dyDescent="0.35">
      <c r="B435" s="454"/>
      <c r="C435" s="194"/>
      <c r="D435" s="194"/>
      <c r="E435" s="342"/>
      <c r="F435" s="194"/>
      <c r="G435" s="342"/>
      <c r="H435" s="456"/>
      <c r="I435" s="456"/>
      <c r="J435" s="548" t="str">
        <f>IF(OR(D435="",D435="-"),"",VLOOKUP(D435,'Fatores de Emissão'!$C$130:$F$135,4,FALSE))</f>
        <v/>
      </c>
      <c r="K435" s="1024" t="str">
        <f>IF(OR(D435="",D435="-"),"",VLOOKUP(D435,'Fatores de Emissão'!$C$130:$E$135,3,FALSE))</f>
        <v/>
      </c>
      <c r="L435" s="1024" t="str">
        <f>IF(OR(D435="",D435="-"),"",VLOOKUP(D435,'Fatores de Emissão'!$C$130:$G$135,5,FALSE))</f>
        <v/>
      </c>
      <c r="M435" s="1024" t="str">
        <f>IF(OR(D435="",D435="-"),"",VLOOKUP(D435,'Fatores de Emissão'!$C$130:$I$135,7,FALSE))</f>
        <v/>
      </c>
      <c r="N435" s="1024" t="str">
        <f t="shared" si="19"/>
        <v/>
      </c>
      <c r="O435" s="1024" t="str">
        <f t="shared" si="20"/>
        <v/>
      </c>
      <c r="P435" s="1024" t="str">
        <f t="shared" si="21"/>
        <v/>
      </c>
      <c r="Q435" s="961" t="str">
        <f>IF(B435="","",IF(D435="","",N435*'Fatores de Emissão'!$E$252+'Combustão Móvel'!O435*'Fatores de Emissão'!$E$248+'Combustão Móvel'!P435*'Fatores de Emissão'!$E$249))</f>
        <v/>
      </c>
    </row>
    <row r="436" spans="2:17" hidden="1" outlineLevel="2" x14ac:dyDescent="0.35">
      <c r="B436" s="454"/>
      <c r="C436" s="194"/>
      <c r="D436" s="194"/>
      <c r="E436" s="342"/>
      <c r="F436" s="194"/>
      <c r="G436" s="342"/>
      <c r="H436" s="456"/>
      <c r="I436" s="456"/>
      <c r="J436" s="548" t="str">
        <f>IF(OR(D436="",D436="-"),"",VLOOKUP(D436,'Fatores de Emissão'!$C$130:$F$135,4,FALSE))</f>
        <v/>
      </c>
      <c r="K436" s="1024" t="str">
        <f>IF(OR(D436="",D436="-"),"",VLOOKUP(D436,'Fatores de Emissão'!$C$130:$E$135,3,FALSE))</f>
        <v/>
      </c>
      <c r="L436" s="1024" t="str">
        <f>IF(OR(D436="",D436="-"),"",VLOOKUP(D436,'Fatores de Emissão'!$C$130:$G$135,5,FALSE))</f>
        <v/>
      </c>
      <c r="M436" s="1024" t="str">
        <f>IF(OR(D436="",D436="-"),"",VLOOKUP(D436,'Fatores de Emissão'!$C$130:$I$135,7,FALSE))</f>
        <v/>
      </c>
      <c r="N436" s="1024" t="str">
        <f t="shared" si="19"/>
        <v/>
      </c>
      <c r="O436" s="1024" t="str">
        <f t="shared" si="20"/>
        <v/>
      </c>
      <c r="P436" s="1024" t="str">
        <f t="shared" si="21"/>
        <v/>
      </c>
      <c r="Q436" s="961" t="str">
        <f>IF(B436="","",IF(D436="","",N436*'Fatores de Emissão'!$E$252+'Combustão Móvel'!O436*'Fatores de Emissão'!$E$248+'Combustão Móvel'!P436*'Fatores de Emissão'!$E$249))</f>
        <v/>
      </c>
    </row>
    <row r="437" spans="2:17" hidden="1" outlineLevel="2" x14ac:dyDescent="0.35">
      <c r="B437" s="454"/>
      <c r="C437" s="194"/>
      <c r="D437" s="194"/>
      <c r="E437" s="342"/>
      <c r="F437" s="194"/>
      <c r="G437" s="342"/>
      <c r="H437" s="456"/>
      <c r="I437" s="456"/>
      <c r="J437" s="548" t="str">
        <f>IF(OR(D437="",D437="-"),"",VLOOKUP(D437,'Fatores de Emissão'!$C$130:$F$135,4,FALSE))</f>
        <v/>
      </c>
      <c r="K437" s="1024" t="str">
        <f>IF(OR(D437="",D437="-"),"",VLOOKUP(D437,'Fatores de Emissão'!$C$130:$E$135,3,FALSE))</f>
        <v/>
      </c>
      <c r="L437" s="1024" t="str">
        <f>IF(OR(D437="",D437="-"),"",VLOOKUP(D437,'Fatores de Emissão'!$C$130:$G$135,5,FALSE))</f>
        <v/>
      </c>
      <c r="M437" s="1024" t="str">
        <f>IF(OR(D437="",D437="-"),"",VLOOKUP(D437,'Fatores de Emissão'!$C$130:$I$135,7,FALSE))</f>
        <v/>
      </c>
      <c r="N437" s="1024" t="str">
        <f t="shared" si="19"/>
        <v/>
      </c>
      <c r="O437" s="1024" t="str">
        <f t="shared" si="20"/>
        <v/>
      </c>
      <c r="P437" s="1024" t="str">
        <f t="shared" si="21"/>
        <v/>
      </c>
      <c r="Q437" s="961" t="str">
        <f>IF(B437="","",IF(D437="","",N437*'Fatores de Emissão'!$E$252+'Combustão Móvel'!O437*'Fatores de Emissão'!$E$248+'Combustão Móvel'!P437*'Fatores de Emissão'!$E$249))</f>
        <v/>
      </c>
    </row>
    <row r="438" spans="2:17" hidden="1" outlineLevel="2" x14ac:dyDescent="0.35">
      <c r="B438" s="454"/>
      <c r="C438" s="194"/>
      <c r="D438" s="194"/>
      <c r="E438" s="342"/>
      <c r="F438" s="194"/>
      <c r="G438" s="342"/>
      <c r="H438" s="456"/>
      <c r="I438" s="456"/>
      <c r="J438" s="548" t="str">
        <f>IF(OR(D438="",D438="-"),"",VLOOKUP(D438,'Fatores de Emissão'!$C$130:$F$135,4,FALSE))</f>
        <v/>
      </c>
      <c r="K438" s="1024" t="str">
        <f>IF(OR(D438="",D438="-"),"",VLOOKUP(D438,'Fatores de Emissão'!$C$130:$E$135,3,FALSE))</f>
        <v/>
      </c>
      <c r="L438" s="1024" t="str">
        <f>IF(OR(D438="",D438="-"),"",VLOOKUP(D438,'Fatores de Emissão'!$C$130:$G$135,5,FALSE))</f>
        <v/>
      </c>
      <c r="M438" s="1024" t="str">
        <f>IF(OR(D438="",D438="-"),"",VLOOKUP(D438,'Fatores de Emissão'!$C$130:$I$135,7,FALSE))</f>
        <v/>
      </c>
      <c r="N438" s="1024" t="str">
        <f t="shared" si="19"/>
        <v/>
      </c>
      <c r="O438" s="1024" t="str">
        <f t="shared" si="20"/>
        <v/>
      </c>
      <c r="P438" s="1024" t="str">
        <f t="shared" si="21"/>
        <v/>
      </c>
      <c r="Q438" s="961" t="str">
        <f>IF(B438="","",IF(D438="","",N438*'Fatores de Emissão'!$E$252+'Combustão Móvel'!O438*'Fatores de Emissão'!$E$248+'Combustão Móvel'!P438*'Fatores de Emissão'!$E$249))</f>
        <v/>
      </c>
    </row>
    <row r="439" spans="2:17" hidden="1" outlineLevel="2" x14ac:dyDescent="0.35">
      <c r="B439" s="454"/>
      <c r="C439" s="194"/>
      <c r="D439" s="194"/>
      <c r="E439" s="342"/>
      <c r="F439" s="194"/>
      <c r="G439" s="342"/>
      <c r="H439" s="456"/>
      <c r="I439" s="456"/>
      <c r="J439" s="548" t="str">
        <f>IF(OR(D439="",D439="-"),"",VLOOKUP(D439,'Fatores de Emissão'!$C$130:$F$135,4,FALSE))</f>
        <v/>
      </c>
      <c r="K439" s="1024" t="str">
        <f>IF(OR(D439="",D439="-"),"",VLOOKUP(D439,'Fatores de Emissão'!$C$130:$E$135,3,FALSE))</f>
        <v/>
      </c>
      <c r="L439" s="1024" t="str">
        <f>IF(OR(D439="",D439="-"),"",VLOOKUP(D439,'Fatores de Emissão'!$C$130:$G$135,5,FALSE))</f>
        <v/>
      </c>
      <c r="M439" s="1024" t="str">
        <f>IF(OR(D439="",D439="-"),"",VLOOKUP(D439,'Fatores de Emissão'!$C$130:$I$135,7,FALSE))</f>
        <v/>
      </c>
      <c r="N439" s="1024" t="str">
        <f t="shared" si="19"/>
        <v/>
      </c>
      <c r="O439" s="1024" t="str">
        <f t="shared" si="20"/>
        <v/>
      </c>
      <c r="P439" s="1024" t="str">
        <f t="shared" si="21"/>
        <v/>
      </c>
      <c r="Q439" s="961" t="str">
        <f>IF(B439="","",IF(D439="","",N439*'Fatores de Emissão'!$E$252+'Combustão Móvel'!O439*'Fatores de Emissão'!$E$248+'Combustão Móvel'!P439*'Fatores de Emissão'!$E$249))</f>
        <v/>
      </c>
    </row>
    <row r="440" spans="2:17" hidden="1" outlineLevel="2" x14ac:dyDescent="0.35">
      <c r="B440" s="454"/>
      <c r="C440" s="194"/>
      <c r="D440" s="194"/>
      <c r="E440" s="342"/>
      <c r="F440" s="194"/>
      <c r="G440" s="342"/>
      <c r="H440" s="456"/>
      <c r="I440" s="456"/>
      <c r="J440" s="548" t="str">
        <f>IF(OR(D440="",D440="-"),"",VLOOKUP(D440,'Fatores de Emissão'!$C$130:$F$135,4,FALSE))</f>
        <v/>
      </c>
      <c r="K440" s="1024" t="str">
        <f>IF(OR(D440="",D440="-"),"",VLOOKUP(D440,'Fatores de Emissão'!$C$130:$E$135,3,FALSE))</f>
        <v/>
      </c>
      <c r="L440" s="1024" t="str">
        <f>IF(OR(D440="",D440="-"),"",VLOOKUP(D440,'Fatores de Emissão'!$C$130:$G$135,5,FALSE))</f>
        <v/>
      </c>
      <c r="M440" s="1024" t="str">
        <f>IF(OR(D440="",D440="-"),"",VLOOKUP(D440,'Fatores de Emissão'!$C$130:$I$135,7,FALSE))</f>
        <v/>
      </c>
      <c r="N440" s="1024" t="str">
        <f t="shared" si="19"/>
        <v/>
      </c>
      <c r="O440" s="1024" t="str">
        <f t="shared" si="20"/>
        <v/>
      </c>
      <c r="P440" s="1024" t="str">
        <f t="shared" si="21"/>
        <v/>
      </c>
      <c r="Q440" s="961" t="str">
        <f>IF(B440="","",IF(D440="","",N440*'Fatores de Emissão'!$E$252+'Combustão Móvel'!O440*'Fatores de Emissão'!$E$248+'Combustão Móvel'!P440*'Fatores de Emissão'!$E$249))</f>
        <v/>
      </c>
    </row>
    <row r="441" spans="2:17" hidden="1" outlineLevel="2" x14ac:dyDescent="0.35">
      <c r="B441" s="454"/>
      <c r="C441" s="194"/>
      <c r="D441" s="194"/>
      <c r="E441" s="342"/>
      <c r="F441" s="194"/>
      <c r="G441" s="342"/>
      <c r="H441" s="456"/>
      <c r="I441" s="456"/>
      <c r="J441" s="548" t="str">
        <f>IF(OR(D441="",D441="-"),"",VLOOKUP(D441,'Fatores de Emissão'!$C$130:$F$135,4,FALSE))</f>
        <v/>
      </c>
      <c r="K441" s="1024" t="str">
        <f>IF(OR(D441="",D441="-"),"",VLOOKUP(D441,'Fatores de Emissão'!$C$130:$E$135,3,FALSE))</f>
        <v/>
      </c>
      <c r="L441" s="1024" t="str">
        <f>IF(OR(D441="",D441="-"),"",VLOOKUP(D441,'Fatores de Emissão'!$C$130:$G$135,5,FALSE))</f>
        <v/>
      </c>
      <c r="M441" s="1024" t="str">
        <f>IF(OR(D441="",D441="-"),"",VLOOKUP(D441,'Fatores de Emissão'!$C$130:$I$135,7,FALSE))</f>
        <v/>
      </c>
      <c r="N441" s="1024" t="str">
        <f t="shared" si="19"/>
        <v/>
      </c>
      <c r="O441" s="1024" t="str">
        <f t="shared" si="20"/>
        <v/>
      </c>
      <c r="P441" s="1024" t="str">
        <f t="shared" si="21"/>
        <v/>
      </c>
      <c r="Q441" s="961" t="str">
        <f>IF(B441="","",IF(D441="","",N441*'Fatores de Emissão'!$E$252+'Combustão Móvel'!O441*'Fatores de Emissão'!$E$248+'Combustão Móvel'!P441*'Fatores de Emissão'!$E$249))</f>
        <v/>
      </c>
    </row>
    <row r="442" spans="2:17" hidden="1" outlineLevel="2" x14ac:dyDescent="0.35">
      <c r="B442" s="454"/>
      <c r="C442" s="194"/>
      <c r="D442" s="194"/>
      <c r="E442" s="342"/>
      <c r="F442" s="194"/>
      <c r="G442" s="342"/>
      <c r="H442" s="456"/>
      <c r="I442" s="456"/>
      <c r="J442" s="548" t="str">
        <f>IF(OR(D442="",D442="-"),"",VLOOKUP(D442,'Fatores de Emissão'!$C$130:$F$135,4,FALSE))</f>
        <v/>
      </c>
      <c r="K442" s="1024" t="str">
        <f>IF(OR(D442="",D442="-"),"",VLOOKUP(D442,'Fatores de Emissão'!$C$130:$E$135,3,FALSE))</f>
        <v/>
      </c>
      <c r="L442" s="1024" t="str">
        <f>IF(OR(D442="",D442="-"),"",VLOOKUP(D442,'Fatores de Emissão'!$C$130:$G$135,5,FALSE))</f>
        <v/>
      </c>
      <c r="M442" s="1024" t="str">
        <f>IF(OR(D442="",D442="-"),"",VLOOKUP(D442,'Fatores de Emissão'!$C$130:$I$135,7,FALSE))</f>
        <v/>
      </c>
      <c r="N442" s="1024" t="str">
        <f t="shared" si="19"/>
        <v/>
      </c>
      <c r="O442" s="1024" t="str">
        <f t="shared" si="20"/>
        <v/>
      </c>
      <c r="P442" s="1024" t="str">
        <f t="shared" si="21"/>
        <v/>
      </c>
      <c r="Q442" s="961" t="str">
        <f>IF(B442="","",IF(D442="","",N442*'Fatores de Emissão'!$E$252+'Combustão Móvel'!O442*'Fatores de Emissão'!$E$248+'Combustão Móvel'!P442*'Fatores de Emissão'!$E$249))</f>
        <v/>
      </c>
    </row>
    <row r="443" spans="2:17" hidden="1" outlineLevel="2" x14ac:dyDescent="0.35">
      <c r="B443" s="454"/>
      <c r="C443" s="194"/>
      <c r="D443" s="194"/>
      <c r="E443" s="342"/>
      <c r="F443" s="194"/>
      <c r="G443" s="342"/>
      <c r="H443" s="456"/>
      <c r="I443" s="456"/>
      <c r="J443" s="548" t="str">
        <f>IF(OR(D443="",D443="-"),"",VLOOKUP(D443,'Fatores de Emissão'!$C$130:$F$135,4,FALSE))</f>
        <v/>
      </c>
      <c r="K443" s="1024" t="str">
        <f>IF(OR(D443="",D443="-"),"",VLOOKUP(D443,'Fatores de Emissão'!$C$130:$E$135,3,FALSE))</f>
        <v/>
      </c>
      <c r="L443" s="1024" t="str">
        <f>IF(OR(D443="",D443="-"),"",VLOOKUP(D443,'Fatores de Emissão'!$C$130:$G$135,5,FALSE))</f>
        <v/>
      </c>
      <c r="M443" s="1024" t="str">
        <f>IF(OR(D443="",D443="-"),"",VLOOKUP(D443,'Fatores de Emissão'!$C$130:$I$135,7,FALSE))</f>
        <v/>
      </c>
      <c r="N443" s="1024" t="str">
        <f t="shared" si="19"/>
        <v/>
      </c>
      <c r="O443" s="1024" t="str">
        <f t="shared" si="20"/>
        <v/>
      </c>
      <c r="P443" s="1024" t="str">
        <f t="shared" si="21"/>
        <v/>
      </c>
      <c r="Q443" s="961" t="str">
        <f>IF(B443="","",IF(D443="","",N443*'Fatores de Emissão'!$E$252+'Combustão Móvel'!O443*'Fatores de Emissão'!$E$248+'Combustão Móvel'!P443*'Fatores de Emissão'!$E$249))</f>
        <v/>
      </c>
    </row>
    <row r="444" spans="2:17" hidden="1" outlineLevel="2" x14ac:dyDescent="0.35">
      <c r="B444" s="454"/>
      <c r="C444" s="194"/>
      <c r="D444" s="194"/>
      <c r="E444" s="342"/>
      <c r="F444" s="194"/>
      <c r="G444" s="342"/>
      <c r="H444" s="456"/>
      <c r="I444" s="456"/>
      <c r="J444" s="548" t="str">
        <f>IF(OR(D444="",D444="-"),"",VLOOKUP(D444,'Fatores de Emissão'!$C$130:$F$135,4,FALSE))</f>
        <v/>
      </c>
      <c r="K444" s="1024" t="str">
        <f>IF(OR(D444="",D444="-"),"",VLOOKUP(D444,'Fatores de Emissão'!$C$130:$E$135,3,FALSE))</f>
        <v/>
      </c>
      <c r="L444" s="1024" t="str">
        <f>IF(OR(D444="",D444="-"),"",VLOOKUP(D444,'Fatores de Emissão'!$C$130:$G$135,5,FALSE))</f>
        <v/>
      </c>
      <c r="M444" s="1024" t="str">
        <f>IF(OR(D444="",D444="-"),"",VLOOKUP(D444,'Fatores de Emissão'!$C$130:$I$135,7,FALSE))</f>
        <v/>
      </c>
      <c r="N444" s="1024" t="str">
        <f t="shared" si="19"/>
        <v/>
      </c>
      <c r="O444" s="1024" t="str">
        <f t="shared" si="20"/>
        <v/>
      </c>
      <c r="P444" s="1024" t="str">
        <f t="shared" si="21"/>
        <v/>
      </c>
      <c r="Q444" s="961" t="str">
        <f>IF(B444="","",IF(D444="","",N444*'Fatores de Emissão'!$E$252+'Combustão Móvel'!O444*'Fatores de Emissão'!$E$248+'Combustão Móvel'!P444*'Fatores de Emissão'!$E$249))</f>
        <v/>
      </c>
    </row>
    <row r="445" spans="2:17" hidden="1" outlineLevel="2" x14ac:dyDescent="0.35">
      <c r="B445" s="454"/>
      <c r="C445" s="194"/>
      <c r="D445" s="194"/>
      <c r="E445" s="342"/>
      <c r="F445" s="194"/>
      <c r="G445" s="342"/>
      <c r="H445" s="456"/>
      <c r="I445" s="456"/>
      <c r="J445" s="548" t="str">
        <f>IF(OR(D445="",D445="-"),"",VLOOKUP(D445,'Fatores de Emissão'!$C$130:$F$135,4,FALSE))</f>
        <v/>
      </c>
      <c r="K445" s="1024" t="str">
        <f>IF(OR(D445="",D445="-"),"",VLOOKUP(D445,'Fatores de Emissão'!$C$130:$E$135,3,FALSE))</f>
        <v/>
      </c>
      <c r="L445" s="1024" t="str">
        <f>IF(OR(D445="",D445="-"),"",VLOOKUP(D445,'Fatores de Emissão'!$C$130:$G$135,5,FALSE))</f>
        <v/>
      </c>
      <c r="M445" s="1024" t="str">
        <f>IF(OR(D445="",D445="-"),"",VLOOKUP(D445,'Fatores de Emissão'!$C$130:$I$135,7,FALSE))</f>
        <v/>
      </c>
      <c r="N445" s="1024" t="str">
        <f t="shared" si="19"/>
        <v/>
      </c>
      <c r="O445" s="1024" t="str">
        <f t="shared" si="20"/>
        <v/>
      </c>
      <c r="P445" s="1024" t="str">
        <f t="shared" si="21"/>
        <v/>
      </c>
      <c r="Q445" s="961" t="str">
        <f>IF(B445="","",IF(D445="","",N445*'Fatores de Emissão'!$E$252+'Combustão Móvel'!O445*'Fatores de Emissão'!$E$248+'Combustão Móvel'!P445*'Fatores de Emissão'!$E$249))</f>
        <v/>
      </c>
    </row>
    <row r="446" spans="2:17" hidden="1" outlineLevel="2" x14ac:dyDescent="0.35">
      <c r="B446" s="454"/>
      <c r="C446" s="194"/>
      <c r="D446" s="194"/>
      <c r="E446" s="342"/>
      <c r="F446" s="194"/>
      <c r="G446" s="342"/>
      <c r="H446" s="456"/>
      <c r="I446" s="456"/>
      <c r="J446" s="548" t="str">
        <f>IF(OR(D446="",D446="-"),"",VLOOKUP(D446,'Fatores de Emissão'!$C$130:$F$135,4,FALSE))</f>
        <v/>
      </c>
      <c r="K446" s="1024" t="str">
        <f>IF(OR(D446="",D446="-"),"",VLOOKUP(D446,'Fatores de Emissão'!$C$130:$E$135,3,FALSE))</f>
        <v/>
      </c>
      <c r="L446" s="1024" t="str">
        <f>IF(OR(D446="",D446="-"),"",VLOOKUP(D446,'Fatores de Emissão'!$C$130:$G$135,5,FALSE))</f>
        <v/>
      </c>
      <c r="M446" s="1024" t="str">
        <f>IF(OR(D446="",D446="-"),"",VLOOKUP(D446,'Fatores de Emissão'!$C$130:$I$135,7,FALSE))</f>
        <v/>
      </c>
      <c r="N446" s="1024" t="str">
        <f t="shared" si="19"/>
        <v/>
      </c>
      <c r="O446" s="1024" t="str">
        <f t="shared" si="20"/>
        <v/>
      </c>
      <c r="P446" s="1024" t="str">
        <f t="shared" si="21"/>
        <v/>
      </c>
      <c r="Q446" s="961" t="str">
        <f>IF(B446="","",IF(D446="","",N446*'Fatores de Emissão'!$E$252+'Combustão Móvel'!O446*'Fatores de Emissão'!$E$248+'Combustão Móvel'!P446*'Fatores de Emissão'!$E$249))</f>
        <v/>
      </c>
    </row>
    <row r="447" spans="2:17" hidden="1" outlineLevel="2" x14ac:dyDescent="0.35">
      <c r="B447" s="454"/>
      <c r="C447" s="194"/>
      <c r="D447" s="194"/>
      <c r="E447" s="342"/>
      <c r="F447" s="194"/>
      <c r="G447" s="342"/>
      <c r="H447" s="456"/>
      <c r="I447" s="456"/>
      <c r="J447" s="548" t="str">
        <f>IF(OR(D447="",D447="-"),"",VLOOKUP(D447,'Fatores de Emissão'!$C$130:$F$135,4,FALSE))</f>
        <v/>
      </c>
      <c r="K447" s="1024" t="str">
        <f>IF(OR(D447="",D447="-"),"",VLOOKUP(D447,'Fatores de Emissão'!$C$130:$E$135,3,FALSE))</f>
        <v/>
      </c>
      <c r="L447" s="1024" t="str">
        <f>IF(OR(D447="",D447="-"),"",VLOOKUP(D447,'Fatores de Emissão'!$C$130:$G$135,5,FALSE))</f>
        <v/>
      </c>
      <c r="M447" s="1024" t="str">
        <f>IF(OR(D447="",D447="-"),"",VLOOKUP(D447,'Fatores de Emissão'!$C$130:$I$135,7,FALSE))</f>
        <v/>
      </c>
      <c r="N447" s="1024" t="str">
        <f t="shared" si="19"/>
        <v/>
      </c>
      <c r="O447" s="1024" t="str">
        <f t="shared" si="20"/>
        <v/>
      </c>
      <c r="P447" s="1024" t="str">
        <f t="shared" si="21"/>
        <v/>
      </c>
      <c r="Q447" s="961" t="str">
        <f>IF(B447="","",IF(D447="","",N447*'Fatores de Emissão'!$E$252+'Combustão Móvel'!O447*'Fatores de Emissão'!$E$248+'Combustão Móvel'!P447*'Fatores de Emissão'!$E$249))</f>
        <v/>
      </c>
    </row>
    <row r="448" spans="2:17" hidden="1" outlineLevel="2" x14ac:dyDescent="0.35">
      <c r="B448" s="454"/>
      <c r="C448" s="194"/>
      <c r="D448" s="194"/>
      <c r="E448" s="342"/>
      <c r="F448" s="194"/>
      <c r="G448" s="342"/>
      <c r="H448" s="456"/>
      <c r="I448" s="456"/>
      <c r="J448" s="548" t="str">
        <f>IF(OR(D448="",D448="-"),"",VLOOKUP(D448,'Fatores de Emissão'!$C$130:$F$135,4,FALSE))</f>
        <v/>
      </c>
      <c r="K448" s="1024" t="str">
        <f>IF(OR(D448="",D448="-"),"",VLOOKUP(D448,'Fatores de Emissão'!$C$130:$E$135,3,FALSE))</f>
        <v/>
      </c>
      <c r="L448" s="1024" t="str">
        <f>IF(OR(D448="",D448="-"),"",VLOOKUP(D448,'Fatores de Emissão'!$C$130:$G$135,5,FALSE))</f>
        <v/>
      </c>
      <c r="M448" s="1024" t="str">
        <f>IF(OR(D448="",D448="-"),"",VLOOKUP(D448,'Fatores de Emissão'!$C$130:$I$135,7,FALSE))</f>
        <v/>
      </c>
      <c r="N448" s="1024" t="str">
        <f t="shared" si="19"/>
        <v/>
      </c>
      <c r="O448" s="1024" t="str">
        <f t="shared" si="20"/>
        <v/>
      </c>
      <c r="P448" s="1024" t="str">
        <f t="shared" si="21"/>
        <v/>
      </c>
      <c r="Q448" s="961" t="str">
        <f>IF(B448="","",IF(D448="","",N448*'Fatores de Emissão'!$E$252+'Combustão Móvel'!O448*'Fatores de Emissão'!$E$248+'Combustão Móvel'!P448*'Fatores de Emissão'!$E$249))</f>
        <v/>
      </c>
    </row>
    <row r="449" spans="2:17" hidden="1" outlineLevel="2" x14ac:dyDescent="0.35">
      <c r="B449" s="454"/>
      <c r="C449" s="194"/>
      <c r="D449" s="194"/>
      <c r="E449" s="342"/>
      <c r="F449" s="194"/>
      <c r="G449" s="342"/>
      <c r="H449" s="456"/>
      <c r="I449" s="456"/>
      <c r="J449" s="548" t="str">
        <f>IF(OR(D449="",D449="-"),"",VLOOKUP(D449,'Fatores de Emissão'!$C$130:$F$135,4,FALSE))</f>
        <v/>
      </c>
      <c r="K449" s="1024" t="str">
        <f>IF(OR(D449="",D449="-"),"",VLOOKUP(D449,'Fatores de Emissão'!$C$130:$E$135,3,FALSE))</f>
        <v/>
      </c>
      <c r="L449" s="1024" t="str">
        <f>IF(OR(D449="",D449="-"),"",VLOOKUP(D449,'Fatores de Emissão'!$C$130:$G$135,5,FALSE))</f>
        <v/>
      </c>
      <c r="M449" s="1024" t="str">
        <f>IF(OR(D449="",D449="-"),"",VLOOKUP(D449,'Fatores de Emissão'!$C$130:$I$135,7,FALSE))</f>
        <v/>
      </c>
      <c r="N449" s="1024" t="str">
        <f t="shared" si="19"/>
        <v/>
      </c>
      <c r="O449" s="1024" t="str">
        <f t="shared" si="20"/>
        <v/>
      </c>
      <c r="P449" s="1024" t="str">
        <f t="shared" si="21"/>
        <v/>
      </c>
      <c r="Q449" s="961" t="str">
        <f>IF(B449="","",IF(D449="","",N449*'Fatores de Emissão'!$E$252+'Combustão Móvel'!O449*'Fatores de Emissão'!$E$248+'Combustão Móvel'!P449*'Fatores de Emissão'!$E$249))</f>
        <v/>
      </c>
    </row>
    <row r="450" spans="2:17" hidden="1" outlineLevel="2" x14ac:dyDescent="0.35">
      <c r="B450" s="454"/>
      <c r="C450" s="194"/>
      <c r="D450" s="194"/>
      <c r="E450" s="342"/>
      <c r="F450" s="194"/>
      <c r="G450" s="342"/>
      <c r="H450" s="456"/>
      <c r="I450" s="456"/>
      <c r="J450" s="548" t="str">
        <f>IF(OR(D450="",D450="-"),"",VLOOKUP(D450,'Fatores de Emissão'!$C$130:$F$135,4,FALSE))</f>
        <v/>
      </c>
      <c r="K450" s="1024" t="str">
        <f>IF(OR(D450="",D450="-"),"",VLOOKUP(D450,'Fatores de Emissão'!$C$130:$E$135,3,FALSE))</f>
        <v/>
      </c>
      <c r="L450" s="1024" t="str">
        <f>IF(OR(D450="",D450="-"),"",VLOOKUP(D450,'Fatores de Emissão'!$C$130:$G$135,5,FALSE))</f>
        <v/>
      </c>
      <c r="M450" s="1024" t="str">
        <f>IF(OR(D450="",D450="-"),"",VLOOKUP(D450,'Fatores de Emissão'!$C$130:$I$135,7,FALSE))</f>
        <v/>
      </c>
      <c r="N450" s="1024" t="str">
        <f t="shared" si="19"/>
        <v/>
      </c>
      <c r="O450" s="1024" t="str">
        <f t="shared" si="20"/>
        <v/>
      </c>
      <c r="P450" s="1024" t="str">
        <f t="shared" si="21"/>
        <v/>
      </c>
      <c r="Q450" s="961" t="str">
        <f>IF(B450="","",IF(D450="","",N450*'Fatores de Emissão'!$E$252+'Combustão Móvel'!O450*'Fatores de Emissão'!$E$248+'Combustão Móvel'!P450*'Fatores de Emissão'!$E$249))</f>
        <v/>
      </c>
    </row>
    <row r="451" spans="2:17" hidden="1" outlineLevel="2" x14ac:dyDescent="0.35">
      <c r="B451" s="454"/>
      <c r="C451" s="194"/>
      <c r="D451" s="194"/>
      <c r="E451" s="342"/>
      <c r="F451" s="194"/>
      <c r="G451" s="342"/>
      <c r="H451" s="456"/>
      <c r="I451" s="456"/>
      <c r="J451" s="548" t="str">
        <f>IF(OR(D451="",D451="-"),"",VLOOKUP(D451,'Fatores de Emissão'!$C$130:$F$135,4,FALSE))</f>
        <v/>
      </c>
      <c r="K451" s="1024" t="str">
        <f>IF(OR(D451="",D451="-"),"",VLOOKUP(D451,'Fatores de Emissão'!$C$130:$E$135,3,FALSE))</f>
        <v/>
      </c>
      <c r="L451" s="1024" t="str">
        <f>IF(OR(D451="",D451="-"),"",VLOOKUP(D451,'Fatores de Emissão'!$C$130:$G$135,5,FALSE))</f>
        <v/>
      </c>
      <c r="M451" s="1024" t="str">
        <f>IF(OR(D451="",D451="-"),"",VLOOKUP(D451,'Fatores de Emissão'!$C$130:$I$135,7,FALSE))</f>
        <v/>
      </c>
      <c r="N451" s="1024" t="str">
        <f t="shared" si="19"/>
        <v/>
      </c>
      <c r="O451" s="1024" t="str">
        <f t="shared" si="20"/>
        <v/>
      </c>
      <c r="P451" s="1024" t="str">
        <f t="shared" si="21"/>
        <v/>
      </c>
      <c r="Q451" s="961" t="str">
        <f>IF(B451="","",IF(D451="","",N451*'Fatores de Emissão'!$E$252+'Combustão Móvel'!O451*'Fatores de Emissão'!$E$248+'Combustão Móvel'!P451*'Fatores de Emissão'!$E$249))</f>
        <v/>
      </c>
    </row>
    <row r="452" spans="2:17" hidden="1" outlineLevel="2" x14ac:dyDescent="0.35">
      <c r="B452" s="454"/>
      <c r="C452" s="194"/>
      <c r="D452" s="194"/>
      <c r="E452" s="342"/>
      <c r="F452" s="194"/>
      <c r="G452" s="342"/>
      <c r="H452" s="456"/>
      <c r="I452" s="456"/>
      <c r="J452" s="548" t="str">
        <f>IF(OR(D452="",D452="-"),"",VLOOKUP(D452,'Fatores de Emissão'!$C$130:$F$135,4,FALSE))</f>
        <v/>
      </c>
      <c r="K452" s="1024" t="str">
        <f>IF(OR(D452="",D452="-"),"",VLOOKUP(D452,'Fatores de Emissão'!$C$130:$E$135,3,FALSE))</f>
        <v/>
      </c>
      <c r="L452" s="1024" t="str">
        <f>IF(OR(D452="",D452="-"),"",VLOOKUP(D452,'Fatores de Emissão'!$C$130:$G$135,5,FALSE))</f>
        <v/>
      </c>
      <c r="M452" s="1024" t="str">
        <f>IF(OR(D452="",D452="-"),"",VLOOKUP(D452,'Fatores de Emissão'!$C$130:$I$135,7,FALSE))</f>
        <v/>
      </c>
      <c r="N452" s="1024" t="str">
        <f t="shared" si="19"/>
        <v/>
      </c>
      <c r="O452" s="1024" t="str">
        <f t="shared" si="20"/>
        <v/>
      </c>
      <c r="P452" s="1024" t="str">
        <f t="shared" si="21"/>
        <v/>
      </c>
      <c r="Q452" s="961" t="str">
        <f>IF(B452="","",IF(D452="","",N452*'Fatores de Emissão'!$E$252+'Combustão Móvel'!O452*'Fatores de Emissão'!$E$248+'Combustão Móvel'!P452*'Fatores de Emissão'!$E$249))</f>
        <v/>
      </c>
    </row>
    <row r="453" spans="2:17" hidden="1" outlineLevel="2" x14ac:dyDescent="0.35">
      <c r="B453" s="454"/>
      <c r="C453" s="194"/>
      <c r="D453" s="194"/>
      <c r="E453" s="342"/>
      <c r="F453" s="194"/>
      <c r="G453" s="342"/>
      <c r="H453" s="456"/>
      <c r="I453" s="456"/>
      <c r="J453" s="548" t="str">
        <f>IF(OR(D453="",D453="-"),"",VLOOKUP(D453,'Fatores de Emissão'!$C$130:$F$135,4,FALSE))</f>
        <v/>
      </c>
      <c r="K453" s="1024" t="str">
        <f>IF(OR(D453="",D453="-"),"",VLOOKUP(D453,'Fatores de Emissão'!$C$130:$E$135,3,FALSE))</f>
        <v/>
      </c>
      <c r="L453" s="1024" t="str">
        <f>IF(OR(D453="",D453="-"),"",VLOOKUP(D453,'Fatores de Emissão'!$C$130:$G$135,5,FALSE))</f>
        <v/>
      </c>
      <c r="M453" s="1024" t="str">
        <f>IF(OR(D453="",D453="-"),"",VLOOKUP(D453,'Fatores de Emissão'!$C$130:$I$135,7,FALSE))</f>
        <v/>
      </c>
      <c r="N453" s="1024" t="str">
        <f t="shared" si="19"/>
        <v/>
      </c>
      <c r="O453" s="1024" t="str">
        <f t="shared" si="20"/>
        <v/>
      </c>
      <c r="P453" s="1024" t="str">
        <f t="shared" si="21"/>
        <v/>
      </c>
      <c r="Q453" s="961" t="str">
        <f>IF(B453="","",IF(D453="","",N453*'Fatores de Emissão'!$E$252+'Combustão Móvel'!O453*'Fatores de Emissão'!$E$248+'Combustão Móvel'!P453*'Fatores de Emissão'!$E$249))</f>
        <v/>
      </c>
    </row>
    <row r="454" spans="2:17" hidden="1" outlineLevel="2" x14ac:dyDescent="0.35">
      <c r="B454" s="454"/>
      <c r="C454" s="194"/>
      <c r="D454" s="194"/>
      <c r="E454" s="342"/>
      <c r="F454" s="194"/>
      <c r="G454" s="342"/>
      <c r="H454" s="456"/>
      <c r="I454" s="456"/>
      <c r="J454" s="548" t="str">
        <f>IF(OR(D454="",D454="-"),"",VLOOKUP(D454,'Fatores de Emissão'!$C$130:$F$135,4,FALSE))</f>
        <v/>
      </c>
      <c r="K454" s="1024" t="str">
        <f>IF(OR(D454="",D454="-"),"",VLOOKUP(D454,'Fatores de Emissão'!$C$130:$E$135,3,FALSE))</f>
        <v/>
      </c>
      <c r="L454" s="1024" t="str">
        <f>IF(OR(D454="",D454="-"),"",VLOOKUP(D454,'Fatores de Emissão'!$C$130:$G$135,5,FALSE))</f>
        <v/>
      </c>
      <c r="M454" s="1024" t="str">
        <f>IF(OR(D454="",D454="-"),"",VLOOKUP(D454,'Fatores de Emissão'!$C$130:$I$135,7,FALSE))</f>
        <v/>
      </c>
      <c r="N454" s="1024" t="str">
        <f t="shared" si="19"/>
        <v/>
      </c>
      <c r="O454" s="1024" t="str">
        <f t="shared" si="20"/>
        <v/>
      </c>
      <c r="P454" s="1024" t="str">
        <f t="shared" si="21"/>
        <v/>
      </c>
      <c r="Q454" s="961" t="str">
        <f>IF(B454="","",IF(D454="","",N454*'Fatores de Emissão'!$E$252+'Combustão Móvel'!O454*'Fatores de Emissão'!$E$248+'Combustão Móvel'!P454*'Fatores de Emissão'!$E$249))</f>
        <v/>
      </c>
    </row>
    <row r="455" spans="2:17" hidden="1" outlineLevel="2" x14ac:dyDescent="0.35">
      <c r="B455" s="454"/>
      <c r="C455" s="194"/>
      <c r="D455" s="194"/>
      <c r="E455" s="342"/>
      <c r="F455" s="194"/>
      <c r="G455" s="342"/>
      <c r="H455" s="456"/>
      <c r="I455" s="456"/>
      <c r="J455" s="548" t="str">
        <f>IF(OR(D455="",D455="-"),"",VLOOKUP(D455,'Fatores de Emissão'!$C$130:$F$135,4,FALSE))</f>
        <v/>
      </c>
      <c r="K455" s="1024" t="str">
        <f>IF(OR(D455="",D455="-"),"",VLOOKUP(D455,'Fatores de Emissão'!$C$130:$E$135,3,FALSE))</f>
        <v/>
      </c>
      <c r="L455" s="1024" t="str">
        <f>IF(OR(D455="",D455="-"),"",VLOOKUP(D455,'Fatores de Emissão'!$C$130:$G$135,5,FALSE))</f>
        <v/>
      </c>
      <c r="M455" s="1024" t="str">
        <f>IF(OR(D455="",D455="-"),"",VLOOKUP(D455,'Fatores de Emissão'!$C$130:$I$135,7,FALSE))</f>
        <v/>
      </c>
      <c r="N455" s="1024" t="str">
        <f t="shared" si="19"/>
        <v/>
      </c>
      <c r="O455" s="1024" t="str">
        <f t="shared" si="20"/>
        <v/>
      </c>
      <c r="P455" s="1024" t="str">
        <f t="shared" si="21"/>
        <v/>
      </c>
      <c r="Q455" s="961" t="str">
        <f>IF(B455="","",IF(D455="","",N455*'Fatores de Emissão'!$E$252+'Combustão Móvel'!O455*'Fatores de Emissão'!$E$248+'Combustão Móvel'!P455*'Fatores de Emissão'!$E$249))</f>
        <v/>
      </c>
    </row>
    <row r="456" spans="2:17" hidden="1" outlineLevel="2" x14ac:dyDescent="0.35">
      <c r="B456" s="454"/>
      <c r="C456" s="194"/>
      <c r="D456" s="194"/>
      <c r="E456" s="342"/>
      <c r="F456" s="194"/>
      <c r="G456" s="342"/>
      <c r="H456" s="456"/>
      <c r="I456" s="456"/>
      <c r="J456" s="548" t="str">
        <f>IF(OR(D456="",D456="-"),"",VLOOKUP(D456,'Fatores de Emissão'!$C$130:$F$135,4,FALSE))</f>
        <v/>
      </c>
      <c r="K456" s="1024" t="str">
        <f>IF(OR(D456="",D456="-"),"",VLOOKUP(D456,'Fatores de Emissão'!$C$130:$E$135,3,FALSE))</f>
        <v/>
      </c>
      <c r="L456" s="1024" t="str">
        <f>IF(OR(D456="",D456="-"),"",VLOOKUP(D456,'Fatores de Emissão'!$C$130:$G$135,5,FALSE))</f>
        <v/>
      </c>
      <c r="M456" s="1024" t="str">
        <f>IF(OR(D456="",D456="-"),"",VLOOKUP(D456,'Fatores de Emissão'!$C$130:$I$135,7,FALSE))</f>
        <v/>
      </c>
      <c r="N456" s="1024" t="str">
        <f t="shared" si="19"/>
        <v/>
      </c>
      <c r="O456" s="1024" t="str">
        <f t="shared" si="20"/>
        <v/>
      </c>
      <c r="P456" s="1024" t="str">
        <f t="shared" si="21"/>
        <v/>
      </c>
      <c r="Q456" s="961" t="str">
        <f>IF(B456="","",IF(D456="","",N456*'Fatores de Emissão'!$E$252+'Combustão Móvel'!O456*'Fatores de Emissão'!$E$248+'Combustão Móvel'!P456*'Fatores de Emissão'!$E$249))</f>
        <v/>
      </c>
    </row>
    <row r="457" spans="2:17" hidden="1" outlineLevel="2" x14ac:dyDescent="0.35">
      <c r="B457" s="454"/>
      <c r="C457" s="194"/>
      <c r="D457" s="194"/>
      <c r="E457" s="342"/>
      <c r="F457" s="194"/>
      <c r="G457" s="342"/>
      <c r="H457" s="456"/>
      <c r="I457" s="456"/>
      <c r="J457" s="548" t="str">
        <f>IF(OR(D457="",D457="-"),"",VLOOKUP(D457,'Fatores de Emissão'!$C$130:$F$135,4,FALSE))</f>
        <v/>
      </c>
      <c r="K457" s="1024" t="str">
        <f>IF(OR(D457="",D457="-"),"",VLOOKUP(D457,'Fatores de Emissão'!$C$130:$E$135,3,FALSE))</f>
        <v/>
      </c>
      <c r="L457" s="1024" t="str">
        <f>IF(OR(D457="",D457="-"),"",VLOOKUP(D457,'Fatores de Emissão'!$C$130:$G$135,5,FALSE))</f>
        <v/>
      </c>
      <c r="M457" s="1024" t="str">
        <f>IF(OR(D457="",D457="-"),"",VLOOKUP(D457,'Fatores de Emissão'!$C$130:$I$135,7,FALSE))</f>
        <v/>
      </c>
      <c r="N457" s="1024" t="str">
        <f t="shared" si="19"/>
        <v/>
      </c>
      <c r="O457" s="1024" t="str">
        <f t="shared" si="20"/>
        <v/>
      </c>
      <c r="P457" s="1024" t="str">
        <f t="shared" si="21"/>
        <v/>
      </c>
      <c r="Q457" s="961" t="str">
        <f>IF(B457="","",IF(D457="","",N457*'Fatores de Emissão'!$E$252+'Combustão Móvel'!O457*'Fatores de Emissão'!$E$248+'Combustão Móvel'!P457*'Fatores de Emissão'!$E$249))</f>
        <v/>
      </c>
    </row>
    <row r="458" spans="2:17" hidden="1" outlineLevel="2" x14ac:dyDescent="0.35">
      <c r="B458" s="454"/>
      <c r="C458" s="194"/>
      <c r="D458" s="194"/>
      <c r="E458" s="342"/>
      <c r="F458" s="194"/>
      <c r="G458" s="342"/>
      <c r="H458" s="456"/>
      <c r="I458" s="456"/>
      <c r="J458" s="548" t="str">
        <f>IF(OR(D458="",D458="-"),"",VLOOKUP(D458,'Fatores de Emissão'!$C$130:$F$135,4,FALSE))</f>
        <v/>
      </c>
      <c r="K458" s="1024" t="str">
        <f>IF(OR(D458="",D458="-"),"",VLOOKUP(D458,'Fatores de Emissão'!$C$130:$E$135,3,FALSE))</f>
        <v/>
      </c>
      <c r="L458" s="1024" t="str">
        <f>IF(OR(D458="",D458="-"),"",VLOOKUP(D458,'Fatores de Emissão'!$C$130:$G$135,5,FALSE))</f>
        <v/>
      </c>
      <c r="M458" s="1024" t="str">
        <f>IF(OR(D458="",D458="-"),"",VLOOKUP(D458,'Fatores de Emissão'!$C$130:$I$135,7,FALSE))</f>
        <v/>
      </c>
      <c r="N458" s="1024" t="str">
        <f t="shared" si="19"/>
        <v/>
      </c>
      <c r="O458" s="1024" t="str">
        <f t="shared" si="20"/>
        <v/>
      </c>
      <c r="P458" s="1024" t="str">
        <f t="shared" si="21"/>
        <v/>
      </c>
      <c r="Q458" s="961" t="str">
        <f>IF(B458="","",IF(D458="","",N458*'Fatores de Emissão'!$E$252+'Combustão Móvel'!O458*'Fatores de Emissão'!$E$248+'Combustão Móvel'!P458*'Fatores de Emissão'!$E$249))</f>
        <v/>
      </c>
    </row>
    <row r="459" spans="2:17" hidden="1" outlineLevel="2" x14ac:dyDescent="0.35">
      <c r="B459" s="454"/>
      <c r="C459" s="194"/>
      <c r="D459" s="194"/>
      <c r="E459" s="342"/>
      <c r="F459" s="194"/>
      <c r="G459" s="342"/>
      <c r="H459" s="456"/>
      <c r="I459" s="456"/>
      <c r="J459" s="548" t="str">
        <f>IF(OR(D459="",D459="-"),"",VLOOKUP(D459,'Fatores de Emissão'!$C$130:$F$135,4,FALSE))</f>
        <v/>
      </c>
      <c r="K459" s="1024" t="str">
        <f>IF(OR(D459="",D459="-"),"",VLOOKUP(D459,'Fatores de Emissão'!$C$130:$E$135,3,FALSE))</f>
        <v/>
      </c>
      <c r="L459" s="1024" t="str">
        <f>IF(OR(D459="",D459="-"),"",VLOOKUP(D459,'Fatores de Emissão'!$C$130:$G$135,5,FALSE))</f>
        <v/>
      </c>
      <c r="M459" s="1024" t="str">
        <f>IF(OR(D459="",D459="-"),"",VLOOKUP(D459,'Fatores de Emissão'!$C$130:$I$135,7,FALSE))</f>
        <v/>
      </c>
      <c r="N459" s="1024" t="str">
        <f t="shared" si="19"/>
        <v/>
      </c>
      <c r="O459" s="1024" t="str">
        <f t="shared" si="20"/>
        <v/>
      </c>
      <c r="P459" s="1024" t="str">
        <f t="shared" si="21"/>
        <v/>
      </c>
      <c r="Q459" s="961" t="str">
        <f>IF(B459="","",IF(D459="","",N459*'Fatores de Emissão'!$E$252+'Combustão Móvel'!O459*'Fatores de Emissão'!$E$248+'Combustão Móvel'!P459*'Fatores de Emissão'!$E$249))</f>
        <v/>
      </c>
    </row>
    <row r="460" spans="2:17" hidden="1" outlineLevel="2" x14ac:dyDescent="0.35">
      <c r="B460" s="454"/>
      <c r="C460" s="194"/>
      <c r="D460" s="194"/>
      <c r="E460" s="342"/>
      <c r="F460" s="194"/>
      <c r="G460" s="342"/>
      <c r="H460" s="456"/>
      <c r="I460" s="456"/>
      <c r="J460" s="548" t="str">
        <f>IF(OR(D460="",D460="-"),"",VLOOKUP(D460,'Fatores de Emissão'!$C$130:$F$135,4,FALSE))</f>
        <v/>
      </c>
      <c r="K460" s="1024" t="str">
        <f>IF(OR(D460="",D460="-"),"",VLOOKUP(D460,'Fatores de Emissão'!$C$130:$E$135,3,FALSE))</f>
        <v/>
      </c>
      <c r="L460" s="1024" t="str">
        <f>IF(OR(D460="",D460="-"),"",VLOOKUP(D460,'Fatores de Emissão'!$C$130:$G$135,5,FALSE))</f>
        <v/>
      </c>
      <c r="M460" s="1024" t="str">
        <f>IF(OR(D460="",D460="-"),"",VLOOKUP(D460,'Fatores de Emissão'!$C$130:$I$135,7,FALSE))</f>
        <v/>
      </c>
      <c r="N460" s="1024" t="str">
        <f t="shared" si="19"/>
        <v/>
      </c>
      <c r="O460" s="1024" t="str">
        <f t="shared" si="20"/>
        <v/>
      </c>
      <c r="P460" s="1024" t="str">
        <f t="shared" si="21"/>
        <v/>
      </c>
      <c r="Q460" s="961" t="str">
        <f>IF(B460="","",IF(D460="","",N460*'Fatores de Emissão'!$E$252+'Combustão Móvel'!O460*'Fatores de Emissão'!$E$248+'Combustão Móvel'!P460*'Fatores de Emissão'!$E$249))</f>
        <v/>
      </c>
    </row>
    <row r="461" spans="2:17" hidden="1" outlineLevel="2" x14ac:dyDescent="0.35">
      <c r="B461" s="454"/>
      <c r="C461" s="194"/>
      <c r="D461" s="194"/>
      <c r="E461" s="342"/>
      <c r="F461" s="194"/>
      <c r="G461" s="342"/>
      <c r="H461" s="456"/>
      <c r="I461" s="456"/>
      <c r="J461" s="548" t="str">
        <f>IF(OR(D461="",D461="-"),"",VLOOKUP(D461,'Fatores de Emissão'!$C$130:$F$135,4,FALSE))</f>
        <v/>
      </c>
      <c r="K461" s="1024" t="str">
        <f>IF(OR(D461="",D461="-"),"",VLOOKUP(D461,'Fatores de Emissão'!$C$130:$E$135,3,FALSE))</f>
        <v/>
      </c>
      <c r="L461" s="1024" t="str">
        <f>IF(OR(D461="",D461="-"),"",VLOOKUP(D461,'Fatores de Emissão'!$C$130:$G$135,5,FALSE))</f>
        <v/>
      </c>
      <c r="M461" s="1024" t="str">
        <f>IF(OR(D461="",D461="-"),"",VLOOKUP(D461,'Fatores de Emissão'!$C$130:$I$135,7,FALSE))</f>
        <v/>
      </c>
      <c r="N461" s="1024" t="str">
        <f t="shared" si="19"/>
        <v/>
      </c>
      <c r="O461" s="1024" t="str">
        <f t="shared" si="20"/>
        <v/>
      </c>
      <c r="P461" s="1024" t="str">
        <f t="shared" si="21"/>
        <v/>
      </c>
      <c r="Q461" s="961" t="str">
        <f>IF(B461="","",IF(D461="","",N461*'Fatores de Emissão'!$E$252+'Combustão Móvel'!O461*'Fatores de Emissão'!$E$248+'Combustão Móvel'!P461*'Fatores de Emissão'!$E$249))</f>
        <v/>
      </c>
    </row>
    <row r="462" spans="2:17" hidden="1" outlineLevel="2" x14ac:dyDescent="0.35">
      <c r="B462" s="454"/>
      <c r="C462" s="194"/>
      <c r="D462" s="194"/>
      <c r="E462" s="342"/>
      <c r="F462" s="194"/>
      <c r="G462" s="342"/>
      <c r="H462" s="456"/>
      <c r="I462" s="456"/>
      <c r="J462" s="548" t="str">
        <f>IF(OR(D462="",D462="-"),"",VLOOKUP(D462,'Fatores de Emissão'!$C$130:$F$135,4,FALSE))</f>
        <v/>
      </c>
      <c r="K462" s="1024" t="str">
        <f>IF(OR(D462="",D462="-"),"",VLOOKUP(D462,'Fatores de Emissão'!$C$130:$E$135,3,FALSE))</f>
        <v/>
      </c>
      <c r="L462" s="1024" t="str">
        <f>IF(OR(D462="",D462="-"),"",VLOOKUP(D462,'Fatores de Emissão'!$C$130:$G$135,5,FALSE))</f>
        <v/>
      </c>
      <c r="M462" s="1024" t="str">
        <f>IF(OR(D462="",D462="-"),"",VLOOKUP(D462,'Fatores de Emissão'!$C$130:$I$135,7,FALSE))</f>
        <v/>
      </c>
      <c r="N462" s="1024" t="str">
        <f t="shared" si="19"/>
        <v/>
      </c>
      <c r="O462" s="1024" t="str">
        <f t="shared" si="20"/>
        <v/>
      </c>
      <c r="P462" s="1024" t="str">
        <f t="shared" si="21"/>
        <v/>
      </c>
      <c r="Q462" s="961" t="str">
        <f>IF(B462="","",IF(D462="","",N462*'Fatores de Emissão'!$E$252+'Combustão Móvel'!O462*'Fatores de Emissão'!$E$248+'Combustão Móvel'!P462*'Fatores de Emissão'!$E$249))</f>
        <v/>
      </c>
    </row>
    <row r="463" spans="2:17" hidden="1" outlineLevel="2" x14ac:dyDescent="0.35">
      <c r="B463" s="454"/>
      <c r="C463" s="194"/>
      <c r="D463" s="194"/>
      <c r="E463" s="342"/>
      <c r="F463" s="194"/>
      <c r="G463" s="342"/>
      <c r="H463" s="456"/>
      <c r="I463" s="456"/>
      <c r="J463" s="548" t="str">
        <f>IF(OR(D463="",D463="-"),"",VLOOKUP(D463,'Fatores de Emissão'!$C$130:$F$135,4,FALSE))</f>
        <v/>
      </c>
      <c r="K463" s="1024" t="str">
        <f>IF(OR(D463="",D463="-"),"",VLOOKUP(D463,'Fatores de Emissão'!$C$130:$E$135,3,FALSE))</f>
        <v/>
      </c>
      <c r="L463" s="1024" t="str">
        <f>IF(OR(D463="",D463="-"),"",VLOOKUP(D463,'Fatores de Emissão'!$C$130:$G$135,5,FALSE))</f>
        <v/>
      </c>
      <c r="M463" s="1024" t="str">
        <f>IF(OR(D463="",D463="-"),"",VLOOKUP(D463,'Fatores de Emissão'!$C$130:$I$135,7,FALSE))</f>
        <v/>
      </c>
      <c r="N463" s="1024" t="str">
        <f t="shared" si="19"/>
        <v/>
      </c>
      <c r="O463" s="1024" t="str">
        <f t="shared" si="20"/>
        <v/>
      </c>
      <c r="P463" s="1024" t="str">
        <f t="shared" si="21"/>
        <v/>
      </c>
      <c r="Q463" s="961" t="str">
        <f>IF(B463="","",IF(D463="","",N463*'Fatores de Emissão'!$E$252+'Combustão Móvel'!O463*'Fatores de Emissão'!$E$248+'Combustão Móvel'!P463*'Fatores de Emissão'!$E$249))</f>
        <v/>
      </c>
    </row>
    <row r="464" spans="2:17" hidden="1" outlineLevel="2" x14ac:dyDescent="0.35">
      <c r="B464" s="454"/>
      <c r="C464" s="194"/>
      <c r="D464" s="194"/>
      <c r="E464" s="342"/>
      <c r="F464" s="194"/>
      <c r="G464" s="342"/>
      <c r="H464" s="456"/>
      <c r="I464" s="456"/>
      <c r="J464" s="548" t="str">
        <f>IF(OR(D464="",D464="-"),"",VLOOKUP(D464,'Fatores de Emissão'!$C$130:$F$135,4,FALSE))</f>
        <v/>
      </c>
      <c r="K464" s="1024" t="str">
        <f>IF(OR(D464="",D464="-"),"",VLOOKUP(D464,'Fatores de Emissão'!$C$130:$E$135,3,FALSE))</f>
        <v/>
      </c>
      <c r="L464" s="1024" t="str">
        <f>IF(OR(D464="",D464="-"),"",VLOOKUP(D464,'Fatores de Emissão'!$C$130:$G$135,5,FALSE))</f>
        <v/>
      </c>
      <c r="M464" s="1024" t="str">
        <f>IF(OR(D464="",D464="-"),"",VLOOKUP(D464,'Fatores de Emissão'!$C$130:$I$135,7,FALSE))</f>
        <v/>
      </c>
      <c r="N464" s="1024" t="str">
        <f t="shared" si="19"/>
        <v/>
      </c>
      <c r="O464" s="1024" t="str">
        <f t="shared" si="20"/>
        <v/>
      </c>
      <c r="P464" s="1024" t="str">
        <f t="shared" si="21"/>
        <v/>
      </c>
      <c r="Q464" s="961" t="str">
        <f>IF(B464="","",IF(D464="","",N464*'Fatores de Emissão'!$E$252+'Combustão Móvel'!O464*'Fatores de Emissão'!$E$248+'Combustão Móvel'!P464*'Fatores de Emissão'!$E$249))</f>
        <v/>
      </c>
    </row>
    <row r="465" spans="2:17" hidden="1" outlineLevel="2" x14ac:dyDescent="0.35">
      <c r="B465" s="454"/>
      <c r="C465" s="194"/>
      <c r="D465" s="194"/>
      <c r="E465" s="342"/>
      <c r="F465" s="194"/>
      <c r="G465" s="342"/>
      <c r="H465" s="456"/>
      <c r="I465" s="456"/>
      <c r="J465" s="548" t="str">
        <f>IF(OR(D465="",D465="-"),"",VLOOKUP(D465,'Fatores de Emissão'!$C$130:$F$135,4,FALSE))</f>
        <v/>
      </c>
      <c r="K465" s="1024" t="str">
        <f>IF(OR(D465="",D465="-"),"",VLOOKUP(D465,'Fatores de Emissão'!$C$130:$E$135,3,FALSE))</f>
        <v/>
      </c>
      <c r="L465" s="1024" t="str">
        <f>IF(OR(D465="",D465="-"),"",VLOOKUP(D465,'Fatores de Emissão'!$C$130:$G$135,5,FALSE))</f>
        <v/>
      </c>
      <c r="M465" s="1024" t="str">
        <f>IF(OR(D465="",D465="-"),"",VLOOKUP(D465,'Fatores de Emissão'!$C$130:$I$135,7,FALSE))</f>
        <v/>
      </c>
      <c r="N465" s="1024" t="str">
        <f t="shared" si="19"/>
        <v/>
      </c>
      <c r="O465" s="1024" t="str">
        <f t="shared" si="20"/>
        <v/>
      </c>
      <c r="P465" s="1024" t="str">
        <f t="shared" si="21"/>
        <v/>
      </c>
      <c r="Q465" s="961" t="str">
        <f>IF(B465="","",IF(D465="","",N465*'Fatores de Emissão'!$E$252+'Combustão Móvel'!O465*'Fatores de Emissão'!$E$248+'Combustão Móvel'!P465*'Fatores de Emissão'!$E$249))</f>
        <v/>
      </c>
    </row>
    <row r="466" spans="2:17" hidden="1" outlineLevel="2" x14ac:dyDescent="0.35">
      <c r="B466" s="454"/>
      <c r="C466" s="194"/>
      <c r="D466" s="194"/>
      <c r="E466" s="342"/>
      <c r="F466" s="194"/>
      <c r="G466" s="342"/>
      <c r="H466" s="456"/>
      <c r="I466" s="456"/>
      <c r="J466" s="548" t="str">
        <f>IF(OR(D466="",D466="-"),"",VLOOKUP(D466,'Fatores de Emissão'!$C$130:$F$135,4,FALSE))</f>
        <v/>
      </c>
      <c r="K466" s="1024" t="str">
        <f>IF(OR(D466="",D466="-"),"",VLOOKUP(D466,'Fatores de Emissão'!$C$130:$E$135,3,FALSE))</f>
        <v/>
      </c>
      <c r="L466" s="1024" t="str">
        <f>IF(OR(D466="",D466="-"),"",VLOOKUP(D466,'Fatores de Emissão'!$C$130:$G$135,5,FALSE))</f>
        <v/>
      </c>
      <c r="M466" s="1024" t="str">
        <f>IF(OR(D466="",D466="-"),"",VLOOKUP(D466,'Fatores de Emissão'!$C$130:$I$135,7,FALSE))</f>
        <v/>
      </c>
      <c r="N466" s="1024" t="str">
        <f t="shared" si="19"/>
        <v/>
      </c>
      <c r="O466" s="1024" t="str">
        <f t="shared" si="20"/>
        <v/>
      </c>
      <c r="P466" s="1024" t="str">
        <f t="shared" si="21"/>
        <v/>
      </c>
      <c r="Q466" s="961" t="str">
        <f>IF(B466="","",IF(D466="","",N466*'Fatores de Emissão'!$E$252+'Combustão Móvel'!O466*'Fatores de Emissão'!$E$248+'Combustão Móvel'!P466*'Fatores de Emissão'!$E$249))</f>
        <v/>
      </c>
    </row>
    <row r="467" spans="2:17" hidden="1" outlineLevel="2" x14ac:dyDescent="0.35">
      <c r="B467" s="454"/>
      <c r="C467" s="194"/>
      <c r="D467" s="194"/>
      <c r="E467" s="342"/>
      <c r="F467" s="194"/>
      <c r="G467" s="342"/>
      <c r="H467" s="456"/>
      <c r="I467" s="456"/>
      <c r="J467" s="548" t="str">
        <f>IF(OR(D467="",D467="-"),"",VLOOKUP(D467,'Fatores de Emissão'!$C$130:$F$135,4,FALSE))</f>
        <v/>
      </c>
      <c r="K467" s="1024" t="str">
        <f>IF(OR(D467="",D467="-"),"",VLOOKUP(D467,'Fatores de Emissão'!$C$130:$E$135,3,FALSE))</f>
        <v/>
      </c>
      <c r="L467" s="1024" t="str">
        <f>IF(OR(D467="",D467="-"),"",VLOOKUP(D467,'Fatores de Emissão'!$C$130:$G$135,5,FALSE))</f>
        <v/>
      </c>
      <c r="M467" s="1024" t="str">
        <f>IF(OR(D467="",D467="-"),"",VLOOKUP(D467,'Fatores de Emissão'!$C$130:$I$135,7,FALSE))</f>
        <v/>
      </c>
      <c r="N467" s="1024" t="str">
        <f t="shared" si="19"/>
        <v/>
      </c>
      <c r="O467" s="1024" t="str">
        <f t="shared" si="20"/>
        <v/>
      </c>
      <c r="P467" s="1024" t="str">
        <f t="shared" si="21"/>
        <v/>
      </c>
      <c r="Q467" s="961" t="str">
        <f>IF(B467="","",IF(D467="","",N467*'Fatores de Emissão'!$E$252+'Combustão Móvel'!O467*'Fatores de Emissão'!$E$248+'Combustão Móvel'!P467*'Fatores de Emissão'!$E$249))</f>
        <v/>
      </c>
    </row>
    <row r="468" spans="2:17" hidden="1" outlineLevel="2" x14ac:dyDescent="0.35">
      <c r="B468" s="454"/>
      <c r="C468" s="194"/>
      <c r="D468" s="194"/>
      <c r="E468" s="342"/>
      <c r="F468" s="194"/>
      <c r="G468" s="342"/>
      <c r="H468" s="456"/>
      <c r="I468" s="456"/>
      <c r="J468" s="548" t="str">
        <f>IF(OR(D468="",D468="-"),"",VLOOKUP(D468,'Fatores de Emissão'!$C$130:$F$135,4,FALSE))</f>
        <v/>
      </c>
      <c r="K468" s="1024" t="str">
        <f>IF(OR(D468="",D468="-"),"",VLOOKUP(D468,'Fatores de Emissão'!$C$130:$E$135,3,FALSE))</f>
        <v/>
      </c>
      <c r="L468" s="1024" t="str">
        <f>IF(OR(D468="",D468="-"),"",VLOOKUP(D468,'Fatores de Emissão'!$C$130:$G$135,5,FALSE))</f>
        <v/>
      </c>
      <c r="M468" s="1024" t="str">
        <f>IF(OR(D468="",D468="-"),"",VLOOKUP(D468,'Fatores de Emissão'!$C$130:$I$135,7,FALSE))</f>
        <v/>
      </c>
      <c r="N468" s="1024" t="str">
        <f t="shared" ref="N468:N502" si="22">IF(D468="","",IF(J468="kg/p.km",E468*1.08*F468*K468/1000,E468*1.08*G468*K468/1000))</f>
        <v/>
      </c>
      <c r="O468" s="1024" t="str">
        <f t="shared" ref="O468:O502" si="23">IF(D468="","",IF(J468="kg/p.km",E468*1.08*F468*L468/1000,E468*1.08*G468*L468/1000))</f>
        <v/>
      </c>
      <c r="P468" s="1024" t="str">
        <f t="shared" ref="P468:P502" si="24">IF(D468="","",IF(J468="kg/p.km",E468*1.08*F468*M468/1000,E468*1.08*G468*M468/1000))</f>
        <v/>
      </c>
      <c r="Q468" s="961" t="str">
        <f>IF(B468="","",IF(D468="","",N468*'Fatores de Emissão'!$E$252+'Combustão Móvel'!O468*'Fatores de Emissão'!$E$248+'Combustão Móvel'!P468*'Fatores de Emissão'!$E$249))</f>
        <v/>
      </c>
    </row>
    <row r="469" spans="2:17" hidden="1" outlineLevel="2" x14ac:dyDescent="0.35">
      <c r="B469" s="454"/>
      <c r="C469" s="194"/>
      <c r="D469" s="194"/>
      <c r="E469" s="342"/>
      <c r="F469" s="194"/>
      <c r="G469" s="342"/>
      <c r="H469" s="456"/>
      <c r="I469" s="456"/>
      <c r="J469" s="548" t="str">
        <f>IF(OR(D469="",D469="-"),"",VLOOKUP(D469,'Fatores de Emissão'!$C$130:$F$135,4,FALSE))</f>
        <v/>
      </c>
      <c r="K469" s="1024" t="str">
        <f>IF(OR(D469="",D469="-"),"",VLOOKUP(D469,'Fatores de Emissão'!$C$130:$E$135,3,FALSE))</f>
        <v/>
      </c>
      <c r="L469" s="1024" t="str">
        <f>IF(OR(D469="",D469="-"),"",VLOOKUP(D469,'Fatores de Emissão'!$C$130:$G$135,5,FALSE))</f>
        <v/>
      </c>
      <c r="M469" s="1024" t="str">
        <f>IF(OR(D469="",D469="-"),"",VLOOKUP(D469,'Fatores de Emissão'!$C$130:$I$135,7,FALSE))</f>
        <v/>
      </c>
      <c r="N469" s="1024" t="str">
        <f t="shared" si="22"/>
        <v/>
      </c>
      <c r="O469" s="1024" t="str">
        <f t="shared" si="23"/>
        <v/>
      </c>
      <c r="P469" s="1024" t="str">
        <f t="shared" si="24"/>
        <v/>
      </c>
      <c r="Q469" s="961" t="str">
        <f>IF(B469="","",IF(D469="","",N469*'Fatores de Emissão'!$E$252+'Combustão Móvel'!O469*'Fatores de Emissão'!$E$248+'Combustão Móvel'!P469*'Fatores de Emissão'!$E$249))</f>
        <v/>
      </c>
    </row>
    <row r="470" spans="2:17" hidden="1" outlineLevel="2" x14ac:dyDescent="0.35">
      <c r="B470" s="454"/>
      <c r="C470" s="194"/>
      <c r="D470" s="194"/>
      <c r="E470" s="342"/>
      <c r="F470" s="194"/>
      <c r="G470" s="342"/>
      <c r="H470" s="456"/>
      <c r="I470" s="456"/>
      <c r="J470" s="548" t="str">
        <f>IF(OR(D470="",D470="-"),"",VLOOKUP(D470,'Fatores de Emissão'!$C$130:$F$135,4,FALSE))</f>
        <v/>
      </c>
      <c r="K470" s="1024" t="str">
        <f>IF(OR(D470="",D470="-"),"",VLOOKUP(D470,'Fatores de Emissão'!$C$130:$E$135,3,FALSE))</f>
        <v/>
      </c>
      <c r="L470" s="1024" t="str">
        <f>IF(OR(D470="",D470="-"),"",VLOOKUP(D470,'Fatores de Emissão'!$C$130:$G$135,5,FALSE))</f>
        <v/>
      </c>
      <c r="M470" s="1024" t="str">
        <f>IF(OR(D470="",D470="-"),"",VLOOKUP(D470,'Fatores de Emissão'!$C$130:$I$135,7,FALSE))</f>
        <v/>
      </c>
      <c r="N470" s="1024" t="str">
        <f t="shared" si="22"/>
        <v/>
      </c>
      <c r="O470" s="1024" t="str">
        <f t="shared" si="23"/>
        <v/>
      </c>
      <c r="P470" s="1024" t="str">
        <f t="shared" si="24"/>
        <v/>
      </c>
      <c r="Q470" s="961" t="str">
        <f>IF(B470="","",IF(D470="","",N470*'Fatores de Emissão'!$E$252+'Combustão Móvel'!O470*'Fatores de Emissão'!$E$248+'Combustão Móvel'!P470*'Fatores de Emissão'!$E$249))</f>
        <v/>
      </c>
    </row>
    <row r="471" spans="2:17" hidden="1" outlineLevel="2" x14ac:dyDescent="0.35">
      <c r="B471" s="454"/>
      <c r="C471" s="194"/>
      <c r="D471" s="194"/>
      <c r="E471" s="342"/>
      <c r="F471" s="194"/>
      <c r="G471" s="342"/>
      <c r="H471" s="456"/>
      <c r="I471" s="456"/>
      <c r="J471" s="548" t="str">
        <f>IF(OR(D471="",D471="-"),"",VLOOKUP(D471,'Fatores de Emissão'!$C$130:$F$135,4,FALSE))</f>
        <v/>
      </c>
      <c r="K471" s="1024" t="str">
        <f>IF(OR(D471="",D471="-"),"",VLOOKUP(D471,'Fatores de Emissão'!$C$130:$E$135,3,FALSE))</f>
        <v/>
      </c>
      <c r="L471" s="1024" t="str">
        <f>IF(OR(D471="",D471="-"),"",VLOOKUP(D471,'Fatores de Emissão'!$C$130:$G$135,5,FALSE))</f>
        <v/>
      </c>
      <c r="M471" s="1024" t="str">
        <f>IF(OR(D471="",D471="-"),"",VLOOKUP(D471,'Fatores de Emissão'!$C$130:$I$135,7,FALSE))</f>
        <v/>
      </c>
      <c r="N471" s="1024" t="str">
        <f t="shared" si="22"/>
        <v/>
      </c>
      <c r="O471" s="1024" t="str">
        <f t="shared" si="23"/>
        <v/>
      </c>
      <c r="P471" s="1024" t="str">
        <f t="shared" si="24"/>
        <v/>
      </c>
      <c r="Q471" s="961" t="str">
        <f>IF(B471="","",IF(D471="","",N471*'Fatores de Emissão'!$E$252+'Combustão Móvel'!O471*'Fatores de Emissão'!$E$248+'Combustão Móvel'!P471*'Fatores de Emissão'!$E$249))</f>
        <v/>
      </c>
    </row>
    <row r="472" spans="2:17" hidden="1" outlineLevel="2" x14ac:dyDescent="0.35">
      <c r="B472" s="454"/>
      <c r="C472" s="194"/>
      <c r="D472" s="194"/>
      <c r="E472" s="342"/>
      <c r="F472" s="194"/>
      <c r="G472" s="342"/>
      <c r="H472" s="456"/>
      <c r="I472" s="456"/>
      <c r="J472" s="548" t="str">
        <f>IF(OR(D472="",D472="-"),"",VLOOKUP(D472,'Fatores de Emissão'!$C$130:$F$135,4,FALSE))</f>
        <v/>
      </c>
      <c r="K472" s="1024" t="str">
        <f>IF(OR(D472="",D472="-"),"",VLOOKUP(D472,'Fatores de Emissão'!$C$130:$E$135,3,FALSE))</f>
        <v/>
      </c>
      <c r="L472" s="1024" t="str">
        <f>IF(OR(D472="",D472="-"),"",VLOOKUP(D472,'Fatores de Emissão'!$C$130:$G$135,5,FALSE))</f>
        <v/>
      </c>
      <c r="M472" s="1024" t="str">
        <f>IF(OR(D472="",D472="-"),"",VLOOKUP(D472,'Fatores de Emissão'!$C$130:$I$135,7,FALSE))</f>
        <v/>
      </c>
      <c r="N472" s="1024" t="str">
        <f t="shared" si="22"/>
        <v/>
      </c>
      <c r="O472" s="1024" t="str">
        <f t="shared" si="23"/>
        <v/>
      </c>
      <c r="P472" s="1024" t="str">
        <f t="shared" si="24"/>
        <v/>
      </c>
      <c r="Q472" s="961" t="str">
        <f>IF(B472="","",IF(D472="","",N472*'Fatores de Emissão'!$E$252+'Combustão Móvel'!O472*'Fatores de Emissão'!$E$248+'Combustão Móvel'!P472*'Fatores de Emissão'!$E$249))</f>
        <v/>
      </c>
    </row>
    <row r="473" spans="2:17" hidden="1" outlineLevel="2" x14ac:dyDescent="0.35">
      <c r="B473" s="454"/>
      <c r="C473" s="194"/>
      <c r="D473" s="194"/>
      <c r="E473" s="342"/>
      <c r="F473" s="194"/>
      <c r="G473" s="342"/>
      <c r="H473" s="456"/>
      <c r="I473" s="456"/>
      <c r="J473" s="548" t="str">
        <f>IF(OR(D473="",D473="-"),"",VLOOKUP(D473,'Fatores de Emissão'!$C$130:$F$135,4,FALSE))</f>
        <v/>
      </c>
      <c r="K473" s="1024" t="str">
        <f>IF(OR(D473="",D473="-"),"",VLOOKUP(D473,'Fatores de Emissão'!$C$130:$E$135,3,FALSE))</f>
        <v/>
      </c>
      <c r="L473" s="1024" t="str">
        <f>IF(OR(D473="",D473="-"),"",VLOOKUP(D473,'Fatores de Emissão'!$C$130:$G$135,5,FALSE))</f>
        <v/>
      </c>
      <c r="M473" s="1024" t="str">
        <f>IF(OR(D473="",D473="-"),"",VLOOKUP(D473,'Fatores de Emissão'!$C$130:$I$135,7,FALSE))</f>
        <v/>
      </c>
      <c r="N473" s="1024" t="str">
        <f t="shared" si="22"/>
        <v/>
      </c>
      <c r="O473" s="1024" t="str">
        <f t="shared" si="23"/>
        <v/>
      </c>
      <c r="P473" s="1024" t="str">
        <f t="shared" si="24"/>
        <v/>
      </c>
      <c r="Q473" s="961" t="str">
        <f>IF(B473="","",IF(D473="","",N473*'Fatores de Emissão'!$E$252+'Combustão Móvel'!O473*'Fatores de Emissão'!$E$248+'Combustão Móvel'!P473*'Fatores de Emissão'!$E$249))</f>
        <v/>
      </c>
    </row>
    <row r="474" spans="2:17" hidden="1" outlineLevel="2" x14ac:dyDescent="0.35">
      <c r="B474" s="454"/>
      <c r="C474" s="194"/>
      <c r="D474" s="194"/>
      <c r="E474" s="342"/>
      <c r="F474" s="194"/>
      <c r="G474" s="342"/>
      <c r="H474" s="456"/>
      <c r="I474" s="456"/>
      <c r="J474" s="548" t="str">
        <f>IF(OR(D474="",D474="-"),"",VLOOKUP(D474,'Fatores de Emissão'!$C$130:$F$135,4,FALSE))</f>
        <v/>
      </c>
      <c r="K474" s="1024" t="str">
        <f>IF(OR(D474="",D474="-"),"",VLOOKUP(D474,'Fatores de Emissão'!$C$130:$E$135,3,FALSE))</f>
        <v/>
      </c>
      <c r="L474" s="1024" t="str">
        <f>IF(OR(D474="",D474="-"),"",VLOOKUP(D474,'Fatores de Emissão'!$C$130:$G$135,5,FALSE))</f>
        <v/>
      </c>
      <c r="M474" s="1024" t="str">
        <f>IF(OR(D474="",D474="-"),"",VLOOKUP(D474,'Fatores de Emissão'!$C$130:$I$135,7,FALSE))</f>
        <v/>
      </c>
      <c r="N474" s="1024" t="str">
        <f t="shared" si="22"/>
        <v/>
      </c>
      <c r="O474" s="1024" t="str">
        <f t="shared" si="23"/>
        <v/>
      </c>
      <c r="P474" s="1024" t="str">
        <f t="shared" si="24"/>
        <v/>
      </c>
      <c r="Q474" s="961" t="str">
        <f>IF(B474="","",IF(D474="","",N474*'Fatores de Emissão'!$E$252+'Combustão Móvel'!O474*'Fatores de Emissão'!$E$248+'Combustão Móvel'!P474*'Fatores de Emissão'!$E$249))</f>
        <v/>
      </c>
    </row>
    <row r="475" spans="2:17" hidden="1" outlineLevel="2" x14ac:dyDescent="0.35">
      <c r="B475" s="454"/>
      <c r="C475" s="194"/>
      <c r="D475" s="194"/>
      <c r="E475" s="342"/>
      <c r="F475" s="194"/>
      <c r="G475" s="342"/>
      <c r="H475" s="456"/>
      <c r="I475" s="456"/>
      <c r="J475" s="548" t="str">
        <f>IF(OR(D475="",D475="-"),"",VLOOKUP(D475,'Fatores de Emissão'!$C$130:$F$135,4,FALSE))</f>
        <v/>
      </c>
      <c r="K475" s="1024" t="str">
        <f>IF(OR(D475="",D475="-"),"",VLOOKUP(D475,'Fatores de Emissão'!$C$130:$E$135,3,FALSE))</f>
        <v/>
      </c>
      <c r="L475" s="1024" t="str">
        <f>IF(OR(D475="",D475="-"),"",VLOOKUP(D475,'Fatores de Emissão'!$C$130:$G$135,5,FALSE))</f>
        <v/>
      </c>
      <c r="M475" s="1024" t="str">
        <f>IF(OR(D475="",D475="-"),"",VLOOKUP(D475,'Fatores de Emissão'!$C$130:$I$135,7,FALSE))</f>
        <v/>
      </c>
      <c r="N475" s="1024" t="str">
        <f t="shared" si="22"/>
        <v/>
      </c>
      <c r="O475" s="1024" t="str">
        <f t="shared" si="23"/>
        <v/>
      </c>
      <c r="P475" s="1024" t="str">
        <f t="shared" si="24"/>
        <v/>
      </c>
      <c r="Q475" s="961" t="str">
        <f>IF(B475="","",IF(D475="","",N475*'Fatores de Emissão'!$E$252+'Combustão Móvel'!O475*'Fatores de Emissão'!$E$248+'Combustão Móvel'!P475*'Fatores de Emissão'!$E$249))</f>
        <v/>
      </c>
    </row>
    <row r="476" spans="2:17" hidden="1" outlineLevel="2" x14ac:dyDescent="0.35">
      <c r="B476" s="454"/>
      <c r="C476" s="194"/>
      <c r="D476" s="194"/>
      <c r="E476" s="342"/>
      <c r="F476" s="194"/>
      <c r="G476" s="342"/>
      <c r="H476" s="456"/>
      <c r="I476" s="456"/>
      <c r="J476" s="548" t="str">
        <f>IF(OR(D476="",D476="-"),"",VLOOKUP(D476,'Fatores de Emissão'!$C$130:$F$135,4,FALSE))</f>
        <v/>
      </c>
      <c r="K476" s="1024" t="str">
        <f>IF(OR(D476="",D476="-"),"",VLOOKUP(D476,'Fatores de Emissão'!$C$130:$E$135,3,FALSE))</f>
        <v/>
      </c>
      <c r="L476" s="1024" t="str">
        <f>IF(OR(D476="",D476="-"),"",VLOOKUP(D476,'Fatores de Emissão'!$C$130:$G$135,5,FALSE))</f>
        <v/>
      </c>
      <c r="M476" s="1024" t="str">
        <f>IF(OR(D476="",D476="-"),"",VLOOKUP(D476,'Fatores de Emissão'!$C$130:$I$135,7,FALSE))</f>
        <v/>
      </c>
      <c r="N476" s="1024" t="str">
        <f t="shared" si="22"/>
        <v/>
      </c>
      <c r="O476" s="1024" t="str">
        <f t="shared" si="23"/>
        <v/>
      </c>
      <c r="P476" s="1024" t="str">
        <f t="shared" si="24"/>
        <v/>
      </c>
      <c r="Q476" s="961" t="str">
        <f>IF(B476="","",IF(D476="","",N476*'Fatores de Emissão'!$E$252+'Combustão Móvel'!O476*'Fatores de Emissão'!$E$248+'Combustão Móvel'!P476*'Fatores de Emissão'!$E$249))</f>
        <v/>
      </c>
    </row>
    <row r="477" spans="2:17" hidden="1" outlineLevel="2" x14ac:dyDescent="0.35">
      <c r="B477" s="454"/>
      <c r="C477" s="194"/>
      <c r="D477" s="194"/>
      <c r="E477" s="342"/>
      <c r="F477" s="194"/>
      <c r="G477" s="342"/>
      <c r="H477" s="456"/>
      <c r="I477" s="456"/>
      <c r="J477" s="548" t="str">
        <f>IF(OR(D477="",D477="-"),"",VLOOKUP(D477,'Fatores de Emissão'!$C$130:$F$135,4,FALSE))</f>
        <v/>
      </c>
      <c r="K477" s="1024" t="str">
        <f>IF(OR(D477="",D477="-"),"",VLOOKUP(D477,'Fatores de Emissão'!$C$130:$E$135,3,FALSE))</f>
        <v/>
      </c>
      <c r="L477" s="1024" t="str">
        <f>IF(OR(D477="",D477="-"),"",VLOOKUP(D477,'Fatores de Emissão'!$C$130:$G$135,5,FALSE))</f>
        <v/>
      </c>
      <c r="M477" s="1024" t="str">
        <f>IF(OR(D477="",D477="-"),"",VLOOKUP(D477,'Fatores de Emissão'!$C$130:$I$135,7,FALSE))</f>
        <v/>
      </c>
      <c r="N477" s="1024" t="str">
        <f t="shared" si="22"/>
        <v/>
      </c>
      <c r="O477" s="1024" t="str">
        <f t="shared" si="23"/>
        <v/>
      </c>
      <c r="P477" s="1024" t="str">
        <f t="shared" si="24"/>
        <v/>
      </c>
      <c r="Q477" s="961" t="str">
        <f>IF(B477="","",IF(D477="","",N477*'Fatores de Emissão'!$E$252+'Combustão Móvel'!O477*'Fatores de Emissão'!$E$248+'Combustão Móvel'!P477*'Fatores de Emissão'!$E$249))</f>
        <v/>
      </c>
    </row>
    <row r="478" spans="2:17" hidden="1" outlineLevel="2" x14ac:dyDescent="0.35">
      <c r="B478" s="454"/>
      <c r="C478" s="194"/>
      <c r="D478" s="194"/>
      <c r="E478" s="342"/>
      <c r="F478" s="194"/>
      <c r="G478" s="342"/>
      <c r="H478" s="456"/>
      <c r="I478" s="456"/>
      <c r="J478" s="548" t="str">
        <f>IF(OR(D478="",D478="-"),"",VLOOKUP(D478,'Fatores de Emissão'!$C$130:$F$135,4,FALSE))</f>
        <v/>
      </c>
      <c r="K478" s="1024" t="str">
        <f>IF(OR(D478="",D478="-"),"",VLOOKUP(D478,'Fatores de Emissão'!$C$130:$E$135,3,FALSE))</f>
        <v/>
      </c>
      <c r="L478" s="1024" t="str">
        <f>IF(OR(D478="",D478="-"),"",VLOOKUP(D478,'Fatores de Emissão'!$C$130:$G$135,5,FALSE))</f>
        <v/>
      </c>
      <c r="M478" s="1024" t="str">
        <f>IF(OR(D478="",D478="-"),"",VLOOKUP(D478,'Fatores de Emissão'!$C$130:$I$135,7,FALSE))</f>
        <v/>
      </c>
      <c r="N478" s="1024" t="str">
        <f t="shared" si="22"/>
        <v/>
      </c>
      <c r="O478" s="1024" t="str">
        <f t="shared" si="23"/>
        <v/>
      </c>
      <c r="P478" s="1024" t="str">
        <f t="shared" si="24"/>
        <v/>
      </c>
      <c r="Q478" s="961" t="str">
        <f>IF(B478="","",IF(D478="","",N478*'Fatores de Emissão'!$E$252+'Combustão Móvel'!O478*'Fatores de Emissão'!$E$248+'Combustão Móvel'!P478*'Fatores de Emissão'!$E$249))</f>
        <v/>
      </c>
    </row>
    <row r="479" spans="2:17" hidden="1" outlineLevel="2" x14ac:dyDescent="0.35">
      <c r="B479" s="454"/>
      <c r="C479" s="194"/>
      <c r="D479" s="194"/>
      <c r="E479" s="342"/>
      <c r="F479" s="194"/>
      <c r="G479" s="342"/>
      <c r="H479" s="456"/>
      <c r="I479" s="456"/>
      <c r="J479" s="548" t="str">
        <f>IF(OR(D479="",D479="-"),"",VLOOKUP(D479,'Fatores de Emissão'!$C$130:$F$135,4,FALSE))</f>
        <v/>
      </c>
      <c r="K479" s="1024" t="str">
        <f>IF(OR(D479="",D479="-"),"",VLOOKUP(D479,'Fatores de Emissão'!$C$130:$E$135,3,FALSE))</f>
        <v/>
      </c>
      <c r="L479" s="1024" t="str">
        <f>IF(OR(D479="",D479="-"),"",VLOOKUP(D479,'Fatores de Emissão'!$C$130:$G$135,5,FALSE))</f>
        <v/>
      </c>
      <c r="M479" s="1024" t="str">
        <f>IF(OR(D479="",D479="-"),"",VLOOKUP(D479,'Fatores de Emissão'!$C$130:$I$135,7,FALSE))</f>
        <v/>
      </c>
      <c r="N479" s="1024" t="str">
        <f t="shared" si="22"/>
        <v/>
      </c>
      <c r="O479" s="1024" t="str">
        <f t="shared" si="23"/>
        <v/>
      </c>
      <c r="P479" s="1024" t="str">
        <f t="shared" si="24"/>
        <v/>
      </c>
      <c r="Q479" s="961" t="str">
        <f>IF(B479="","",IF(D479="","",N479*'Fatores de Emissão'!$E$252+'Combustão Móvel'!O479*'Fatores de Emissão'!$E$248+'Combustão Móvel'!P479*'Fatores de Emissão'!$E$249))</f>
        <v/>
      </c>
    </row>
    <row r="480" spans="2:17" hidden="1" outlineLevel="2" x14ac:dyDescent="0.35">
      <c r="B480" s="454"/>
      <c r="C480" s="194"/>
      <c r="D480" s="194"/>
      <c r="E480" s="342"/>
      <c r="F480" s="194"/>
      <c r="G480" s="342"/>
      <c r="H480" s="456"/>
      <c r="I480" s="456"/>
      <c r="J480" s="548" t="str">
        <f>IF(OR(D480="",D480="-"),"",VLOOKUP(D480,'Fatores de Emissão'!$C$130:$F$135,4,FALSE))</f>
        <v/>
      </c>
      <c r="K480" s="1024" t="str">
        <f>IF(OR(D480="",D480="-"),"",VLOOKUP(D480,'Fatores de Emissão'!$C$130:$E$135,3,FALSE))</f>
        <v/>
      </c>
      <c r="L480" s="1024" t="str">
        <f>IF(OR(D480="",D480="-"),"",VLOOKUP(D480,'Fatores de Emissão'!$C$130:$G$135,5,FALSE))</f>
        <v/>
      </c>
      <c r="M480" s="1024" t="str">
        <f>IF(OR(D480="",D480="-"),"",VLOOKUP(D480,'Fatores de Emissão'!$C$130:$I$135,7,FALSE))</f>
        <v/>
      </c>
      <c r="N480" s="1024" t="str">
        <f t="shared" si="22"/>
        <v/>
      </c>
      <c r="O480" s="1024" t="str">
        <f t="shared" si="23"/>
        <v/>
      </c>
      <c r="P480" s="1024" t="str">
        <f t="shared" si="24"/>
        <v/>
      </c>
      <c r="Q480" s="961" t="str">
        <f>IF(B480="","",IF(D480="","",N480*'Fatores de Emissão'!$E$252+'Combustão Móvel'!O480*'Fatores de Emissão'!$E$248+'Combustão Móvel'!P480*'Fatores de Emissão'!$E$249))</f>
        <v/>
      </c>
    </row>
    <row r="481" spans="2:17" hidden="1" outlineLevel="2" x14ac:dyDescent="0.35">
      <c r="B481" s="454"/>
      <c r="C481" s="194"/>
      <c r="D481" s="194"/>
      <c r="E481" s="342"/>
      <c r="F481" s="194"/>
      <c r="G481" s="342"/>
      <c r="H481" s="456"/>
      <c r="I481" s="456"/>
      <c r="J481" s="548" t="str">
        <f>IF(OR(D481="",D481="-"),"",VLOOKUP(D481,'Fatores de Emissão'!$C$130:$F$135,4,FALSE))</f>
        <v/>
      </c>
      <c r="K481" s="1024" t="str">
        <f>IF(OR(D481="",D481="-"),"",VLOOKUP(D481,'Fatores de Emissão'!$C$130:$E$135,3,FALSE))</f>
        <v/>
      </c>
      <c r="L481" s="1024" t="str">
        <f>IF(OR(D481="",D481="-"),"",VLOOKUP(D481,'Fatores de Emissão'!$C$130:$G$135,5,FALSE))</f>
        <v/>
      </c>
      <c r="M481" s="1024" t="str">
        <f>IF(OR(D481="",D481="-"),"",VLOOKUP(D481,'Fatores de Emissão'!$C$130:$I$135,7,FALSE))</f>
        <v/>
      </c>
      <c r="N481" s="1024" t="str">
        <f t="shared" si="22"/>
        <v/>
      </c>
      <c r="O481" s="1024" t="str">
        <f t="shared" si="23"/>
        <v/>
      </c>
      <c r="P481" s="1024" t="str">
        <f t="shared" si="24"/>
        <v/>
      </c>
      <c r="Q481" s="961" t="str">
        <f>IF(B481="","",IF(D481="","",N481*'Fatores de Emissão'!$E$252+'Combustão Móvel'!O481*'Fatores de Emissão'!$E$248+'Combustão Móvel'!P481*'Fatores de Emissão'!$E$249))</f>
        <v/>
      </c>
    </row>
    <row r="482" spans="2:17" hidden="1" outlineLevel="2" x14ac:dyDescent="0.35">
      <c r="B482" s="454"/>
      <c r="C482" s="194"/>
      <c r="D482" s="194"/>
      <c r="E482" s="342"/>
      <c r="F482" s="194"/>
      <c r="G482" s="342"/>
      <c r="H482" s="456"/>
      <c r="I482" s="456"/>
      <c r="J482" s="548" t="str">
        <f>IF(OR(D482="",D482="-"),"",VLOOKUP(D482,'Fatores de Emissão'!$C$130:$F$135,4,FALSE))</f>
        <v/>
      </c>
      <c r="K482" s="1024" t="str">
        <f>IF(OR(D482="",D482="-"),"",VLOOKUP(D482,'Fatores de Emissão'!$C$130:$E$135,3,FALSE))</f>
        <v/>
      </c>
      <c r="L482" s="1024" t="str">
        <f>IF(OR(D482="",D482="-"),"",VLOOKUP(D482,'Fatores de Emissão'!$C$130:$G$135,5,FALSE))</f>
        <v/>
      </c>
      <c r="M482" s="1024" t="str">
        <f>IF(OR(D482="",D482="-"),"",VLOOKUP(D482,'Fatores de Emissão'!$C$130:$I$135,7,FALSE))</f>
        <v/>
      </c>
      <c r="N482" s="1024" t="str">
        <f t="shared" si="22"/>
        <v/>
      </c>
      <c r="O482" s="1024" t="str">
        <f t="shared" si="23"/>
        <v/>
      </c>
      <c r="P482" s="1024" t="str">
        <f t="shared" si="24"/>
        <v/>
      </c>
      <c r="Q482" s="961" t="str">
        <f>IF(B482="","",IF(D482="","",N482*'Fatores de Emissão'!$E$252+'Combustão Móvel'!O482*'Fatores de Emissão'!$E$248+'Combustão Móvel'!P482*'Fatores de Emissão'!$E$249))</f>
        <v/>
      </c>
    </row>
    <row r="483" spans="2:17" hidden="1" outlineLevel="2" x14ac:dyDescent="0.35">
      <c r="B483" s="454"/>
      <c r="C483" s="194"/>
      <c r="D483" s="194"/>
      <c r="E483" s="342"/>
      <c r="F483" s="194"/>
      <c r="G483" s="342"/>
      <c r="H483" s="456"/>
      <c r="I483" s="456"/>
      <c r="J483" s="548" t="str">
        <f>IF(OR(D483="",D483="-"),"",VLOOKUP(D483,'Fatores de Emissão'!$C$130:$F$135,4,FALSE))</f>
        <v/>
      </c>
      <c r="K483" s="1024" t="str">
        <f>IF(OR(D483="",D483="-"),"",VLOOKUP(D483,'Fatores de Emissão'!$C$130:$E$135,3,FALSE))</f>
        <v/>
      </c>
      <c r="L483" s="1024" t="str">
        <f>IF(OR(D483="",D483="-"),"",VLOOKUP(D483,'Fatores de Emissão'!$C$130:$G$135,5,FALSE))</f>
        <v/>
      </c>
      <c r="M483" s="1024" t="str">
        <f>IF(OR(D483="",D483="-"),"",VLOOKUP(D483,'Fatores de Emissão'!$C$130:$I$135,7,FALSE))</f>
        <v/>
      </c>
      <c r="N483" s="1024" t="str">
        <f t="shared" si="22"/>
        <v/>
      </c>
      <c r="O483" s="1024" t="str">
        <f t="shared" si="23"/>
        <v/>
      </c>
      <c r="P483" s="1024" t="str">
        <f t="shared" si="24"/>
        <v/>
      </c>
      <c r="Q483" s="961" t="str">
        <f>IF(B483="","",IF(D483="","",N483*'Fatores de Emissão'!$E$252+'Combustão Móvel'!O483*'Fatores de Emissão'!$E$248+'Combustão Móvel'!P483*'Fatores de Emissão'!$E$249))</f>
        <v/>
      </c>
    </row>
    <row r="484" spans="2:17" hidden="1" outlineLevel="2" x14ac:dyDescent="0.35">
      <c r="B484" s="454"/>
      <c r="C484" s="194"/>
      <c r="D484" s="194"/>
      <c r="E484" s="342"/>
      <c r="F484" s="194"/>
      <c r="G484" s="342"/>
      <c r="H484" s="456"/>
      <c r="I484" s="456"/>
      <c r="J484" s="548" t="str">
        <f>IF(OR(D484="",D484="-"),"",VLOOKUP(D484,'Fatores de Emissão'!$C$130:$F$135,4,FALSE))</f>
        <v/>
      </c>
      <c r="K484" s="1024" t="str">
        <f>IF(OR(D484="",D484="-"),"",VLOOKUP(D484,'Fatores de Emissão'!$C$130:$E$135,3,FALSE))</f>
        <v/>
      </c>
      <c r="L484" s="1024" t="str">
        <f>IF(OR(D484="",D484="-"),"",VLOOKUP(D484,'Fatores de Emissão'!$C$130:$G$135,5,FALSE))</f>
        <v/>
      </c>
      <c r="M484" s="1024" t="str">
        <f>IF(OR(D484="",D484="-"),"",VLOOKUP(D484,'Fatores de Emissão'!$C$130:$I$135,7,FALSE))</f>
        <v/>
      </c>
      <c r="N484" s="1024" t="str">
        <f t="shared" si="22"/>
        <v/>
      </c>
      <c r="O484" s="1024" t="str">
        <f t="shared" si="23"/>
        <v/>
      </c>
      <c r="P484" s="1024" t="str">
        <f t="shared" si="24"/>
        <v/>
      </c>
      <c r="Q484" s="961" t="str">
        <f>IF(B484="","",IF(D484="","",N484*'Fatores de Emissão'!$E$252+'Combustão Móvel'!O484*'Fatores de Emissão'!$E$248+'Combustão Móvel'!P484*'Fatores de Emissão'!$E$249))</f>
        <v/>
      </c>
    </row>
    <row r="485" spans="2:17" hidden="1" outlineLevel="2" x14ac:dyDescent="0.35">
      <c r="B485" s="454"/>
      <c r="C485" s="194"/>
      <c r="D485" s="194"/>
      <c r="E485" s="342"/>
      <c r="F485" s="194"/>
      <c r="G485" s="342"/>
      <c r="H485" s="456"/>
      <c r="I485" s="456"/>
      <c r="J485" s="548" t="str">
        <f>IF(OR(D485="",D485="-"),"",VLOOKUP(D485,'Fatores de Emissão'!$C$130:$F$135,4,FALSE))</f>
        <v/>
      </c>
      <c r="K485" s="1024" t="str">
        <f>IF(OR(D485="",D485="-"),"",VLOOKUP(D485,'Fatores de Emissão'!$C$130:$E$135,3,FALSE))</f>
        <v/>
      </c>
      <c r="L485" s="1024" t="str">
        <f>IF(OR(D485="",D485="-"),"",VLOOKUP(D485,'Fatores de Emissão'!$C$130:$G$135,5,FALSE))</f>
        <v/>
      </c>
      <c r="M485" s="1024" t="str">
        <f>IF(OR(D485="",D485="-"),"",VLOOKUP(D485,'Fatores de Emissão'!$C$130:$I$135,7,FALSE))</f>
        <v/>
      </c>
      <c r="N485" s="1024" t="str">
        <f t="shared" si="22"/>
        <v/>
      </c>
      <c r="O485" s="1024" t="str">
        <f t="shared" si="23"/>
        <v/>
      </c>
      <c r="P485" s="1024" t="str">
        <f t="shared" si="24"/>
        <v/>
      </c>
      <c r="Q485" s="961" t="str">
        <f>IF(B485="","",IF(D485="","",N485*'Fatores de Emissão'!$E$252+'Combustão Móvel'!O485*'Fatores de Emissão'!$E$248+'Combustão Móvel'!P485*'Fatores de Emissão'!$E$249))</f>
        <v/>
      </c>
    </row>
    <row r="486" spans="2:17" hidden="1" outlineLevel="2" x14ac:dyDescent="0.35">
      <c r="B486" s="454"/>
      <c r="C486" s="194"/>
      <c r="D486" s="194"/>
      <c r="E486" s="342"/>
      <c r="F486" s="194"/>
      <c r="G486" s="342"/>
      <c r="H486" s="456"/>
      <c r="I486" s="456"/>
      <c r="J486" s="548" t="str">
        <f>IF(OR(D486="",D486="-"),"",VLOOKUP(D486,'Fatores de Emissão'!$C$130:$F$135,4,FALSE))</f>
        <v/>
      </c>
      <c r="K486" s="1024" t="str">
        <f>IF(OR(D486="",D486="-"),"",VLOOKUP(D486,'Fatores de Emissão'!$C$130:$E$135,3,FALSE))</f>
        <v/>
      </c>
      <c r="L486" s="1024" t="str">
        <f>IF(OR(D486="",D486="-"),"",VLOOKUP(D486,'Fatores de Emissão'!$C$130:$G$135,5,FALSE))</f>
        <v/>
      </c>
      <c r="M486" s="1024" t="str">
        <f>IF(OR(D486="",D486="-"),"",VLOOKUP(D486,'Fatores de Emissão'!$C$130:$I$135,7,FALSE))</f>
        <v/>
      </c>
      <c r="N486" s="1024" t="str">
        <f t="shared" si="22"/>
        <v/>
      </c>
      <c r="O486" s="1024" t="str">
        <f t="shared" si="23"/>
        <v/>
      </c>
      <c r="P486" s="1024" t="str">
        <f t="shared" si="24"/>
        <v/>
      </c>
      <c r="Q486" s="961" t="str">
        <f>IF(B486="","",IF(D486="","",N486*'Fatores de Emissão'!$E$252+'Combustão Móvel'!O486*'Fatores de Emissão'!$E$248+'Combustão Móvel'!P486*'Fatores de Emissão'!$E$249))</f>
        <v/>
      </c>
    </row>
    <row r="487" spans="2:17" hidden="1" outlineLevel="2" x14ac:dyDescent="0.35">
      <c r="B487" s="454"/>
      <c r="C487" s="194"/>
      <c r="D487" s="194"/>
      <c r="E487" s="342"/>
      <c r="F487" s="194"/>
      <c r="G487" s="342"/>
      <c r="H487" s="456"/>
      <c r="I487" s="456"/>
      <c r="J487" s="548" t="str">
        <f>IF(OR(D487="",D487="-"),"",VLOOKUP(D487,'Fatores de Emissão'!$C$130:$F$135,4,FALSE))</f>
        <v/>
      </c>
      <c r="K487" s="1024" t="str">
        <f>IF(OR(D487="",D487="-"),"",VLOOKUP(D487,'Fatores de Emissão'!$C$130:$E$135,3,FALSE))</f>
        <v/>
      </c>
      <c r="L487" s="1024" t="str">
        <f>IF(OR(D487="",D487="-"),"",VLOOKUP(D487,'Fatores de Emissão'!$C$130:$G$135,5,FALSE))</f>
        <v/>
      </c>
      <c r="M487" s="1024" t="str">
        <f>IF(OR(D487="",D487="-"),"",VLOOKUP(D487,'Fatores de Emissão'!$C$130:$I$135,7,FALSE))</f>
        <v/>
      </c>
      <c r="N487" s="1024" t="str">
        <f t="shared" si="22"/>
        <v/>
      </c>
      <c r="O487" s="1024" t="str">
        <f t="shared" si="23"/>
        <v/>
      </c>
      <c r="P487" s="1024" t="str">
        <f t="shared" si="24"/>
        <v/>
      </c>
      <c r="Q487" s="961" t="str">
        <f>IF(B487="","",IF(D487="","",N487*'Fatores de Emissão'!$E$252+'Combustão Móvel'!O487*'Fatores de Emissão'!$E$248+'Combustão Móvel'!P487*'Fatores de Emissão'!$E$249))</f>
        <v/>
      </c>
    </row>
    <row r="488" spans="2:17" hidden="1" outlineLevel="2" x14ac:dyDescent="0.35">
      <c r="B488" s="454"/>
      <c r="C488" s="194"/>
      <c r="D488" s="194"/>
      <c r="E488" s="342"/>
      <c r="F488" s="194"/>
      <c r="G488" s="342"/>
      <c r="H488" s="456"/>
      <c r="I488" s="456"/>
      <c r="J488" s="548" t="str">
        <f>IF(OR(D488="",D488="-"),"",VLOOKUP(D488,'Fatores de Emissão'!$C$130:$F$135,4,FALSE))</f>
        <v/>
      </c>
      <c r="K488" s="1024" t="str">
        <f>IF(OR(D488="",D488="-"),"",VLOOKUP(D488,'Fatores de Emissão'!$C$130:$E$135,3,FALSE))</f>
        <v/>
      </c>
      <c r="L488" s="1024" t="str">
        <f>IF(OR(D488="",D488="-"),"",VLOOKUP(D488,'Fatores de Emissão'!$C$130:$G$135,5,FALSE))</f>
        <v/>
      </c>
      <c r="M488" s="1024" t="str">
        <f>IF(OR(D488="",D488="-"),"",VLOOKUP(D488,'Fatores de Emissão'!$C$130:$I$135,7,FALSE))</f>
        <v/>
      </c>
      <c r="N488" s="1024" t="str">
        <f t="shared" si="22"/>
        <v/>
      </c>
      <c r="O488" s="1024" t="str">
        <f t="shared" si="23"/>
        <v/>
      </c>
      <c r="P488" s="1024" t="str">
        <f t="shared" si="24"/>
        <v/>
      </c>
      <c r="Q488" s="961" t="str">
        <f>IF(B488="","",IF(D488="","",N488*'Fatores de Emissão'!$E$252+'Combustão Móvel'!O488*'Fatores de Emissão'!$E$248+'Combustão Móvel'!P488*'Fatores de Emissão'!$E$249))</f>
        <v/>
      </c>
    </row>
    <row r="489" spans="2:17" hidden="1" outlineLevel="2" x14ac:dyDescent="0.35">
      <c r="B489" s="454"/>
      <c r="C489" s="194"/>
      <c r="D489" s="194"/>
      <c r="E489" s="342"/>
      <c r="F489" s="194"/>
      <c r="G489" s="342"/>
      <c r="H489" s="456"/>
      <c r="I489" s="456"/>
      <c r="J489" s="548" t="str">
        <f>IF(OR(D489="",D489="-"),"",VLOOKUP(D489,'Fatores de Emissão'!$C$130:$F$135,4,FALSE))</f>
        <v/>
      </c>
      <c r="K489" s="1024" t="str">
        <f>IF(OR(D489="",D489="-"),"",VLOOKUP(D489,'Fatores de Emissão'!$C$130:$E$135,3,FALSE))</f>
        <v/>
      </c>
      <c r="L489" s="1024" t="str">
        <f>IF(OR(D489="",D489="-"),"",VLOOKUP(D489,'Fatores de Emissão'!$C$130:$G$135,5,FALSE))</f>
        <v/>
      </c>
      <c r="M489" s="1024" t="str">
        <f>IF(OR(D489="",D489="-"),"",VLOOKUP(D489,'Fatores de Emissão'!$C$130:$I$135,7,FALSE))</f>
        <v/>
      </c>
      <c r="N489" s="1024" t="str">
        <f t="shared" si="22"/>
        <v/>
      </c>
      <c r="O489" s="1024" t="str">
        <f t="shared" si="23"/>
        <v/>
      </c>
      <c r="P489" s="1024" t="str">
        <f t="shared" si="24"/>
        <v/>
      </c>
      <c r="Q489" s="961" t="str">
        <f>IF(B489="","",IF(D489="","",N489*'Fatores de Emissão'!$E$252+'Combustão Móvel'!O489*'Fatores de Emissão'!$E$248+'Combustão Móvel'!P489*'Fatores de Emissão'!$E$249))</f>
        <v/>
      </c>
    </row>
    <row r="490" spans="2:17" hidden="1" outlineLevel="2" x14ac:dyDescent="0.35">
      <c r="B490" s="454"/>
      <c r="C490" s="194"/>
      <c r="D490" s="194"/>
      <c r="E490" s="342"/>
      <c r="F490" s="194"/>
      <c r="G490" s="342"/>
      <c r="H490" s="456"/>
      <c r="I490" s="456"/>
      <c r="J490" s="548" t="str">
        <f>IF(OR(D490="",D490="-"),"",VLOOKUP(D490,'Fatores de Emissão'!$C$130:$F$135,4,FALSE))</f>
        <v/>
      </c>
      <c r="K490" s="1024" t="str">
        <f>IF(OR(D490="",D490="-"),"",VLOOKUP(D490,'Fatores de Emissão'!$C$130:$E$135,3,FALSE))</f>
        <v/>
      </c>
      <c r="L490" s="1024" t="str">
        <f>IF(OR(D490="",D490="-"),"",VLOOKUP(D490,'Fatores de Emissão'!$C$130:$G$135,5,FALSE))</f>
        <v/>
      </c>
      <c r="M490" s="1024" t="str">
        <f>IF(OR(D490="",D490="-"),"",VLOOKUP(D490,'Fatores de Emissão'!$C$130:$I$135,7,FALSE))</f>
        <v/>
      </c>
      <c r="N490" s="1024" t="str">
        <f t="shared" si="22"/>
        <v/>
      </c>
      <c r="O490" s="1024" t="str">
        <f t="shared" si="23"/>
        <v/>
      </c>
      <c r="P490" s="1024" t="str">
        <f t="shared" si="24"/>
        <v/>
      </c>
      <c r="Q490" s="961" t="str">
        <f>IF(B490="","",IF(D490="","",N490*'Fatores de Emissão'!$E$252+'Combustão Móvel'!O490*'Fatores de Emissão'!$E$248+'Combustão Móvel'!P490*'Fatores de Emissão'!$E$249))</f>
        <v/>
      </c>
    </row>
    <row r="491" spans="2:17" hidden="1" outlineLevel="2" x14ac:dyDescent="0.35">
      <c r="B491" s="454"/>
      <c r="C491" s="194"/>
      <c r="D491" s="194"/>
      <c r="E491" s="342"/>
      <c r="F491" s="194"/>
      <c r="G491" s="342"/>
      <c r="H491" s="456"/>
      <c r="I491" s="456"/>
      <c r="J491" s="548" t="str">
        <f>IF(OR(D491="",D491="-"),"",VLOOKUP(D491,'Fatores de Emissão'!$C$130:$F$135,4,FALSE))</f>
        <v/>
      </c>
      <c r="K491" s="1024" t="str">
        <f>IF(OR(D491="",D491="-"),"",VLOOKUP(D491,'Fatores de Emissão'!$C$130:$E$135,3,FALSE))</f>
        <v/>
      </c>
      <c r="L491" s="1024" t="str">
        <f>IF(OR(D491="",D491="-"),"",VLOOKUP(D491,'Fatores de Emissão'!$C$130:$G$135,5,FALSE))</f>
        <v/>
      </c>
      <c r="M491" s="1024" t="str">
        <f>IF(OR(D491="",D491="-"),"",VLOOKUP(D491,'Fatores de Emissão'!$C$130:$I$135,7,FALSE))</f>
        <v/>
      </c>
      <c r="N491" s="1024" t="str">
        <f t="shared" si="22"/>
        <v/>
      </c>
      <c r="O491" s="1024" t="str">
        <f t="shared" si="23"/>
        <v/>
      </c>
      <c r="P491" s="1024" t="str">
        <f t="shared" si="24"/>
        <v/>
      </c>
      <c r="Q491" s="961" t="str">
        <f>IF(B491="","",IF(D491="","",N491*'Fatores de Emissão'!$E$252+'Combustão Móvel'!O491*'Fatores de Emissão'!$E$248+'Combustão Móvel'!P491*'Fatores de Emissão'!$E$249))</f>
        <v/>
      </c>
    </row>
    <row r="492" spans="2:17" hidden="1" outlineLevel="2" x14ac:dyDescent="0.35">
      <c r="B492" s="454"/>
      <c r="C492" s="194"/>
      <c r="D492" s="194"/>
      <c r="E492" s="342"/>
      <c r="F492" s="194"/>
      <c r="G492" s="342"/>
      <c r="H492" s="456"/>
      <c r="I492" s="456"/>
      <c r="J492" s="548" t="str">
        <f>IF(OR(D492="",D492="-"),"",VLOOKUP(D492,'Fatores de Emissão'!$C$130:$F$135,4,FALSE))</f>
        <v/>
      </c>
      <c r="K492" s="1024" t="str">
        <f>IF(OR(D492="",D492="-"),"",VLOOKUP(D492,'Fatores de Emissão'!$C$130:$E$135,3,FALSE))</f>
        <v/>
      </c>
      <c r="L492" s="1024" t="str">
        <f>IF(OR(D492="",D492="-"),"",VLOOKUP(D492,'Fatores de Emissão'!$C$130:$G$135,5,FALSE))</f>
        <v/>
      </c>
      <c r="M492" s="1024" t="str">
        <f>IF(OR(D492="",D492="-"),"",VLOOKUP(D492,'Fatores de Emissão'!$C$130:$I$135,7,FALSE))</f>
        <v/>
      </c>
      <c r="N492" s="1024" t="str">
        <f t="shared" si="22"/>
        <v/>
      </c>
      <c r="O492" s="1024" t="str">
        <f t="shared" si="23"/>
        <v/>
      </c>
      <c r="P492" s="1024" t="str">
        <f t="shared" si="24"/>
        <v/>
      </c>
      <c r="Q492" s="961" t="str">
        <f>IF(B492="","",IF(D492="","",N492*'Fatores de Emissão'!$E$252+'Combustão Móvel'!O492*'Fatores de Emissão'!$E$248+'Combustão Móvel'!P492*'Fatores de Emissão'!$E$249))</f>
        <v/>
      </c>
    </row>
    <row r="493" spans="2:17" hidden="1" outlineLevel="2" x14ac:dyDescent="0.35">
      <c r="B493" s="454"/>
      <c r="C493" s="194"/>
      <c r="D493" s="194"/>
      <c r="E493" s="342"/>
      <c r="F493" s="194"/>
      <c r="G493" s="342"/>
      <c r="H493" s="456"/>
      <c r="I493" s="456"/>
      <c r="J493" s="548" t="str">
        <f>IF(OR(D493="",D493="-"),"",VLOOKUP(D493,'Fatores de Emissão'!$C$130:$F$135,4,FALSE))</f>
        <v/>
      </c>
      <c r="K493" s="1024" t="str">
        <f>IF(OR(D493="",D493="-"),"",VLOOKUP(D493,'Fatores de Emissão'!$C$130:$E$135,3,FALSE))</f>
        <v/>
      </c>
      <c r="L493" s="1024" t="str">
        <f>IF(OR(D493="",D493="-"),"",VLOOKUP(D493,'Fatores de Emissão'!$C$130:$G$135,5,FALSE))</f>
        <v/>
      </c>
      <c r="M493" s="1024" t="str">
        <f>IF(OR(D493="",D493="-"),"",VLOOKUP(D493,'Fatores de Emissão'!$C$130:$I$135,7,FALSE))</f>
        <v/>
      </c>
      <c r="N493" s="1024" t="str">
        <f t="shared" si="22"/>
        <v/>
      </c>
      <c r="O493" s="1024" t="str">
        <f t="shared" si="23"/>
        <v/>
      </c>
      <c r="P493" s="1024" t="str">
        <f t="shared" si="24"/>
        <v/>
      </c>
      <c r="Q493" s="961" t="str">
        <f>IF(B493="","",IF(D493="","",N493*'Fatores de Emissão'!$E$252+'Combustão Móvel'!O493*'Fatores de Emissão'!$E$248+'Combustão Móvel'!P493*'Fatores de Emissão'!$E$249))</f>
        <v/>
      </c>
    </row>
    <row r="494" spans="2:17" hidden="1" outlineLevel="2" x14ac:dyDescent="0.35">
      <c r="B494" s="454"/>
      <c r="C494" s="194"/>
      <c r="D494" s="194"/>
      <c r="E494" s="342"/>
      <c r="F494" s="194"/>
      <c r="G494" s="342"/>
      <c r="H494" s="456"/>
      <c r="I494" s="456"/>
      <c r="J494" s="548" t="str">
        <f>IF(OR(D494="",D494="-"),"",VLOOKUP(D494,'Fatores de Emissão'!$C$130:$F$135,4,FALSE))</f>
        <v/>
      </c>
      <c r="K494" s="1024" t="str">
        <f>IF(OR(D494="",D494="-"),"",VLOOKUP(D494,'Fatores de Emissão'!$C$130:$E$135,3,FALSE))</f>
        <v/>
      </c>
      <c r="L494" s="1024" t="str">
        <f>IF(OR(D494="",D494="-"),"",VLOOKUP(D494,'Fatores de Emissão'!$C$130:$G$135,5,FALSE))</f>
        <v/>
      </c>
      <c r="M494" s="1024" t="str">
        <f>IF(OR(D494="",D494="-"),"",VLOOKUP(D494,'Fatores de Emissão'!$C$130:$I$135,7,FALSE))</f>
        <v/>
      </c>
      <c r="N494" s="1024" t="str">
        <f t="shared" si="22"/>
        <v/>
      </c>
      <c r="O494" s="1024" t="str">
        <f t="shared" si="23"/>
        <v/>
      </c>
      <c r="P494" s="1024" t="str">
        <f t="shared" si="24"/>
        <v/>
      </c>
      <c r="Q494" s="961" t="str">
        <f>IF(B494="","",IF(D494="","",N494*'Fatores de Emissão'!$E$252+'Combustão Móvel'!O494*'Fatores de Emissão'!$E$248+'Combustão Móvel'!P494*'Fatores de Emissão'!$E$249))</f>
        <v/>
      </c>
    </row>
    <row r="495" spans="2:17" hidden="1" outlineLevel="2" x14ac:dyDescent="0.35">
      <c r="B495" s="454"/>
      <c r="C495" s="194"/>
      <c r="D495" s="194"/>
      <c r="E495" s="342"/>
      <c r="F495" s="194"/>
      <c r="G495" s="342"/>
      <c r="H495" s="456"/>
      <c r="I495" s="456"/>
      <c r="J495" s="548" t="str">
        <f>IF(OR(D495="",D495="-"),"",VLOOKUP(D495,'Fatores de Emissão'!$C$130:$F$135,4,FALSE))</f>
        <v/>
      </c>
      <c r="K495" s="1024" t="str">
        <f>IF(OR(D495="",D495="-"),"",VLOOKUP(D495,'Fatores de Emissão'!$C$130:$E$135,3,FALSE))</f>
        <v/>
      </c>
      <c r="L495" s="1024" t="str">
        <f>IF(OR(D495="",D495="-"),"",VLOOKUP(D495,'Fatores de Emissão'!$C$130:$G$135,5,FALSE))</f>
        <v/>
      </c>
      <c r="M495" s="1024" t="str">
        <f>IF(OR(D495="",D495="-"),"",VLOOKUP(D495,'Fatores de Emissão'!$C$130:$I$135,7,FALSE))</f>
        <v/>
      </c>
      <c r="N495" s="1024" t="str">
        <f t="shared" si="22"/>
        <v/>
      </c>
      <c r="O495" s="1024" t="str">
        <f t="shared" si="23"/>
        <v/>
      </c>
      <c r="P495" s="1024" t="str">
        <f t="shared" si="24"/>
        <v/>
      </c>
      <c r="Q495" s="961" t="str">
        <f>IF(B495="","",IF(D495="","",N495*'Fatores de Emissão'!$E$252+'Combustão Móvel'!O495*'Fatores de Emissão'!$E$248+'Combustão Móvel'!P495*'Fatores de Emissão'!$E$249))</f>
        <v/>
      </c>
    </row>
    <row r="496" spans="2:17" hidden="1" outlineLevel="2" x14ac:dyDescent="0.35">
      <c r="B496" s="454"/>
      <c r="C496" s="194"/>
      <c r="D496" s="194"/>
      <c r="E496" s="342"/>
      <c r="F496" s="194"/>
      <c r="G496" s="342"/>
      <c r="H496" s="456"/>
      <c r="I496" s="456"/>
      <c r="J496" s="548" t="str">
        <f>IF(OR(D496="",D496="-"),"",VLOOKUP(D496,'Fatores de Emissão'!$C$130:$F$135,4,FALSE))</f>
        <v/>
      </c>
      <c r="K496" s="1024" t="str">
        <f>IF(OR(D496="",D496="-"),"",VLOOKUP(D496,'Fatores de Emissão'!$C$130:$E$135,3,FALSE))</f>
        <v/>
      </c>
      <c r="L496" s="1024" t="str">
        <f>IF(OR(D496="",D496="-"),"",VLOOKUP(D496,'Fatores de Emissão'!$C$130:$G$135,5,FALSE))</f>
        <v/>
      </c>
      <c r="M496" s="1024" t="str">
        <f>IF(OR(D496="",D496="-"),"",VLOOKUP(D496,'Fatores de Emissão'!$C$130:$I$135,7,FALSE))</f>
        <v/>
      </c>
      <c r="N496" s="1024" t="str">
        <f t="shared" si="22"/>
        <v/>
      </c>
      <c r="O496" s="1024" t="str">
        <f t="shared" si="23"/>
        <v/>
      </c>
      <c r="P496" s="1024" t="str">
        <f t="shared" si="24"/>
        <v/>
      </c>
      <c r="Q496" s="961" t="str">
        <f>IF(B496="","",IF(D496="","",N496*'Fatores de Emissão'!$E$252+'Combustão Móvel'!O496*'Fatores de Emissão'!$E$248+'Combustão Móvel'!P496*'Fatores de Emissão'!$E$249))</f>
        <v/>
      </c>
    </row>
    <row r="497" spans="2:17" hidden="1" outlineLevel="2" x14ac:dyDescent="0.35">
      <c r="B497" s="454"/>
      <c r="C497" s="194"/>
      <c r="D497" s="194"/>
      <c r="E497" s="342"/>
      <c r="F497" s="194"/>
      <c r="G497" s="342"/>
      <c r="H497" s="456"/>
      <c r="I497" s="456"/>
      <c r="J497" s="548" t="str">
        <f>IF(OR(D497="",D497="-"),"",VLOOKUP(D497,'Fatores de Emissão'!$C$130:$F$135,4,FALSE))</f>
        <v/>
      </c>
      <c r="K497" s="1024" t="str">
        <f>IF(OR(D497="",D497="-"),"",VLOOKUP(D497,'Fatores de Emissão'!$C$130:$E$135,3,FALSE))</f>
        <v/>
      </c>
      <c r="L497" s="1024" t="str">
        <f>IF(OR(D497="",D497="-"),"",VLOOKUP(D497,'Fatores de Emissão'!$C$130:$G$135,5,FALSE))</f>
        <v/>
      </c>
      <c r="M497" s="1024" t="str">
        <f>IF(OR(D497="",D497="-"),"",VLOOKUP(D497,'Fatores de Emissão'!$C$130:$I$135,7,FALSE))</f>
        <v/>
      </c>
      <c r="N497" s="1024" t="str">
        <f t="shared" si="22"/>
        <v/>
      </c>
      <c r="O497" s="1024" t="str">
        <f t="shared" si="23"/>
        <v/>
      </c>
      <c r="P497" s="1024" t="str">
        <f t="shared" si="24"/>
        <v/>
      </c>
      <c r="Q497" s="961" t="str">
        <f>IF(B497="","",IF(D497="","",N497*'Fatores de Emissão'!$E$252+'Combustão Móvel'!O497*'Fatores de Emissão'!$E$248+'Combustão Móvel'!P497*'Fatores de Emissão'!$E$249))</f>
        <v/>
      </c>
    </row>
    <row r="498" spans="2:17" hidden="1" outlineLevel="2" x14ac:dyDescent="0.35">
      <c r="B498" s="454"/>
      <c r="C498" s="194"/>
      <c r="D498" s="194"/>
      <c r="E498" s="342"/>
      <c r="F498" s="194"/>
      <c r="G498" s="342"/>
      <c r="H498" s="456"/>
      <c r="I498" s="456"/>
      <c r="J498" s="548" t="str">
        <f>IF(OR(D498="",D498="-"),"",VLOOKUP(D498,'Fatores de Emissão'!$C$130:$F$135,4,FALSE))</f>
        <v/>
      </c>
      <c r="K498" s="1024" t="str">
        <f>IF(OR(D498="",D498="-"),"",VLOOKUP(D498,'Fatores de Emissão'!$C$130:$E$135,3,FALSE))</f>
        <v/>
      </c>
      <c r="L498" s="1024" t="str">
        <f>IF(OR(D498="",D498="-"),"",VLOOKUP(D498,'Fatores de Emissão'!$C$130:$G$135,5,FALSE))</f>
        <v/>
      </c>
      <c r="M498" s="1024" t="str">
        <f>IF(OR(D498="",D498="-"),"",VLOOKUP(D498,'Fatores de Emissão'!$C$130:$I$135,7,FALSE))</f>
        <v/>
      </c>
      <c r="N498" s="1024" t="str">
        <f t="shared" si="22"/>
        <v/>
      </c>
      <c r="O498" s="1024" t="str">
        <f t="shared" si="23"/>
        <v/>
      </c>
      <c r="P498" s="1024" t="str">
        <f t="shared" si="24"/>
        <v/>
      </c>
      <c r="Q498" s="961" t="str">
        <f>IF(B498="","",IF(D498="","",N498*'Fatores de Emissão'!$E$252+'Combustão Móvel'!O498*'Fatores de Emissão'!$E$248+'Combustão Móvel'!P498*'Fatores de Emissão'!$E$249))</f>
        <v/>
      </c>
    </row>
    <row r="499" spans="2:17" hidden="1" outlineLevel="2" x14ac:dyDescent="0.35">
      <c r="B499" s="454"/>
      <c r="C499" s="194"/>
      <c r="D499" s="194"/>
      <c r="E499" s="342"/>
      <c r="F499" s="194"/>
      <c r="G499" s="342"/>
      <c r="H499" s="456"/>
      <c r="I499" s="456"/>
      <c r="J499" s="548" t="str">
        <f>IF(OR(D499="",D499="-"),"",VLOOKUP(D499,'Fatores de Emissão'!$C$130:$F$135,4,FALSE))</f>
        <v/>
      </c>
      <c r="K499" s="1024" t="str">
        <f>IF(OR(D499="",D499="-"),"",VLOOKUP(D499,'Fatores de Emissão'!$C$130:$E$135,3,FALSE))</f>
        <v/>
      </c>
      <c r="L499" s="1024" t="str">
        <f>IF(OR(D499="",D499="-"),"",VLOOKUP(D499,'Fatores de Emissão'!$C$130:$G$135,5,FALSE))</f>
        <v/>
      </c>
      <c r="M499" s="1024" t="str">
        <f>IF(OR(D499="",D499="-"),"",VLOOKUP(D499,'Fatores de Emissão'!$C$130:$I$135,7,FALSE))</f>
        <v/>
      </c>
      <c r="N499" s="1024" t="str">
        <f t="shared" si="22"/>
        <v/>
      </c>
      <c r="O499" s="1024" t="str">
        <f t="shared" si="23"/>
        <v/>
      </c>
      <c r="P499" s="1024" t="str">
        <f t="shared" si="24"/>
        <v/>
      </c>
      <c r="Q499" s="961" t="str">
        <f>IF(B499="","",IF(D499="","",N499*'Fatores de Emissão'!$E$252+'Combustão Móvel'!O499*'Fatores de Emissão'!$E$248+'Combustão Móvel'!P499*'Fatores de Emissão'!$E$249))</f>
        <v/>
      </c>
    </row>
    <row r="500" spans="2:17" hidden="1" outlineLevel="2" x14ac:dyDescent="0.35">
      <c r="B500" s="454"/>
      <c r="C500" s="194"/>
      <c r="D500" s="194"/>
      <c r="E500" s="342"/>
      <c r="F500" s="194"/>
      <c r="G500" s="342"/>
      <c r="H500" s="456"/>
      <c r="I500" s="456"/>
      <c r="J500" s="548" t="str">
        <f>IF(OR(D500="",D500="-"),"",VLOOKUP(D500,'Fatores de Emissão'!$C$130:$F$135,4,FALSE))</f>
        <v/>
      </c>
      <c r="K500" s="1024" t="str">
        <f>IF(OR(D500="",D500="-"),"",VLOOKUP(D500,'Fatores de Emissão'!$C$130:$E$135,3,FALSE))</f>
        <v/>
      </c>
      <c r="L500" s="1024" t="str">
        <f>IF(OR(D500="",D500="-"),"",VLOOKUP(D500,'Fatores de Emissão'!$C$130:$G$135,5,FALSE))</f>
        <v/>
      </c>
      <c r="M500" s="1024" t="str">
        <f>IF(OR(D500="",D500="-"),"",VLOOKUP(D500,'Fatores de Emissão'!$C$130:$I$135,7,FALSE))</f>
        <v/>
      </c>
      <c r="N500" s="1024" t="str">
        <f t="shared" si="22"/>
        <v/>
      </c>
      <c r="O500" s="1024" t="str">
        <f t="shared" si="23"/>
        <v/>
      </c>
      <c r="P500" s="1024" t="str">
        <f t="shared" si="24"/>
        <v/>
      </c>
      <c r="Q500" s="961" t="str">
        <f>IF(B500="","",IF(D500="","",N500*'Fatores de Emissão'!$E$252+'Combustão Móvel'!O500*'Fatores de Emissão'!$E$248+'Combustão Móvel'!P500*'Fatores de Emissão'!$E$249))</f>
        <v/>
      </c>
    </row>
    <row r="501" spans="2:17" hidden="1" outlineLevel="2" x14ac:dyDescent="0.35">
      <c r="B501" s="454"/>
      <c r="C501" s="194"/>
      <c r="D501" s="194"/>
      <c r="E501" s="342"/>
      <c r="F501" s="194"/>
      <c r="G501" s="342"/>
      <c r="H501" s="456"/>
      <c r="I501" s="456"/>
      <c r="J501" s="548" t="str">
        <f>IF(OR(D501="",D501="-"),"",VLOOKUP(D501,'Fatores de Emissão'!$C$130:$F$135,4,FALSE))</f>
        <v/>
      </c>
      <c r="K501" s="1024" t="str">
        <f>IF(OR(D501="",D501="-"),"",VLOOKUP(D501,'Fatores de Emissão'!$C$130:$E$135,3,FALSE))</f>
        <v/>
      </c>
      <c r="L501" s="1024" t="str">
        <f>IF(OR(D501="",D501="-"),"",VLOOKUP(D501,'Fatores de Emissão'!$C$130:$G$135,5,FALSE))</f>
        <v/>
      </c>
      <c r="M501" s="1024" t="str">
        <f>IF(OR(D501="",D501="-"),"",VLOOKUP(D501,'Fatores de Emissão'!$C$130:$I$135,7,FALSE))</f>
        <v/>
      </c>
      <c r="N501" s="1024" t="str">
        <f t="shared" si="22"/>
        <v/>
      </c>
      <c r="O501" s="1024" t="str">
        <f t="shared" si="23"/>
        <v/>
      </c>
      <c r="P501" s="1024" t="str">
        <f t="shared" si="24"/>
        <v/>
      </c>
      <c r="Q501" s="961" t="str">
        <f>IF(B501="","",IF(D501="","",N501*'Fatores de Emissão'!$E$252+'Combustão Móvel'!O501*'Fatores de Emissão'!$E$248+'Combustão Móvel'!P501*'Fatores de Emissão'!$E$249))</f>
        <v/>
      </c>
    </row>
    <row r="502" spans="2:17" hidden="1" outlineLevel="2" x14ac:dyDescent="0.35">
      <c r="B502" s="454"/>
      <c r="C502" s="194"/>
      <c r="D502" s="194"/>
      <c r="E502" s="342"/>
      <c r="F502" s="194"/>
      <c r="G502" s="342"/>
      <c r="H502" s="456"/>
      <c r="I502" s="456"/>
      <c r="J502" s="548" t="str">
        <f>IF(OR(D502="",D502="-"),"",VLOOKUP(D502,'Fatores de Emissão'!$C$130:$F$135,4,FALSE))</f>
        <v/>
      </c>
      <c r="K502" s="1024" t="str">
        <f>IF(OR(D502="",D502="-"),"",VLOOKUP(D502,'Fatores de Emissão'!$C$130:$E$135,3,FALSE))</f>
        <v/>
      </c>
      <c r="L502" s="1024" t="str">
        <f>IF(OR(D502="",D502="-"),"",VLOOKUP(D502,'Fatores de Emissão'!$C$130:$G$135,5,FALSE))</f>
        <v/>
      </c>
      <c r="M502" s="1024" t="str">
        <f>IF(OR(D502="",D502="-"),"",VLOOKUP(D502,'Fatores de Emissão'!$C$130:$I$135,7,FALSE))</f>
        <v/>
      </c>
      <c r="N502" s="1024" t="str">
        <f t="shared" si="22"/>
        <v/>
      </c>
      <c r="O502" s="1024" t="str">
        <f t="shared" si="23"/>
        <v/>
      </c>
      <c r="P502" s="1024" t="str">
        <f t="shared" si="24"/>
        <v/>
      </c>
      <c r="Q502" s="961" t="str">
        <f>IF(B502="","",IF(D502="","",N502*'Fatores de Emissão'!$E$252+'Combustão Móvel'!O502*'Fatores de Emissão'!$E$248+'Combustão Móvel'!P502*'Fatores de Emissão'!$E$249))</f>
        <v/>
      </c>
    </row>
    <row r="503" spans="2:17" outlineLevel="1" collapsed="1" x14ac:dyDescent="0.35">
      <c r="B503" s="323" t="s">
        <v>40</v>
      </c>
      <c r="C503" s="280"/>
      <c r="D503" s="280"/>
      <c r="E503" s="280"/>
      <c r="F503" s="280"/>
      <c r="G503" s="280"/>
      <c r="H503" s="280"/>
      <c r="I503" s="280"/>
      <c r="J503" s="280"/>
      <c r="K503" s="550"/>
      <c r="L503" s="550"/>
      <c r="M503" s="555"/>
      <c r="N503" s="962">
        <f>SUM(N403:N502)</f>
        <v>0</v>
      </c>
      <c r="O503" s="962">
        <f>SUM(O403:O502)</f>
        <v>0</v>
      </c>
      <c r="P503" s="962">
        <f>SUM(P403:P502)</f>
        <v>0</v>
      </c>
      <c r="Q503" s="963">
        <f>SUM(Q403:Q502)</f>
        <v>0</v>
      </c>
    </row>
    <row r="504" spans="2:17" outlineLevel="1" x14ac:dyDescent="0.35"/>
    <row r="505" spans="2:17" s="538" customFormat="1" ht="30" customHeight="1" x14ac:dyDescent="0.35">
      <c r="B505" s="296" t="s">
        <v>1065</v>
      </c>
    </row>
    <row r="506" spans="2:17" x14ac:dyDescent="0.35"/>
    <row r="507" spans="2:17" outlineLevel="1" x14ac:dyDescent="0.35">
      <c r="B507" s="167" t="s">
        <v>27</v>
      </c>
      <c r="C507" s="172"/>
      <c r="D507" s="172"/>
      <c r="E507" s="172"/>
      <c r="F507" s="172"/>
      <c r="G507" s="172"/>
      <c r="H507" s="172"/>
      <c r="I507" s="172"/>
      <c r="J507" s="172"/>
    </row>
    <row r="508" spans="2:17" s="314" customFormat="1" outlineLevel="1" x14ac:dyDescent="0.35">
      <c r="B508" s="422" t="s">
        <v>599</v>
      </c>
      <c r="C508" s="309"/>
      <c r="D508" s="419"/>
      <c r="E508" s="419"/>
      <c r="F508" s="419"/>
      <c r="G508" s="419"/>
      <c r="H508" s="419"/>
      <c r="I508" s="419"/>
      <c r="J508" s="419"/>
    </row>
    <row r="509" spans="2:17" s="314" customFormat="1" outlineLevel="1" x14ac:dyDescent="0.35">
      <c r="B509" s="313" t="s">
        <v>1328</v>
      </c>
      <c r="C509" s="309"/>
      <c r="D509" s="419"/>
      <c r="E509" s="419"/>
      <c r="F509" s="419"/>
      <c r="G509" s="419"/>
      <c r="H509" s="419"/>
      <c r="I509" s="419"/>
      <c r="J509" s="419"/>
    </row>
    <row r="510" spans="2:17" s="314" customFormat="1" outlineLevel="1" x14ac:dyDescent="0.35">
      <c r="B510" s="449" t="s">
        <v>1349</v>
      </c>
      <c r="C510" s="309"/>
      <c r="D510" s="419"/>
      <c r="E510" s="419"/>
      <c r="F510" s="419"/>
      <c r="G510" s="419"/>
      <c r="H510" s="419"/>
      <c r="I510" s="419"/>
      <c r="J510" s="419"/>
    </row>
    <row r="511" spans="2:17" s="314" customFormat="1" outlineLevel="1" x14ac:dyDescent="0.35">
      <c r="B511" s="449" t="s">
        <v>1350</v>
      </c>
      <c r="C511" s="309"/>
      <c r="D511" s="419"/>
      <c r="E511" s="419"/>
      <c r="F511" s="419"/>
      <c r="G511" s="419"/>
      <c r="H511" s="419"/>
      <c r="I511" s="419"/>
      <c r="J511" s="419"/>
      <c r="P511" s="307"/>
    </row>
    <row r="512" spans="2:17" s="314" customFormat="1" outlineLevel="1" x14ac:dyDescent="0.35">
      <c r="B512" s="313" t="s">
        <v>1331</v>
      </c>
      <c r="C512" s="309"/>
      <c r="D512" s="419"/>
      <c r="E512" s="419"/>
      <c r="F512" s="419"/>
      <c r="G512" s="419"/>
      <c r="H512" s="419"/>
      <c r="I512" s="419"/>
      <c r="J512" s="419"/>
      <c r="P512" s="307"/>
    </row>
    <row r="513" spans="1:16" s="314" customFormat="1" outlineLevel="1" x14ac:dyDescent="0.35">
      <c r="P513" s="307"/>
    </row>
    <row r="514" spans="1:16" s="314" customFormat="1" outlineLevel="1" x14ac:dyDescent="0.35">
      <c r="B514" s="169" t="s">
        <v>1448</v>
      </c>
      <c r="P514" s="307"/>
    </row>
    <row r="515" spans="1:16" s="314" customFormat="1" ht="16.899999999999999" customHeight="1" outlineLevel="1" x14ac:dyDescent="0.35">
      <c r="B515" s="1089" t="s">
        <v>598</v>
      </c>
      <c r="C515" s="1089" t="s">
        <v>211</v>
      </c>
      <c r="D515" s="1089" t="s">
        <v>702</v>
      </c>
      <c r="E515" s="1089" t="s">
        <v>41</v>
      </c>
      <c r="F515" s="1089" t="s">
        <v>709</v>
      </c>
      <c r="G515" s="1089" t="s">
        <v>708</v>
      </c>
      <c r="H515" s="1121" t="s">
        <v>1068</v>
      </c>
      <c r="I515" s="1122"/>
      <c r="J515" s="1123"/>
      <c r="K515" s="1121" t="s">
        <v>1069</v>
      </c>
      <c r="L515" s="1122"/>
      <c r="M515" s="1123"/>
      <c r="N515" s="1089" t="s">
        <v>1345</v>
      </c>
    </row>
    <row r="516" spans="1:16" s="314" customFormat="1" ht="17.5" customHeight="1" outlineLevel="1" x14ac:dyDescent="0.35">
      <c r="B516" s="1090"/>
      <c r="C516" s="1090"/>
      <c r="D516" s="1090"/>
      <c r="E516" s="1090"/>
      <c r="F516" s="1090"/>
      <c r="G516" s="1090"/>
      <c r="H516" s="1124"/>
      <c r="I516" s="1125"/>
      <c r="J516" s="1126"/>
      <c r="K516" s="1124"/>
      <c r="L516" s="1125"/>
      <c r="M516" s="1126"/>
      <c r="N516" s="1090"/>
    </row>
    <row r="517" spans="1:16" s="314" customFormat="1" ht="17.5" customHeight="1" outlineLevel="1" x14ac:dyDescent="0.35">
      <c r="B517" s="1100"/>
      <c r="C517" s="1100"/>
      <c r="D517" s="1100"/>
      <c r="E517" s="1100"/>
      <c r="F517" s="1100"/>
      <c r="G517" s="1100"/>
      <c r="H517" s="257" t="s">
        <v>1336</v>
      </c>
      <c r="I517" s="257" t="s">
        <v>1337</v>
      </c>
      <c r="J517" s="257" t="s">
        <v>1338</v>
      </c>
      <c r="K517" s="257" t="s">
        <v>1336</v>
      </c>
      <c r="L517" s="257" t="s">
        <v>1337</v>
      </c>
      <c r="M517" s="257" t="s">
        <v>1338</v>
      </c>
      <c r="N517" s="361" t="s">
        <v>1070</v>
      </c>
    </row>
    <row r="518" spans="1:16" s="453" customFormat="1" ht="42" customHeight="1" outlineLevel="1" x14ac:dyDescent="0.35">
      <c r="A518" s="450" t="s">
        <v>39</v>
      </c>
      <c r="B518" s="451" t="s">
        <v>255</v>
      </c>
      <c r="C518" s="451" t="s">
        <v>712</v>
      </c>
      <c r="D518" s="451" t="s">
        <v>1447</v>
      </c>
      <c r="E518" s="451" t="s">
        <v>1430</v>
      </c>
      <c r="F518" s="539">
        <v>100</v>
      </c>
      <c r="G518" s="451" t="s">
        <v>34</v>
      </c>
      <c r="H518" s="1025">
        <v>2.6509464</v>
      </c>
      <c r="I518" s="1025">
        <v>1.293948432E-11</v>
      </c>
      <c r="J518" s="1025">
        <v>7.7636905919999992E-13</v>
      </c>
      <c r="K518" s="1025">
        <v>0.26509464000000005</v>
      </c>
      <c r="L518" s="1025">
        <v>1.293948432E-12</v>
      </c>
      <c r="M518" s="1025">
        <v>7.7636905919999987E-14</v>
      </c>
      <c r="N518" s="452">
        <v>0.26509464005975458</v>
      </c>
    </row>
    <row r="519" spans="1:16" s="428" customFormat="1" outlineLevel="1" x14ac:dyDescent="0.35">
      <c r="B519" s="454"/>
      <c r="C519" s="454"/>
      <c r="D519" s="454"/>
      <c r="E519" s="556" t="str">
        <f>IF(D519="","",VLOOKUP(D519,'Fatores de Emissão'!$C$145:$K$159,2,FALSE))</f>
        <v/>
      </c>
      <c r="F519" s="540"/>
      <c r="G519" s="556" t="str">
        <f>IF(D519="","",VLOOKUP($D519,'Fatores de Emissão'!$C$145:$K$159,3,FALSE))</f>
        <v/>
      </c>
      <c r="H519" s="1023" t="str">
        <f>IF(D519="","",VLOOKUP($D519,'Fatores de Emissão'!$C$145:$K$159,4,FALSE))</f>
        <v/>
      </c>
      <c r="I519" s="1023" t="str">
        <f>IF(D519="","",VLOOKUP(D519,'Fatores de Emissão'!$C$145:$K$159,6,FALSE))</f>
        <v/>
      </c>
      <c r="J519" s="1023" t="str">
        <f>IF(D519="","",VLOOKUP(D519,'Fatores de Emissão'!$C$145:$K$159,8,FALSE))</f>
        <v/>
      </c>
      <c r="K519" s="1023" t="str">
        <f>IF(D519="","",H519*$F519/1000)</f>
        <v/>
      </c>
      <c r="L519" s="1023" t="str">
        <f>IF(D519="","",I519*$F519/1000)</f>
        <v/>
      </c>
      <c r="M519" s="1023" t="str">
        <f>IF(D519="","",J519*$F519/1000)</f>
        <v/>
      </c>
      <c r="N519" s="961" t="str">
        <f>IF(D519="","",IF(B519="","",IF(D519="","",K519*'Fatores de Emissão'!$E$252+'Combustão Móvel'!L519*'Fatores de Emissão'!$E$248+'Combustão Móvel'!M519*'Fatores de Emissão'!$E$249)))</f>
        <v/>
      </c>
    </row>
    <row r="520" spans="1:16" outlineLevel="1" x14ac:dyDescent="0.35">
      <c r="B520" s="454"/>
      <c r="C520" s="454"/>
      <c r="D520" s="454"/>
      <c r="E520" s="556" t="str">
        <f>IF(D520="","",VLOOKUP(D520,'Fatores de Emissão'!$C$145:$K$159,2,FALSE))</f>
        <v/>
      </c>
      <c r="F520" s="540"/>
      <c r="G520" s="556" t="str">
        <f>IF(D520="","",VLOOKUP($D520,'Fatores de Emissão'!$C$145:$K$159,3,FALSE))</f>
        <v/>
      </c>
      <c r="H520" s="1023" t="str">
        <f>IF(D520="","",VLOOKUP($D520,'Fatores de Emissão'!$C$145:$K$159,4,FALSE))</f>
        <v/>
      </c>
      <c r="I520" s="1023" t="str">
        <f>IF(D520="","",VLOOKUP(D520,'Fatores de Emissão'!$C$145:$K$159,6,FALSE))</f>
        <v/>
      </c>
      <c r="J520" s="1023" t="str">
        <f>IF(D520="","",VLOOKUP(D520,'Fatores de Emissão'!$C$145:$K$159,8,FALSE))</f>
        <v/>
      </c>
      <c r="K520" s="1023" t="str">
        <f t="shared" ref="K520:K551" si="25">IF(D520="","",H520*$F520/1000)</f>
        <v/>
      </c>
      <c r="L520" s="1023" t="str">
        <f t="shared" ref="L520:L551" si="26">IF(D520="","",I520*$F520/1000)</f>
        <v/>
      </c>
      <c r="M520" s="1023" t="str">
        <f t="shared" ref="M520:M551" si="27">IF(D520="","",J520*$F520/1000)</f>
        <v/>
      </c>
      <c r="N520" s="961" t="str">
        <f>IF(D520="","",IF(B520="","",IF(D520="","",K520*'Fatores de Emissão'!$E$252+'Combustão Móvel'!L520*'Fatores de Emissão'!$E$248+'Combustão Móvel'!M520*'Fatores de Emissão'!$E$249)))</f>
        <v/>
      </c>
    </row>
    <row r="521" spans="1:16" outlineLevel="1" x14ac:dyDescent="0.35">
      <c r="B521" s="454"/>
      <c r="C521" s="454"/>
      <c r="D521" s="454"/>
      <c r="E521" s="556" t="str">
        <f>IF(D521="","",VLOOKUP(D521,'Fatores de Emissão'!$C$145:$K$159,2,FALSE))</f>
        <v/>
      </c>
      <c r="F521" s="540"/>
      <c r="G521" s="556" t="str">
        <f>IF(D521="","",VLOOKUP($D521,'Fatores de Emissão'!$C$145:$K$159,3,FALSE))</f>
        <v/>
      </c>
      <c r="H521" s="1023" t="str">
        <f>IF(D521="","",VLOOKUP($D521,'Fatores de Emissão'!$C$145:$K$159,4,FALSE))</f>
        <v/>
      </c>
      <c r="I521" s="1023" t="str">
        <f>IF(D521="","",VLOOKUP(D521,'Fatores de Emissão'!$C$145:$K$159,6,FALSE))</f>
        <v/>
      </c>
      <c r="J521" s="1023" t="str">
        <f>IF(D521="","",VLOOKUP(D521,'Fatores de Emissão'!$C$145:$K$159,8,FALSE))</f>
        <v/>
      </c>
      <c r="K521" s="1023" t="str">
        <f t="shared" si="25"/>
        <v/>
      </c>
      <c r="L521" s="1023" t="str">
        <f t="shared" si="26"/>
        <v/>
      </c>
      <c r="M521" s="1023" t="str">
        <f t="shared" si="27"/>
        <v/>
      </c>
      <c r="N521" s="961" t="str">
        <f>IF(D521="","",IF(B521="","",IF(D521="","",K521*'Fatores de Emissão'!$E$252+'Combustão Móvel'!L521*'Fatores de Emissão'!$E$248+'Combustão Móvel'!M521*'Fatores de Emissão'!$E$249)))</f>
        <v/>
      </c>
    </row>
    <row r="522" spans="1:16" outlineLevel="1" x14ac:dyDescent="0.35">
      <c r="B522" s="454"/>
      <c r="C522" s="454"/>
      <c r="D522" s="454"/>
      <c r="E522" s="556" t="str">
        <f>IF(D522="","",VLOOKUP(D522,'Fatores de Emissão'!$C$145:$K$159,2,FALSE))</f>
        <v/>
      </c>
      <c r="F522" s="540"/>
      <c r="G522" s="556" t="str">
        <f>IF(D522="","",VLOOKUP($D522,'Fatores de Emissão'!$C$145:$K$159,3,FALSE))</f>
        <v/>
      </c>
      <c r="H522" s="1023" t="str">
        <f>IF(D522="","",VLOOKUP($D522,'Fatores de Emissão'!$C$145:$K$159,4,FALSE))</f>
        <v/>
      </c>
      <c r="I522" s="1023" t="str">
        <f>IF(D522="","",VLOOKUP(D522,'Fatores de Emissão'!$C$145:$K$159,6,FALSE))</f>
        <v/>
      </c>
      <c r="J522" s="1023" t="str">
        <f>IF(D522="","",VLOOKUP(D522,'Fatores de Emissão'!$C$145:$K$159,8,FALSE))</f>
        <v/>
      </c>
      <c r="K522" s="1023" t="str">
        <f t="shared" si="25"/>
        <v/>
      </c>
      <c r="L522" s="1023" t="str">
        <f t="shared" si="26"/>
        <v/>
      </c>
      <c r="M522" s="1023" t="str">
        <f t="shared" si="27"/>
        <v/>
      </c>
      <c r="N522" s="961" t="str">
        <f>IF(D522="","",IF(B522="","",IF(D522="","",K522*'Fatores de Emissão'!$E$252+'Combustão Móvel'!L522*'Fatores de Emissão'!$E$248+'Combustão Móvel'!M522*'Fatores de Emissão'!$E$249)))</f>
        <v/>
      </c>
    </row>
    <row r="523" spans="1:16" outlineLevel="1" x14ac:dyDescent="0.35">
      <c r="B523" s="454"/>
      <c r="C523" s="454"/>
      <c r="D523" s="454"/>
      <c r="E523" s="556" t="str">
        <f>IF(D523="","",VLOOKUP(D523,'Fatores de Emissão'!$C$145:$K$159,2,FALSE))</f>
        <v/>
      </c>
      <c r="F523" s="540"/>
      <c r="G523" s="556" t="str">
        <f>IF(D523="","",VLOOKUP($D523,'Fatores de Emissão'!$C$145:$K$159,3,FALSE))</f>
        <v/>
      </c>
      <c r="H523" s="1023" t="str">
        <f>IF(D523="","",VLOOKUP($D523,'Fatores de Emissão'!$C$145:$K$159,4,FALSE))</f>
        <v/>
      </c>
      <c r="I523" s="1023" t="str">
        <f>IF(D523="","",VLOOKUP(D523,'Fatores de Emissão'!$C$145:$K$159,6,FALSE))</f>
        <v/>
      </c>
      <c r="J523" s="1023" t="str">
        <f>IF(D523="","",VLOOKUP(D523,'Fatores de Emissão'!$C$145:$K$159,8,FALSE))</f>
        <v/>
      </c>
      <c r="K523" s="1023" t="str">
        <f t="shared" si="25"/>
        <v/>
      </c>
      <c r="L523" s="1023" t="str">
        <f t="shared" si="26"/>
        <v/>
      </c>
      <c r="M523" s="1023" t="str">
        <f t="shared" si="27"/>
        <v/>
      </c>
      <c r="N523" s="961" t="str">
        <f>IF(D523="","",IF(B523="","",IF(D523="","",K523*'Fatores de Emissão'!$E$252+'Combustão Móvel'!L523*'Fatores de Emissão'!$E$248+'Combustão Móvel'!M523*'Fatores de Emissão'!$E$249)))</f>
        <v/>
      </c>
    </row>
    <row r="524" spans="1:16" outlineLevel="1" x14ac:dyDescent="0.35">
      <c r="B524" s="454"/>
      <c r="C524" s="454"/>
      <c r="D524" s="454"/>
      <c r="E524" s="556" t="str">
        <f>IF(D524="","",VLOOKUP(D524,'Fatores de Emissão'!$C$145:$K$159,2,FALSE))</f>
        <v/>
      </c>
      <c r="F524" s="540"/>
      <c r="G524" s="556" t="str">
        <f>IF(D524="","",VLOOKUP($D524,'Fatores de Emissão'!$C$145:$K$159,3,FALSE))</f>
        <v/>
      </c>
      <c r="H524" s="1023" t="str">
        <f>IF(D524="","",VLOOKUP($D524,'Fatores de Emissão'!$C$145:$K$159,4,FALSE))</f>
        <v/>
      </c>
      <c r="I524" s="1023" t="str">
        <f>IF(D524="","",VLOOKUP(D524,'Fatores de Emissão'!$C$145:$K$159,6,FALSE))</f>
        <v/>
      </c>
      <c r="J524" s="1023" t="str">
        <f>IF(D524="","",VLOOKUP(D524,'Fatores de Emissão'!$C$145:$K$159,8,FALSE))</f>
        <v/>
      </c>
      <c r="K524" s="1023" t="str">
        <f t="shared" si="25"/>
        <v/>
      </c>
      <c r="L524" s="1023" t="str">
        <f t="shared" si="26"/>
        <v/>
      </c>
      <c r="M524" s="1023" t="str">
        <f t="shared" si="27"/>
        <v/>
      </c>
      <c r="N524" s="961" t="str">
        <f>IF(D524="","",IF(B524="","",IF(D524="","",K524*'Fatores de Emissão'!$E$252+'Combustão Móvel'!L524*'Fatores de Emissão'!$E$248+'Combustão Móvel'!M524*'Fatores de Emissão'!$E$249)))</f>
        <v/>
      </c>
    </row>
    <row r="525" spans="1:16" hidden="1" outlineLevel="2" x14ac:dyDescent="0.35">
      <c r="B525" s="454"/>
      <c r="C525" s="454"/>
      <c r="D525" s="454"/>
      <c r="E525" s="556" t="str">
        <f>IF(D525="","",VLOOKUP(D525,'Fatores de Emissão'!$C$145:$K$159,2,FALSE))</f>
        <v/>
      </c>
      <c r="F525" s="540"/>
      <c r="G525" s="556" t="str">
        <f>IF(D525="","",VLOOKUP($D525,'Fatores de Emissão'!$C$145:$K$159,3,FALSE))</f>
        <v/>
      </c>
      <c r="H525" s="1023" t="str">
        <f>IF(D525="","",VLOOKUP($D525,'Fatores de Emissão'!$C$145:$K$159,4,FALSE))</f>
        <v/>
      </c>
      <c r="I525" s="1023" t="str">
        <f>IF(D525="","",VLOOKUP(D525,'Fatores de Emissão'!$C$145:$K$159,6,FALSE))</f>
        <v/>
      </c>
      <c r="J525" s="1023" t="str">
        <f>IF(D525="","",VLOOKUP(D525,'Fatores de Emissão'!$C$145:$K$159,8,FALSE))</f>
        <v/>
      </c>
      <c r="K525" s="1023" t="str">
        <f t="shared" si="25"/>
        <v/>
      </c>
      <c r="L525" s="1023" t="str">
        <f t="shared" si="26"/>
        <v/>
      </c>
      <c r="M525" s="1023" t="str">
        <f t="shared" si="27"/>
        <v/>
      </c>
      <c r="N525" s="961" t="str">
        <f>IF(D525="","",IF(B525="","",IF(D525="","",K525*'Fatores de Emissão'!$E$252+'Combustão Móvel'!L525*'Fatores de Emissão'!$E$248+'Combustão Móvel'!M525*'Fatores de Emissão'!$E$249)))</f>
        <v/>
      </c>
    </row>
    <row r="526" spans="1:16" hidden="1" outlineLevel="2" x14ac:dyDescent="0.35">
      <c r="B526" s="454"/>
      <c r="C526" s="454"/>
      <c r="D526" s="454"/>
      <c r="E526" s="556" t="str">
        <f>IF(D526="","",VLOOKUP(D526,'Fatores de Emissão'!$C$145:$K$159,2,FALSE))</f>
        <v/>
      </c>
      <c r="F526" s="540"/>
      <c r="G526" s="556" t="str">
        <f>IF(D526="","",VLOOKUP($D526,'Fatores de Emissão'!$C$145:$K$159,3,FALSE))</f>
        <v/>
      </c>
      <c r="H526" s="1023" t="str">
        <f>IF(D526="","",VLOOKUP($D526,'Fatores de Emissão'!$C$145:$K$159,4,FALSE))</f>
        <v/>
      </c>
      <c r="I526" s="1023" t="str">
        <f>IF(D526="","",VLOOKUP(D526,'Fatores de Emissão'!$C$145:$K$159,6,FALSE))</f>
        <v/>
      </c>
      <c r="J526" s="1023" t="str">
        <f>IF(D526="","",VLOOKUP(D526,'Fatores de Emissão'!$C$145:$K$159,8,FALSE))</f>
        <v/>
      </c>
      <c r="K526" s="1023" t="str">
        <f t="shared" si="25"/>
        <v/>
      </c>
      <c r="L526" s="1023" t="str">
        <f t="shared" si="26"/>
        <v/>
      </c>
      <c r="M526" s="1023" t="str">
        <f t="shared" si="27"/>
        <v/>
      </c>
      <c r="N526" s="961" t="str">
        <f>IF(D526="","",IF(B526="","",IF(D526="","",K526*'Fatores de Emissão'!$E$252+'Combustão Móvel'!L526*'Fatores de Emissão'!$E$248+'Combustão Móvel'!M526*'Fatores de Emissão'!$E$249)))</f>
        <v/>
      </c>
    </row>
    <row r="527" spans="1:16" hidden="1" outlineLevel="2" x14ac:dyDescent="0.35">
      <c r="B527" s="454"/>
      <c r="C527" s="454"/>
      <c r="D527" s="454"/>
      <c r="E527" s="556" t="str">
        <f>IF(D527="","",VLOOKUP(D527,'Fatores de Emissão'!$C$145:$K$159,2,FALSE))</f>
        <v/>
      </c>
      <c r="F527" s="540"/>
      <c r="G527" s="556" t="str">
        <f>IF(D527="","",VLOOKUP($D527,'Fatores de Emissão'!$C$145:$K$159,3,FALSE))</f>
        <v/>
      </c>
      <c r="H527" s="1023" t="str">
        <f>IF(D527="","",VLOOKUP($D527,'Fatores de Emissão'!$C$145:$K$159,4,FALSE))</f>
        <v/>
      </c>
      <c r="I527" s="1023" t="str">
        <f>IF(D527="","",VLOOKUP(D527,'Fatores de Emissão'!$C$145:$K$159,6,FALSE))</f>
        <v/>
      </c>
      <c r="J527" s="1023" t="str">
        <f>IF(D527="","",VLOOKUP(D527,'Fatores de Emissão'!$C$145:$K$159,8,FALSE))</f>
        <v/>
      </c>
      <c r="K527" s="1023" t="str">
        <f t="shared" si="25"/>
        <v/>
      </c>
      <c r="L527" s="1023" t="str">
        <f t="shared" si="26"/>
        <v/>
      </c>
      <c r="M527" s="1023" t="str">
        <f t="shared" si="27"/>
        <v/>
      </c>
      <c r="N527" s="961" t="str">
        <f>IF(D527="","",IF(B527="","",IF(D527="","",K527*'Fatores de Emissão'!$E$252+'Combustão Móvel'!L527*'Fatores de Emissão'!$E$248+'Combustão Móvel'!M527*'Fatores de Emissão'!$E$249)))</f>
        <v/>
      </c>
    </row>
    <row r="528" spans="1:16" hidden="1" outlineLevel="2" x14ac:dyDescent="0.35">
      <c r="B528" s="454"/>
      <c r="C528" s="454"/>
      <c r="D528" s="454"/>
      <c r="E528" s="556" t="str">
        <f>IF(D528="","",VLOOKUP(D528,'Fatores de Emissão'!$C$145:$K$159,2,FALSE))</f>
        <v/>
      </c>
      <c r="F528" s="540"/>
      <c r="G528" s="556" t="str">
        <f>IF(D528="","",VLOOKUP($D528,'Fatores de Emissão'!$C$145:$K$159,3,FALSE))</f>
        <v/>
      </c>
      <c r="H528" s="1023" t="str">
        <f>IF(D528="","",VLOOKUP($D528,'Fatores de Emissão'!$C$145:$K$159,4,FALSE))</f>
        <v/>
      </c>
      <c r="I528" s="1023" t="str">
        <f>IF(D528="","",VLOOKUP(D528,'Fatores de Emissão'!$C$145:$K$159,6,FALSE))</f>
        <v/>
      </c>
      <c r="J528" s="1023" t="str">
        <f>IF(D528="","",VLOOKUP(D528,'Fatores de Emissão'!$C$145:$K$159,8,FALSE))</f>
        <v/>
      </c>
      <c r="K528" s="1023" t="str">
        <f t="shared" si="25"/>
        <v/>
      </c>
      <c r="L528" s="1023" t="str">
        <f t="shared" si="26"/>
        <v/>
      </c>
      <c r="M528" s="1023" t="str">
        <f t="shared" si="27"/>
        <v/>
      </c>
      <c r="N528" s="961" t="str">
        <f>IF(D528="","",IF(B528="","",IF(D528="","",K528*'Fatores de Emissão'!$E$252+'Combustão Móvel'!L528*'Fatores de Emissão'!$E$248+'Combustão Móvel'!M528*'Fatores de Emissão'!$E$249)))</f>
        <v/>
      </c>
    </row>
    <row r="529" spans="2:14" hidden="1" outlineLevel="2" x14ac:dyDescent="0.35">
      <c r="B529" s="454"/>
      <c r="C529" s="454"/>
      <c r="D529" s="454"/>
      <c r="E529" s="556" t="str">
        <f>IF(D529="","",VLOOKUP(D529,'Fatores de Emissão'!$C$145:$K$159,2,FALSE))</f>
        <v/>
      </c>
      <c r="F529" s="540"/>
      <c r="G529" s="556" t="str">
        <f>IF(D529="","",VLOOKUP($D529,'Fatores de Emissão'!$C$145:$K$159,3,FALSE))</f>
        <v/>
      </c>
      <c r="H529" s="1023" t="str">
        <f>IF(D529="","",VLOOKUP($D529,'Fatores de Emissão'!$C$145:$K$159,4,FALSE))</f>
        <v/>
      </c>
      <c r="I529" s="1023" t="str">
        <f>IF(D529="","",VLOOKUP(D529,'Fatores de Emissão'!$C$145:$K$159,6,FALSE))</f>
        <v/>
      </c>
      <c r="J529" s="1023" t="str">
        <f>IF(D529="","",VLOOKUP(D529,'Fatores de Emissão'!$C$145:$K$159,8,FALSE))</f>
        <v/>
      </c>
      <c r="K529" s="1023" t="str">
        <f t="shared" si="25"/>
        <v/>
      </c>
      <c r="L529" s="1023" t="str">
        <f t="shared" si="26"/>
        <v/>
      </c>
      <c r="M529" s="1023" t="str">
        <f t="shared" si="27"/>
        <v/>
      </c>
      <c r="N529" s="961" t="str">
        <f>IF(D529="","",IF(B529="","",IF(D529="","",K529*'Fatores de Emissão'!$E$252+'Combustão Móvel'!L529*'Fatores de Emissão'!$E$248+'Combustão Móvel'!M529*'Fatores de Emissão'!$E$249)))</f>
        <v/>
      </c>
    </row>
    <row r="530" spans="2:14" hidden="1" outlineLevel="2" x14ac:dyDescent="0.35">
      <c r="B530" s="454"/>
      <c r="C530" s="454"/>
      <c r="D530" s="454"/>
      <c r="E530" s="556" t="str">
        <f>IF(D530="","",VLOOKUP(D530,'Fatores de Emissão'!$C$145:$K$159,2,FALSE))</f>
        <v/>
      </c>
      <c r="F530" s="540"/>
      <c r="G530" s="556" t="str">
        <f>IF(D530="","",VLOOKUP($D530,'Fatores de Emissão'!$C$145:$K$159,3,FALSE))</f>
        <v/>
      </c>
      <c r="H530" s="1023" t="str">
        <f>IF(D530="","",VLOOKUP($D530,'Fatores de Emissão'!$C$145:$K$159,4,FALSE))</f>
        <v/>
      </c>
      <c r="I530" s="1023" t="str">
        <f>IF(D530="","",VLOOKUP(D530,'Fatores de Emissão'!$C$145:$K$159,6,FALSE))</f>
        <v/>
      </c>
      <c r="J530" s="1023" t="str">
        <f>IF(D530="","",VLOOKUP(D530,'Fatores de Emissão'!$C$145:$K$159,8,FALSE))</f>
        <v/>
      </c>
      <c r="K530" s="1023" t="str">
        <f t="shared" si="25"/>
        <v/>
      </c>
      <c r="L530" s="1023" t="str">
        <f t="shared" si="26"/>
        <v/>
      </c>
      <c r="M530" s="1023" t="str">
        <f t="shared" si="27"/>
        <v/>
      </c>
      <c r="N530" s="961" t="str">
        <f>IF(D530="","",IF(B530="","",IF(D530="","",K530*'Fatores de Emissão'!$E$252+'Combustão Móvel'!L530*'Fatores de Emissão'!$E$248+'Combustão Móvel'!M530*'Fatores de Emissão'!$E$249)))</f>
        <v/>
      </c>
    </row>
    <row r="531" spans="2:14" hidden="1" outlineLevel="2" x14ac:dyDescent="0.35">
      <c r="B531" s="454"/>
      <c r="C531" s="454"/>
      <c r="D531" s="454"/>
      <c r="E531" s="556" t="str">
        <f>IF(D531="","",VLOOKUP(D531,'Fatores de Emissão'!$C$145:$K$159,2,FALSE))</f>
        <v/>
      </c>
      <c r="F531" s="540"/>
      <c r="G531" s="556" t="str">
        <f>IF(D531="","",VLOOKUP($D531,'Fatores de Emissão'!$C$145:$K$159,3,FALSE))</f>
        <v/>
      </c>
      <c r="H531" s="1023" t="str">
        <f>IF(D531="","",VLOOKUP($D531,'Fatores de Emissão'!$C$145:$K$159,4,FALSE))</f>
        <v/>
      </c>
      <c r="I531" s="1023" t="str">
        <f>IF(D531="","",VLOOKUP(D531,'Fatores de Emissão'!$C$145:$K$159,6,FALSE))</f>
        <v/>
      </c>
      <c r="J531" s="1023" t="str">
        <f>IF(D531="","",VLOOKUP(D531,'Fatores de Emissão'!$C$145:$K$159,8,FALSE))</f>
        <v/>
      </c>
      <c r="K531" s="1023" t="str">
        <f t="shared" si="25"/>
        <v/>
      </c>
      <c r="L531" s="1023" t="str">
        <f t="shared" si="26"/>
        <v/>
      </c>
      <c r="M531" s="1023" t="str">
        <f t="shared" si="27"/>
        <v/>
      </c>
      <c r="N531" s="961" t="str">
        <f>IF(D531="","",IF(B531="","",IF(D531="","",K531*'Fatores de Emissão'!$E$252+'Combustão Móvel'!L531*'Fatores de Emissão'!$E$248+'Combustão Móvel'!M531*'Fatores de Emissão'!$E$249)))</f>
        <v/>
      </c>
    </row>
    <row r="532" spans="2:14" hidden="1" outlineLevel="2" x14ac:dyDescent="0.35">
      <c r="B532" s="454"/>
      <c r="C532" s="454"/>
      <c r="D532" s="454"/>
      <c r="E532" s="556" t="str">
        <f>IF(D532="","",VLOOKUP(D532,'Fatores de Emissão'!$C$145:$K$159,2,FALSE))</f>
        <v/>
      </c>
      <c r="F532" s="540"/>
      <c r="G532" s="556" t="str">
        <f>IF(D532="","",VLOOKUP($D532,'Fatores de Emissão'!$C$145:$K$159,3,FALSE))</f>
        <v/>
      </c>
      <c r="H532" s="1023" t="str">
        <f>IF(D532="","",VLOOKUP($D532,'Fatores de Emissão'!$C$145:$K$159,4,FALSE))</f>
        <v/>
      </c>
      <c r="I532" s="1023" t="str">
        <f>IF(D532="","",VLOOKUP(D532,'Fatores de Emissão'!$C$145:$K$159,6,FALSE))</f>
        <v/>
      </c>
      <c r="J532" s="1023" t="str">
        <f>IF(D532="","",VLOOKUP(D532,'Fatores de Emissão'!$C$145:$K$159,8,FALSE))</f>
        <v/>
      </c>
      <c r="K532" s="1023" t="str">
        <f t="shared" si="25"/>
        <v/>
      </c>
      <c r="L532" s="1023" t="str">
        <f t="shared" si="26"/>
        <v/>
      </c>
      <c r="M532" s="1023" t="str">
        <f t="shared" si="27"/>
        <v/>
      </c>
      <c r="N532" s="961" t="str">
        <f>IF(D532="","",IF(B532="","",IF(D532="","",K532*'Fatores de Emissão'!$E$252+'Combustão Móvel'!L532*'Fatores de Emissão'!$E$248+'Combustão Móvel'!M532*'Fatores de Emissão'!$E$249)))</f>
        <v/>
      </c>
    </row>
    <row r="533" spans="2:14" hidden="1" outlineLevel="2" x14ac:dyDescent="0.35">
      <c r="B533" s="454"/>
      <c r="C533" s="454"/>
      <c r="D533" s="454"/>
      <c r="E533" s="556" t="str">
        <f>IF(D533="","",VLOOKUP(D533,'Fatores de Emissão'!$C$145:$K$159,2,FALSE))</f>
        <v/>
      </c>
      <c r="F533" s="540"/>
      <c r="G533" s="556" t="str">
        <f>IF(D533="","",VLOOKUP($D533,'Fatores de Emissão'!$C$145:$K$159,3,FALSE))</f>
        <v/>
      </c>
      <c r="H533" s="1023" t="str">
        <f>IF(D533="","",VLOOKUP($D533,'Fatores de Emissão'!$C$145:$K$159,4,FALSE))</f>
        <v/>
      </c>
      <c r="I533" s="1023" t="str">
        <f>IF(D533="","",VLOOKUP(D533,'Fatores de Emissão'!$C$145:$K$159,6,FALSE))</f>
        <v/>
      </c>
      <c r="J533" s="1023" t="str">
        <f>IF(D533="","",VLOOKUP(D533,'Fatores de Emissão'!$C$145:$K$159,8,FALSE))</f>
        <v/>
      </c>
      <c r="K533" s="1023" t="str">
        <f t="shared" si="25"/>
        <v/>
      </c>
      <c r="L533" s="1023" t="str">
        <f t="shared" si="26"/>
        <v/>
      </c>
      <c r="M533" s="1023" t="str">
        <f t="shared" si="27"/>
        <v/>
      </c>
      <c r="N533" s="961" t="str">
        <f>IF(D533="","",IF(B533="","",IF(D533="","",K533*'Fatores de Emissão'!$E$252+'Combustão Móvel'!L533*'Fatores de Emissão'!$E$248+'Combustão Móvel'!M533*'Fatores de Emissão'!$E$249)))</f>
        <v/>
      </c>
    </row>
    <row r="534" spans="2:14" hidden="1" outlineLevel="2" x14ac:dyDescent="0.35">
      <c r="B534" s="454"/>
      <c r="C534" s="454"/>
      <c r="D534" s="454"/>
      <c r="E534" s="556" t="str">
        <f>IF(D534="","",VLOOKUP(D534,'Fatores de Emissão'!$C$145:$K$159,2,FALSE))</f>
        <v/>
      </c>
      <c r="F534" s="540"/>
      <c r="G534" s="556" t="str">
        <f>IF(D534="","",VLOOKUP($D534,'Fatores de Emissão'!$C$145:$K$159,3,FALSE))</f>
        <v/>
      </c>
      <c r="H534" s="1023" t="str">
        <f>IF(D534="","",VLOOKUP($D534,'Fatores de Emissão'!$C$145:$K$159,4,FALSE))</f>
        <v/>
      </c>
      <c r="I534" s="1023" t="str">
        <f>IF(D534="","",VLOOKUP(D534,'Fatores de Emissão'!$C$145:$K$159,6,FALSE))</f>
        <v/>
      </c>
      <c r="J534" s="1023" t="str">
        <f>IF(D534="","",VLOOKUP(D534,'Fatores de Emissão'!$C$145:$K$159,8,FALSE))</f>
        <v/>
      </c>
      <c r="K534" s="1023" t="str">
        <f t="shared" si="25"/>
        <v/>
      </c>
      <c r="L534" s="1023" t="str">
        <f t="shared" si="26"/>
        <v/>
      </c>
      <c r="M534" s="1023" t="str">
        <f t="shared" si="27"/>
        <v/>
      </c>
      <c r="N534" s="961" t="str">
        <f>IF(D534="","",IF(B534="","",IF(D534="","",K534*'Fatores de Emissão'!$E$252+'Combustão Móvel'!L534*'Fatores de Emissão'!$E$248+'Combustão Móvel'!M534*'Fatores de Emissão'!$E$249)))</f>
        <v/>
      </c>
    </row>
    <row r="535" spans="2:14" hidden="1" outlineLevel="2" x14ac:dyDescent="0.35">
      <c r="B535" s="454"/>
      <c r="C535" s="454"/>
      <c r="D535" s="454"/>
      <c r="E535" s="556" t="str">
        <f>IF(D535="","",VLOOKUP(D535,'Fatores de Emissão'!$C$145:$K$159,2,FALSE))</f>
        <v/>
      </c>
      <c r="F535" s="540"/>
      <c r="G535" s="556" t="str">
        <f>IF(D535="","",VLOOKUP($D535,'Fatores de Emissão'!$C$145:$K$159,3,FALSE))</f>
        <v/>
      </c>
      <c r="H535" s="1023" t="str">
        <f>IF(D535="","",VLOOKUP($D535,'Fatores de Emissão'!$C$145:$K$159,4,FALSE))</f>
        <v/>
      </c>
      <c r="I535" s="1023" t="str">
        <f>IF(D535="","",VLOOKUP(D535,'Fatores de Emissão'!$C$145:$K$159,6,FALSE))</f>
        <v/>
      </c>
      <c r="J535" s="1023" t="str">
        <f>IF(D535="","",VLOOKUP(D535,'Fatores de Emissão'!$C$145:$K$159,8,FALSE))</f>
        <v/>
      </c>
      <c r="K535" s="1023" t="str">
        <f t="shared" si="25"/>
        <v/>
      </c>
      <c r="L535" s="1023" t="str">
        <f t="shared" si="26"/>
        <v/>
      </c>
      <c r="M535" s="1023" t="str">
        <f t="shared" si="27"/>
        <v/>
      </c>
      <c r="N535" s="961" t="str">
        <f>IF(D535="","",IF(B535="","",IF(D535="","",K535*'Fatores de Emissão'!$E$252+'Combustão Móvel'!L535*'Fatores de Emissão'!$E$248+'Combustão Móvel'!M535*'Fatores de Emissão'!$E$249)))</f>
        <v/>
      </c>
    </row>
    <row r="536" spans="2:14" hidden="1" outlineLevel="2" x14ac:dyDescent="0.35">
      <c r="B536" s="454"/>
      <c r="C536" s="454"/>
      <c r="D536" s="454"/>
      <c r="E536" s="556" t="str">
        <f>IF(D536="","",VLOOKUP(D536,'Fatores de Emissão'!$C$145:$K$159,2,FALSE))</f>
        <v/>
      </c>
      <c r="F536" s="540"/>
      <c r="G536" s="556" t="str">
        <f>IF(D536="","",VLOOKUP($D536,'Fatores de Emissão'!$C$145:$K$159,3,FALSE))</f>
        <v/>
      </c>
      <c r="H536" s="1023" t="str">
        <f>IF(D536="","",VLOOKUP($D536,'Fatores de Emissão'!$C$145:$K$159,4,FALSE))</f>
        <v/>
      </c>
      <c r="I536" s="1023" t="str">
        <f>IF(D536="","",VLOOKUP(D536,'Fatores de Emissão'!$C$145:$K$159,6,FALSE))</f>
        <v/>
      </c>
      <c r="J536" s="1023" t="str">
        <f>IF(D536="","",VLOOKUP(D536,'Fatores de Emissão'!$C$145:$K$159,8,FALSE))</f>
        <v/>
      </c>
      <c r="K536" s="1023" t="str">
        <f t="shared" si="25"/>
        <v/>
      </c>
      <c r="L536" s="1023" t="str">
        <f t="shared" si="26"/>
        <v/>
      </c>
      <c r="M536" s="1023" t="str">
        <f t="shared" si="27"/>
        <v/>
      </c>
      <c r="N536" s="961" t="str">
        <f>IF(D536="","",IF(B536="","",IF(D536="","",K536*'Fatores de Emissão'!$E$252+'Combustão Móvel'!L536*'Fatores de Emissão'!$E$248+'Combustão Móvel'!M536*'Fatores de Emissão'!$E$249)))</f>
        <v/>
      </c>
    </row>
    <row r="537" spans="2:14" hidden="1" outlineLevel="2" x14ac:dyDescent="0.35">
      <c r="B537" s="454"/>
      <c r="C537" s="454"/>
      <c r="D537" s="454"/>
      <c r="E537" s="556" t="str">
        <f>IF(D537="","",VLOOKUP(D537,'Fatores de Emissão'!$C$145:$K$159,2,FALSE))</f>
        <v/>
      </c>
      <c r="F537" s="540"/>
      <c r="G537" s="556" t="str">
        <f>IF(D537="","",VLOOKUP($D537,'Fatores de Emissão'!$C$145:$K$159,3,FALSE))</f>
        <v/>
      </c>
      <c r="H537" s="1023" t="str">
        <f>IF(D537="","",VLOOKUP($D537,'Fatores de Emissão'!$C$145:$K$159,4,FALSE))</f>
        <v/>
      </c>
      <c r="I537" s="1023" t="str">
        <f>IF(D537="","",VLOOKUP(D537,'Fatores de Emissão'!$C$145:$K$159,6,FALSE))</f>
        <v/>
      </c>
      <c r="J537" s="1023" t="str">
        <f>IF(D537="","",VLOOKUP(D537,'Fatores de Emissão'!$C$145:$K$159,8,FALSE))</f>
        <v/>
      </c>
      <c r="K537" s="1023" t="str">
        <f t="shared" si="25"/>
        <v/>
      </c>
      <c r="L537" s="1023" t="str">
        <f t="shared" si="26"/>
        <v/>
      </c>
      <c r="M537" s="1023" t="str">
        <f t="shared" si="27"/>
        <v/>
      </c>
      <c r="N537" s="961" t="str">
        <f>IF(D537="","",IF(B537="","",IF(D537="","",K537*'Fatores de Emissão'!$E$252+'Combustão Móvel'!L537*'Fatores de Emissão'!$E$248+'Combustão Móvel'!M537*'Fatores de Emissão'!$E$249)))</f>
        <v/>
      </c>
    </row>
    <row r="538" spans="2:14" hidden="1" outlineLevel="2" x14ac:dyDescent="0.35">
      <c r="B538" s="454"/>
      <c r="C538" s="454"/>
      <c r="D538" s="454"/>
      <c r="E538" s="556" t="str">
        <f>IF(D538="","",VLOOKUP(D538,'Fatores de Emissão'!$C$145:$K$159,2,FALSE))</f>
        <v/>
      </c>
      <c r="F538" s="540"/>
      <c r="G538" s="556" t="str">
        <f>IF(D538="","",VLOOKUP($D538,'Fatores de Emissão'!$C$145:$K$159,3,FALSE))</f>
        <v/>
      </c>
      <c r="H538" s="1023" t="str">
        <f>IF(D538="","",VLOOKUP($D538,'Fatores de Emissão'!$C$145:$K$159,4,FALSE))</f>
        <v/>
      </c>
      <c r="I538" s="1023" t="str">
        <f>IF(D538="","",VLOOKUP(D538,'Fatores de Emissão'!$C$145:$K$159,6,FALSE))</f>
        <v/>
      </c>
      <c r="J538" s="1023" t="str">
        <f>IF(D538="","",VLOOKUP(D538,'Fatores de Emissão'!$C$145:$K$159,8,FALSE))</f>
        <v/>
      </c>
      <c r="K538" s="1023" t="str">
        <f t="shared" si="25"/>
        <v/>
      </c>
      <c r="L538" s="1023" t="str">
        <f t="shared" si="26"/>
        <v/>
      </c>
      <c r="M538" s="1023" t="str">
        <f t="shared" si="27"/>
        <v/>
      </c>
      <c r="N538" s="961" t="str">
        <f>IF(D538="","",IF(B538="","",IF(D538="","",K538*'Fatores de Emissão'!$E$252+'Combustão Móvel'!L538*'Fatores de Emissão'!$E$248+'Combustão Móvel'!M538*'Fatores de Emissão'!$E$249)))</f>
        <v/>
      </c>
    </row>
    <row r="539" spans="2:14" hidden="1" outlineLevel="2" x14ac:dyDescent="0.35">
      <c r="B539" s="454"/>
      <c r="C539" s="454"/>
      <c r="D539" s="454"/>
      <c r="E539" s="556" t="str">
        <f>IF(D539="","",VLOOKUP(D539,'Fatores de Emissão'!$C$145:$K$159,2,FALSE))</f>
        <v/>
      </c>
      <c r="F539" s="540"/>
      <c r="G539" s="556" t="str">
        <f>IF(D539="","",VLOOKUP($D539,'Fatores de Emissão'!$C$145:$K$159,3,FALSE))</f>
        <v/>
      </c>
      <c r="H539" s="1023" t="str">
        <f>IF(D539="","",VLOOKUP($D539,'Fatores de Emissão'!$C$145:$K$159,4,FALSE))</f>
        <v/>
      </c>
      <c r="I539" s="1023" t="str">
        <f>IF(D539="","",VLOOKUP(D539,'Fatores de Emissão'!$C$145:$K$159,6,FALSE))</f>
        <v/>
      </c>
      <c r="J539" s="1023" t="str">
        <f>IF(D539="","",VLOOKUP(D539,'Fatores de Emissão'!$C$145:$K$159,8,FALSE))</f>
        <v/>
      </c>
      <c r="K539" s="1023" t="str">
        <f t="shared" si="25"/>
        <v/>
      </c>
      <c r="L539" s="1023" t="str">
        <f t="shared" si="26"/>
        <v/>
      </c>
      <c r="M539" s="1023" t="str">
        <f t="shared" si="27"/>
        <v/>
      </c>
      <c r="N539" s="961" t="str">
        <f>IF(D539="","",IF(B539="","",IF(D539="","",K539*'Fatores de Emissão'!$E$252+'Combustão Móvel'!L539*'Fatores de Emissão'!$E$248+'Combustão Móvel'!M539*'Fatores de Emissão'!$E$249)))</f>
        <v/>
      </c>
    </row>
    <row r="540" spans="2:14" hidden="1" outlineLevel="2" x14ac:dyDescent="0.35">
      <c r="B540" s="454"/>
      <c r="C540" s="454"/>
      <c r="D540" s="454"/>
      <c r="E540" s="556" t="str">
        <f>IF(D540="","",VLOOKUP(D540,'Fatores de Emissão'!$C$145:$K$159,2,FALSE))</f>
        <v/>
      </c>
      <c r="F540" s="540"/>
      <c r="G540" s="556" t="str">
        <f>IF(D540="","",VLOOKUP($D540,'Fatores de Emissão'!$C$145:$K$159,3,FALSE))</f>
        <v/>
      </c>
      <c r="H540" s="1023" t="str">
        <f>IF(D540="","",VLOOKUP($D540,'Fatores de Emissão'!$C$145:$K$159,4,FALSE))</f>
        <v/>
      </c>
      <c r="I540" s="1023" t="str">
        <f>IF(D540="","",VLOOKUP(D540,'Fatores de Emissão'!$C$145:$K$159,6,FALSE))</f>
        <v/>
      </c>
      <c r="J540" s="1023" t="str">
        <f>IF(D540="","",VLOOKUP(D540,'Fatores de Emissão'!$C$145:$K$159,8,FALSE))</f>
        <v/>
      </c>
      <c r="K540" s="1023" t="str">
        <f t="shared" si="25"/>
        <v/>
      </c>
      <c r="L540" s="1023" t="str">
        <f t="shared" si="26"/>
        <v/>
      </c>
      <c r="M540" s="1023" t="str">
        <f t="shared" si="27"/>
        <v/>
      </c>
      <c r="N540" s="961" t="str">
        <f>IF(D540="","",IF(B540="","",IF(D540="","",K540*'Fatores de Emissão'!$E$252+'Combustão Móvel'!L540*'Fatores de Emissão'!$E$248+'Combustão Móvel'!M540*'Fatores de Emissão'!$E$249)))</f>
        <v/>
      </c>
    </row>
    <row r="541" spans="2:14" hidden="1" outlineLevel="2" x14ac:dyDescent="0.35">
      <c r="B541" s="454"/>
      <c r="C541" s="454"/>
      <c r="D541" s="454"/>
      <c r="E541" s="556" t="str">
        <f>IF(D541="","",VLOOKUP(D541,'Fatores de Emissão'!$C$145:$K$159,2,FALSE))</f>
        <v/>
      </c>
      <c r="F541" s="540"/>
      <c r="G541" s="556" t="str">
        <f>IF(D541="","",VLOOKUP($D541,'Fatores de Emissão'!$C$145:$K$159,3,FALSE))</f>
        <v/>
      </c>
      <c r="H541" s="1023" t="str">
        <f>IF(D541="","",VLOOKUP($D541,'Fatores de Emissão'!$C$145:$K$159,4,FALSE))</f>
        <v/>
      </c>
      <c r="I541" s="1023" t="str">
        <f>IF(D541="","",VLOOKUP(D541,'Fatores de Emissão'!$C$145:$K$159,6,FALSE))</f>
        <v/>
      </c>
      <c r="J541" s="1023" t="str">
        <f>IF(D541="","",VLOOKUP(D541,'Fatores de Emissão'!$C$145:$K$159,8,FALSE))</f>
        <v/>
      </c>
      <c r="K541" s="1023" t="str">
        <f t="shared" si="25"/>
        <v/>
      </c>
      <c r="L541" s="1023" t="str">
        <f t="shared" si="26"/>
        <v/>
      </c>
      <c r="M541" s="1023" t="str">
        <f t="shared" si="27"/>
        <v/>
      </c>
      <c r="N541" s="961" t="str">
        <f>IF(D541="","",IF(B541="","",IF(D541="","",K541*'Fatores de Emissão'!$E$252+'Combustão Móvel'!L541*'Fatores de Emissão'!$E$248+'Combustão Móvel'!M541*'Fatores de Emissão'!$E$249)))</f>
        <v/>
      </c>
    </row>
    <row r="542" spans="2:14" hidden="1" outlineLevel="2" x14ac:dyDescent="0.35">
      <c r="B542" s="454"/>
      <c r="C542" s="454"/>
      <c r="D542" s="454"/>
      <c r="E542" s="556" t="str">
        <f>IF(D542="","",VLOOKUP(D542,'Fatores de Emissão'!$C$145:$K$159,2,FALSE))</f>
        <v/>
      </c>
      <c r="F542" s="540"/>
      <c r="G542" s="556" t="str">
        <f>IF(D542="","",VLOOKUP($D542,'Fatores de Emissão'!$C$145:$K$159,3,FALSE))</f>
        <v/>
      </c>
      <c r="H542" s="1023" t="str">
        <f>IF(D542="","",VLOOKUP($D542,'Fatores de Emissão'!$C$145:$K$159,4,FALSE))</f>
        <v/>
      </c>
      <c r="I542" s="1023" t="str">
        <f>IF(D542="","",VLOOKUP(D542,'Fatores de Emissão'!$C$145:$K$159,6,FALSE))</f>
        <v/>
      </c>
      <c r="J542" s="1023" t="str">
        <f>IF(D542="","",VLOOKUP(D542,'Fatores de Emissão'!$C$145:$K$159,8,FALSE))</f>
        <v/>
      </c>
      <c r="K542" s="1023" t="str">
        <f t="shared" si="25"/>
        <v/>
      </c>
      <c r="L542" s="1023" t="str">
        <f t="shared" si="26"/>
        <v/>
      </c>
      <c r="M542" s="1023" t="str">
        <f t="shared" si="27"/>
        <v/>
      </c>
      <c r="N542" s="961" t="str">
        <f>IF(D542="","",IF(B542="","",IF(D542="","",K542*'Fatores de Emissão'!$E$252+'Combustão Móvel'!L542*'Fatores de Emissão'!$E$248+'Combustão Móvel'!M542*'Fatores de Emissão'!$E$249)))</f>
        <v/>
      </c>
    </row>
    <row r="543" spans="2:14" hidden="1" outlineLevel="2" x14ac:dyDescent="0.35">
      <c r="B543" s="454"/>
      <c r="C543" s="454"/>
      <c r="D543" s="454"/>
      <c r="E543" s="556" t="str">
        <f>IF(D543="","",VLOOKUP(D543,'Fatores de Emissão'!$C$145:$K$159,2,FALSE))</f>
        <v/>
      </c>
      <c r="F543" s="540"/>
      <c r="G543" s="556" t="str">
        <f>IF(D543="","",VLOOKUP($D543,'Fatores de Emissão'!$C$145:$K$159,3,FALSE))</f>
        <v/>
      </c>
      <c r="H543" s="1023" t="str">
        <f>IF(D543="","",VLOOKUP($D543,'Fatores de Emissão'!$C$145:$K$159,4,FALSE))</f>
        <v/>
      </c>
      <c r="I543" s="1023" t="str">
        <f>IF(D543="","",VLOOKUP(D543,'Fatores de Emissão'!$C$145:$K$159,6,FALSE))</f>
        <v/>
      </c>
      <c r="J543" s="1023" t="str">
        <f>IF(D543="","",VLOOKUP(D543,'Fatores de Emissão'!$C$145:$K$159,8,FALSE))</f>
        <v/>
      </c>
      <c r="K543" s="1023" t="str">
        <f t="shared" si="25"/>
        <v/>
      </c>
      <c r="L543" s="1023" t="str">
        <f t="shared" si="26"/>
        <v/>
      </c>
      <c r="M543" s="1023" t="str">
        <f t="shared" si="27"/>
        <v/>
      </c>
      <c r="N543" s="961" t="str">
        <f>IF(D543="","",IF(B543="","",IF(D543="","",K543*'Fatores de Emissão'!$E$252+'Combustão Móvel'!L543*'Fatores de Emissão'!$E$248+'Combustão Móvel'!M543*'Fatores de Emissão'!$E$249)))</f>
        <v/>
      </c>
    </row>
    <row r="544" spans="2:14" hidden="1" outlineLevel="2" x14ac:dyDescent="0.35">
      <c r="B544" s="454"/>
      <c r="C544" s="454"/>
      <c r="D544" s="454"/>
      <c r="E544" s="556" t="str">
        <f>IF(D544="","",VLOOKUP(D544,'Fatores de Emissão'!$C$145:$K$159,2,FALSE))</f>
        <v/>
      </c>
      <c r="F544" s="540"/>
      <c r="G544" s="556" t="str">
        <f>IF(D544="","",VLOOKUP($D544,'Fatores de Emissão'!$C$145:$K$159,3,FALSE))</f>
        <v/>
      </c>
      <c r="H544" s="1023" t="str">
        <f>IF(D544="","",VLOOKUP($D544,'Fatores de Emissão'!$C$145:$K$159,4,FALSE))</f>
        <v/>
      </c>
      <c r="I544" s="1023" t="str">
        <f>IF(D544="","",VLOOKUP(D544,'Fatores de Emissão'!$C$145:$K$159,6,FALSE))</f>
        <v/>
      </c>
      <c r="J544" s="1023" t="str">
        <f>IF(D544="","",VLOOKUP(D544,'Fatores de Emissão'!$C$145:$K$159,8,FALSE))</f>
        <v/>
      </c>
      <c r="K544" s="1023" t="str">
        <f t="shared" si="25"/>
        <v/>
      </c>
      <c r="L544" s="1023" t="str">
        <f t="shared" si="26"/>
        <v/>
      </c>
      <c r="M544" s="1023" t="str">
        <f t="shared" si="27"/>
        <v/>
      </c>
      <c r="N544" s="961" t="str">
        <f>IF(D544="","",IF(B544="","",IF(D544="","",K544*'Fatores de Emissão'!$E$252+'Combustão Móvel'!L544*'Fatores de Emissão'!$E$248+'Combustão Móvel'!M544*'Fatores de Emissão'!$E$249)))</f>
        <v/>
      </c>
    </row>
    <row r="545" spans="2:14" hidden="1" outlineLevel="2" x14ac:dyDescent="0.35">
      <c r="B545" s="454"/>
      <c r="C545" s="454"/>
      <c r="D545" s="454"/>
      <c r="E545" s="556" t="str">
        <f>IF(D545="","",VLOOKUP(D545,'Fatores de Emissão'!$C$145:$K$159,2,FALSE))</f>
        <v/>
      </c>
      <c r="F545" s="540"/>
      <c r="G545" s="556" t="str">
        <f>IF(D545="","",VLOOKUP($D545,'Fatores de Emissão'!$C$145:$K$159,3,FALSE))</f>
        <v/>
      </c>
      <c r="H545" s="1023" t="str">
        <f>IF(D545="","",VLOOKUP($D545,'Fatores de Emissão'!$C$145:$K$159,4,FALSE))</f>
        <v/>
      </c>
      <c r="I545" s="1023" t="str">
        <f>IF(D545="","",VLOOKUP(D545,'Fatores de Emissão'!$C$145:$K$159,6,FALSE))</f>
        <v/>
      </c>
      <c r="J545" s="1023" t="str">
        <f>IF(D545="","",VLOOKUP(D545,'Fatores de Emissão'!$C$145:$K$159,8,FALSE))</f>
        <v/>
      </c>
      <c r="K545" s="1023" t="str">
        <f t="shared" si="25"/>
        <v/>
      </c>
      <c r="L545" s="1023" t="str">
        <f t="shared" si="26"/>
        <v/>
      </c>
      <c r="M545" s="1023" t="str">
        <f t="shared" si="27"/>
        <v/>
      </c>
      <c r="N545" s="961" t="str">
        <f>IF(D545="","",IF(B545="","",IF(D545="","",K545*'Fatores de Emissão'!$E$252+'Combustão Móvel'!L545*'Fatores de Emissão'!$E$248+'Combustão Móvel'!M545*'Fatores de Emissão'!$E$249)))</f>
        <v/>
      </c>
    </row>
    <row r="546" spans="2:14" hidden="1" outlineLevel="2" x14ac:dyDescent="0.35">
      <c r="B546" s="454"/>
      <c r="C546" s="454"/>
      <c r="D546" s="454"/>
      <c r="E546" s="556" t="str">
        <f>IF(D546="","",VLOOKUP(D546,'Fatores de Emissão'!$C$145:$K$159,2,FALSE))</f>
        <v/>
      </c>
      <c r="F546" s="540"/>
      <c r="G546" s="556" t="str">
        <f>IF(D546="","",VLOOKUP($D546,'Fatores de Emissão'!$C$145:$K$159,3,FALSE))</f>
        <v/>
      </c>
      <c r="H546" s="1023" t="str">
        <f>IF(D546="","",VLOOKUP($D546,'Fatores de Emissão'!$C$145:$K$159,4,FALSE))</f>
        <v/>
      </c>
      <c r="I546" s="1023" t="str">
        <f>IF(D546="","",VLOOKUP(D546,'Fatores de Emissão'!$C$145:$K$159,6,FALSE))</f>
        <v/>
      </c>
      <c r="J546" s="1023" t="str">
        <f>IF(D546="","",VLOOKUP(D546,'Fatores de Emissão'!$C$145:$K$159,8,FALSE))</f>
        <v/>
      </c>
      <c r="K546" s="1023" t="str">
        <f t="shared" si="25"/>
        <v/>
      </c>
      <c r="L546" s="1023" t="str">
        <f t="shared" si="26"/>
        <v/>
      </c>
      <c r="M546" s="1023" t="str">
        <f t="shared" si="27"/>
        <v/>
      </c>
      <c r="N546" s="961" t="str">
        <f>IF(D546="","",IF(B546="","",IF(D546="","",K546*'Fatores de Emissão'!$E$252+'Combustão Móvel'!L546*'Fatores de Emissão'!$E$248+'Combustão Móvel'!M546*'Fatores de Emissão'!$E$249)))</f>
        <v/>
      </c>
    </row>
    <row r="547" spans="2:14" hidden="1" outlineLevel="2" x14ac:dyDescent="0.35">
      <c r="B547" s="454"/>
      <c r="C547" s="454"/>
      <c r="D547" s="454"/>
      <c r="E547" s="556" t="str">
        <f>IF(D547="","",VLOOKUP(D547,'Fatores de Emissão'!$C$145:$K$159,2,FALSE))</f>
        <v/>
      </c>
      <c r="F547" s="540"/>
      <c r="G547" s="556" t="str">
        <f>IF(D547="","",VLOOKUP($D547,'Fatores de Emissão'!$C$145:$K$159,3,FALSE))</f>
        <v/>
      </c>
      <c r="H547" s="1023" t="str">
        <f>IF(D547="","",VLOOKUP($D547,'Fatores de Emissão'!$C$145:$K$159,4,FALSE))</f>
        <v/>
      </c>
      <c r="I547" s="1023" t="str">
        <f>IF(D547="","",VLOOKUP(D547,'Fatores de Emissão'!$C$145:$K$159,6,FALSE))</f>
        <v/>
      </c>
      <c r="J547" s="1023" t="str">
        <f>IF(D547="","",VLOOKUP(D547,'Fatores de Emissão'!$C$145:$K$159,8,FALSE))</f>
        <v/>
      </c>
      <c r="K547" s="1023" t="str">
        <f t="shared" si="25"/>
        <v/>
      </c>
      <c r="L547" s="1023" t="str">
        <f t="shared" si="26"/>
        <v/>
      </c>
      <c r="M547" s="1023" t="str">
        <f t="shared" si="27"/>
        <v/>
      </c>
      <c r="N547" s="961" t="str">
        <f>IF(D547="","",IF(B547="","",IF(D547="","",K547*'Fatores de Emissão'!$E$252+'Combustão Móvel'!L547*'Fatores de Emissão'!$E$248+'Combustão Móvel'!M547*'Fatores de Emissão'!$E$249)))</f>
        <v/>
      </c>
    </row>
    <row r="548" spans="2:14" hidden="1" outlineLevel="2" x14ac:dyDescent="0.35">
      <c r="B548" s="454"/>
      <c r="C548" s="454"/>
      <c r="D548" s="454"/>
      <c r="E548" s="556" t="str">
        <f>IF(D548="","",VLOOKUP(D548,'Fatores de Emissão'!$C$145:$K$159,2,FALSE))</f>
        <v/>
      </c>
      <c r="F548" s="540"/>
      <c r="G548" s="556" t="str">
        <f>IF(D548="","",VLOOKUP($D548,'Fatores de Emissão'!$C$145:$K$159,3,FALSE))</f>
        <v/>
      </c>
      <c r="H548" s="1023" t="str">
        <f>IF(D548="","",VLOOKUP($D548,'Fatores de Emissão'!$C$145:$K$159,4,FALSE))</f>
        <v/>
      </c>
      <c r="I548" s="1023" t="str">
        <f>IF(D548="","",VLOOKUP(D548,'Fatores de Emissão'!$C$145:$K$159,6,FALSE))</f>
        <v/>
      </c>
      <c r="J548" s="1023" t="str">
        <f>IF(D548="","",VLOOKUP(D548,'Fatores de Emissão'!$C$145:$K$159,8,FALSE))</f>
        <v/>
      </c>
      <c r="K548" s="1023" t="str">
        <f t="shared" si="25"/>
        <v/>
      </c>
      <c r="L548" s="1023" t="str">
        <f t="shared" si="26"/>
        <v/>
      </c>
      <c r="M548" s="1023" t="str">
        <f t="shared" si="27"/>
        <v/>
      </c>
      <c r="N548" s="961" t="str">
        <f>IF(D548="","",IF(B548="","",IF(D548="","",K548*'Fatores de Emissão'!$E$252+'Combustão Móvel'!L548*'Fatores de Emissão'!$E$248+'Combustão Móvel'!M548*'Fatores de Emissão'!$E$249)))</f>
        <v/>
      </c>
    </row>
    <row r="549" spans="2:14" hidden="1" outlineLevel="2" x14ac:dyDescent="0.35">
      <c r="B549" s="454"/>
      <c r="C549" s="454"/>
      <c r="D549" s="454"/>
      <c r="E549" s="556" t="str">
        <f>IF(D549="","",VLOOKUP(D549,'Fatores de Emissão'!$C$145:$K$159,2,FALSE))</f>
        <v/>
      </c>
      <c r="F549" s="540"/>
      <c r="G549" s="556" t="str">
        <f>IF(D549="","",VLOOKUP($D549,'Fatores de Emissão'!$C$145:$K$159,3,FALSE))</f>
        <v/>
      </c>
      <c r="H549" s="1023" t="str">
        <f>IF(D549="","",VLOOKUP($D549,'Fatores de Emissão'!$C$145:$K$159,4,FALSE))</f>
        <v/>
      </c>
      <c r="I549" s="1023" t="str">
        <f>IF(D549="","",VLOOKUP(D549,'Fatores de Emissão'!$C$145:$K$159,6,FALSE))</f>
        <v/>
      </c>
      <c r="J549" s="1023" t="str">
        <f>IF(D549="","",VLOOKUP(D549,'Fatores de Emissão'!$C$145:$K$159,8,FALSE))</f>
        <v/>
      </c>
      <c r="K549" s="1023" t="str">
        <f t="shared" si="25"/>
        <v/>
      </c>
      <c r="L549" s="1023" t="str">
        <f t="shared" si="26"/>
        <v/>
      </c>
      <c r="M549" s="1023" t="str">
        <f t="shared" si="27"/>
        <v/>
      </c>
      <c r="N549" s="961" t="str">
        <f>IF(D549="","",IF(B549="","",IF(D549="","",K549*'Fatores de Emissão'!$E$252+'Combustão Móvel'!L549*'Fatores de Emissão'!$E$248+'Combustão Móvel'!M549*'Fatores de Emissão'!$E$249)))</f>
        <v/>
      </c>
    </row>
    <row r="550" spans="2:14" hidden="1" outlineLevel="2" x14ac:dyDescent="0.35">
      <c r="B550" s="454"/>
      <c r="C550" s="454"/>
      <c r="D550" s="454"/>
      <c r="E550" s="556" t="str">
        <f>IF(D550="","",VLOOKUP(D550,'Fatores de Emissão'!$C$145:$K$159,2,FALSE))</f>
        <v/>
      </c>
      <c r="F550" s="540"/>
      <c r="G550" s="556" t="str">
        <f>IF(D550="","",VLOOKUP($D550,'Fatores de Emissão'!$C$145:$K$159,3,FALSE))</f>
        <v/>
      </c>
      <c r="H550" s="1023" t="str">
        <f>IF(D550="","",VLOOKUP($D550,'Fatores de Emissão'!$C$145:$K$159,4,FALSE))</f>
        <v/>
      </c>
      <c r="I550" s="1023" t="str">
        <f>IF(D550="","",VLOOKUP(D550,'Fatores de Emissão'!$C$145:$K$159,6,FALSE))</f>
        <v/>
      </c>
      <c r="J550" s="1023" t="str">
        <f>IF(D550="","",VLOOKUP(D550,'Fatores de Emissão'!$C$145:$K$159,8,FALSE))</f>
        <v/>
      </c>
      <c r="K550" s="1023" t="str">
        <f t="shared" si="25"/>
        <v/>
      </c>
      <c r="L550" s="1023" t="str">
        <f t="shared" si="26"/>
        <v/>
      </c>
      <c r="M550" s="1023" t="str">
        <f t="shared" si="27"/>
        <v/>
      </c>
      <c r="N550" s="961" t="str">
        <f>IF(D550="","",IF(B550="","",IF(D550="","",K550*'Fatores de Emissão'!$E$252+'Combustão Móvel'!L550*'Fatores de Emissão'!$E$248+'Combustão Móvel'!M550*'Fatores de Emissão'!$E$249)))</f>
        <v/>
      </c>
    </row>
    <row r="551" spans="2:14" hidden="1" outlineLevel="2" x14ac:dyDescent="0.35">
      <c r="B551" s="454"/>
      <c r="C551" s="454"/>
      <c r="D551" s="454"/>
      <c r="E551" s="556" t="str">
        <f>IF(D551="","",VLOOKUP(D551,'Fatores de Emissão'!$C$145:$K$159,2,FALSE))</f>
        <v/>
      </c>
      <c r="F551" s="540"/>
      <c r="G551" s="556" t="str">
        <f>IF(D551="","",VLOOKUP($D551,'Fatores de Emissão'!$C$145:$K$159,3,FALSE))</f>
        <v/>
      </c>
      <c r="H551" s="1023" t="str">
        <f>IF(D551="","",VLOOKUP($D551,'Fatores de Emissão'!$C$145:$K$159,4,FALSE))</f>
        <v/>
      </c>
      <c r="I551" s="1023" t="str">
        <f>IF(D551="","",VLOOKUP(D551,'Fatores de Emissão'!$C$145:$K$159,6,FALSE))</f>
        <v/>
      </c>
      <c r="J551" s="1023" t="str">
        <f>IF(D551="","",VLOOKUP(D551,'Fatores de Emissão'!$C$145:$K$159,8,FALSE))</f>
        <v/>
      </c>
      <c r="K551" s="1023" t="str">
        <f t="shared" si="25"/>
        <v/>
      </c>
      <c r="L551" s="1023" t="str">
        <f t="shared" si="26"/>
        <v/>
      </c>
      <c r="M551" s="1023" t="str">
        <f t="shared" si="27"/>
        <v/>
      </c>
      <c r="N551" s="961" t="str">
        <f>IF(D551="","",IF(B551="","",IF(D551="","",K551*'Fatores de Emissão'!$E$252+'Combustão Móvel'!L551*'Fatores de Emissão'!$E$248+'Combustão Móvel'!M551*'Fatores de Emissão'!$E$249)))</f>
        <v/>
      </c>
    </row>
    <row r="552" spans="2:14" outlineLevel="1" collapsed="1" x14ac:dyDescent="0.35">
      <c r="B552" s="1118" t="s">
        <v>40</v>
      </c>
      <c r="C552" s="1118"/>
      <c r="D552" s="1118"/>
      <c r="E552" s="1118"/>
      <c r="F552" s="1118"/>
      <c r="G552" s="1118"/>
      <c r="H552" s="1118"/>
      <c r="I552" s="1118"/>
      <c r="J552" s="1118"/>
      <c r="K552" s="960">
        <f>SUM(K519:K551)</f>
        <v>0</v>
      </c>
      <c r="L552" s="960">
        <f>SUM(L519:L551)</f>
        <v>0</v>
      </c>
      <c r="M552" s="960">
        <f>SUM(M519:M551)</f>
        <v>0</v>
      </c>
      <c r="N552" s="961">
        <f>SUM(N519:N551)</f>
        <v>0</v>
      </c>
    </row>
    <row r="553" spans="2:14" outlineLevel="1" x14ac:dyDescent="0.35"/>
    <row r="554" spans="2:14" outlineLevel="1" x14ac:dyDescent="0.35"/>
    <row r="555" spans="2:14" s="538" customFormat="1" ht="30" customHeight="1" x14ac:dyDescent="0.35">
      <c r="B555" s="296" t="s">
        <v>671</v>
      </c>
    </row>
    <row r="556" spans="2:14" x14ac:dyDescent="0.35"/>
    <row r="557" spans="2:14" x14ac:dyDescent="0.35"/>
    <row r="558" spans="2:14" ht="17.5" x14ac:dyDescent="0.45">
      <c r="E558" s="1120" t="s">
        <v>1449</v>
      </c>
      <c r="F558" s="1120"/>
      <c r="G558" s="1120"/>
      <c r="H558" s="304"/>
    </row>
    <row r="559" spans="2:14" s="357" customFormat="1" ht="33" customHeight="1" x14ac:dyDescent="0.35">
      <c r="E559" s="370" t="str">
        <f>'Combustão Estacionária'!D399</f>
        <v>Construção ou fase preparatória</v>
      </c>
      <c r="F559" s="371" t="s">
        <v>36</v>
      </c>
      <c r="G559" s="372" t="s">
        <v>255</v>
      </c>
    </row>
    <row r="560" spans="2:14" x14ac:dyDescent="0.35">
      <c r="B560" s="1086" t="s">
        <v>1455</v>
      </c>
      <c r="C560" s="1087"/>
      <c r="D560" s="1088"/>
      <c r="E560" s="804">
        <f>SUMIF(FACM!$L$21:$L$420,FACM!$B$13,FACM!F$21:F$420)-SUMIF(FACM!$L$121:$L$220,FACM!$B$13,FACM!F$121:F$220)+SUMIF($B$519:$B$551,$E$559,$N$519:$N$551)</f>
        <v>0</v>
      </c>
      <c r="F560" s="804">
        <f>SUMIF(FACM!$L$21:$L$420,FACM!$B$13,FACM!G$21:G$420)-SUMIF(FACM!$L$121:$L$220,FACM!$B$13,FACM!G$121:G$220)+SUMIF($B$519:$B$551,$F$559,$N$519:$N$551)</f>
        <v>0</v>
      </c>
      <c r="G560" s="804">
        <f>SUMIF(FACM!$L$21:$L$420,FACM!$B$13,FACM!H$21:H$420)-SUMIF(FACM!$L$121:$L$220,FACM!$B$13,FACM!H$121:H$220)+SUMIF($B$519:$B$551,$G$559,$N$519:$N$551)</f>
        <v>0</v>
      </c>
      <c r="H560" s="464"/>
    </row>
    <row r="561" spans="2:12" x14ac:dyDescent="0.35">
      <c r="B561" s="1130" t="s">
        <v>898</v>
      </c>
      <c r="C561" s="1130"/>
      <c r="D561" s="1130"/>
      <c r="E561" s="804">
        <f>SUM(FACM!F$121:F$220)</f>
        <v>0</v>
      </c>
      <c r="F561" s="804">
        <f>SUM(FACM!G$121:G$220)</f>
        <v>0</v>
      </c>
      <c r="G561" s="804">
        <f>SUM(FACM!H$121:H$220)</f>
        <v>0</v>
      </c>
      <c r="H561" s="464"/>
    </row>
    <row r="562" spans="2:12" x14ac:dyDescent="0.35">
      <c r="B562" s="1130" t="s">
        <v>1454</v>
      </c>
      <c r="C562" s="1130"/>
      <c r="D562" s="1130"/>
      <c r="E562" s="804">
        <f>SUM(E563:E565)</f>
        <v>0</v>
      </c>
      <c r="F562" s="804">
        <f t="shared" ref="F562:G562" si="28">SUM(F563:F565)</f>
        <v>0</v>
      </c>
      <c r="G562" s="804">
        <f t="shared" si="28"/>
        <v>0</v>
      </c>
      <c r="H562" s="464"/>
    </row>
    <row r="563" spans="2:12" s="248" customFormat="1" x14ac:dyDescent="0.35">
      <c r="B563" s="1119" t="s">
        <v>1071</v>
      </c>
      <c r="C563" s="1119"/>
      <c r="D563" s="1119"/>
      <c r="E563" s="805">
        <f>SUMIF(FACM!$C$21:$C$420,E$559,FACM!$R$21:$R$420)-SUMIF(FACM!$C$121:$C$220,E$559,FACM!$R$121:$R$220)</f>
        <v>0</v>
      </c>
      <c r="F563" s="805">
        <f>SUMIF(FACM!$C$21:$C$420,F$559,FACM!$R$21:$R$420)-SUMIF(FACM!$C$121:$C$220,F$559,FACM!$R$121:$R$220)</f>
        <v>0</v>
      </c>
      <c r="G563" s="805">
        <f>SUMIF(FACM!$C$21:$C$420,G$559,FACM!$R$21:$R$420)-SUMIF(FACM!$C$121:$C$220,G$559,FACM!$R$121:$R$220)</f>
        <v>0</v>
      </c>
      <c r="H563" s="465"/>
    </row>
    <row r="564" spans="2:12" s="248" customFormat="1" x14ac:dyDescent="0.35">
      <c r="B564" s="1119" t="s">
        <v>1072</v>
      </c>
      <c r="C564" s="1119"/>
      <c r="D564" s="1119"/>
      <c r="E564" s="805">
        <f>SUMIF(FACM!$C$21:$C$420,E$559,FACM!$O$21:$O$420)-SUMIF(FACM!$C$121:$C$220,E$559,FACM!$O$121:$O$220)</f>
        <v>0</v>
      </c>
      <c r="F564" s="805">
        <f>SUMIF(FACM!$C$21:$C$420,F$559,FACM!$O$21:$O$420)-SUMIF(FACM!$C$121:$C$220,F$559,FACM!$O$121:$O$220)</f>
        <v>0</v>
      </c>
      <c r="G564" s="805">
        <f>SUMIF(FACM!$C$21:$C$420,G$559,FACM!$O$21:$O$420)-SUMIF(FACM!$C$121:$C$220,G$559,FACM!$O$121:$O$220)</f>
        <v>0</v>
      </c>
      <c r="H564" s="465"/>
    </row>
    <row r="565" spans="2:12" s="248" customFormat="1" x14ac:dyDescent="0.35">
      <c r="B565" s="1119" t="s">
        <v>1073</v>
      </c>
      <c r="C565" s="1119"/>
      <c r="D565" s="1119"/>
      <c r="E565" s="805">
        <f>SUMIF(FACM!$C$21:$C$420,E$559,FACM!$S$21:$S$420)-SUMIF(FACM!$C$121:$C$220,E$559,FACM!$S$121:$S$220)</f>
        <v>0</v>
      </c>
      <c r="F565" s="805">
        <f>SUMIF(FACM!$C$21:$C$420,F$559,FACM!$S$21:$S$420)-SUMIF(FACM!$C$121:$C$220,F$559,FACM!$S$121:$S$220)</f>
        <v>0</v>
      </c>
      <c r="G565" s="805">
        <f>SUMIF(FACM!$C$21:$C$420,G$559,FACM!$S$21:$S$420)-SUMIF(FACM!$C$121:$C$220,G$559,FACM!$S$121:$S$220)</f>
        <v>0</v>
      </c>
    </row>
    <row r="566" spans="2:12" s="171" customFormat="1" x14ac:dyDescent="0.35">
      <c r="B566" s="466"/>
      <c r="C566" s="466"/>
      <c r="D566" s="466"/>
      <c r="E566" s="467"/>
      <c r="F566" s="467"/>
      <c r="G566" s="467"/>
    </row>
    <row r="567" spans="2:12" ht="17.5" x14ac:dyDescent="0.45">
      <c r="E567" s="1120" t="s">
        <v>1450</v>
      </c>
      <c r="F567" s="1120"/>
      <c r="G567" s="1120"/>
      <c r="H567" s="1120"/>
    </row>
    <row r="568" spans="2:12" s="357" customFormat="1" ht="33" customHeight="1" x14ac:dyDescent="0.35">
      <c r="E568" s="370" t="str">
        <f>E559</f>
        <v>Construção ou fase preparatória</v>
      </c>
      <c r="F568" s="371" t="s">
        <v>36</v>
      </c>
      <c r="G568" s="372" t="s">
        <v>255</v>
      </c>
      <c r="H568" s="468" t="s">
        <v>40</v>
      </c>
      <c r="K568" s="469"/>
      <c r="L568" s="469"/>
    </row>
    <row r="569" spans="2:12" ht="19.149999999999999" customHeight="1" x14ac:dyDescent="0.35">
      <c r="B569" s="1086" t="str">
        <f t="shared" ref="B569:B574" si="29">B560</f>
        <v>Emissões da combustão móvel DIRETAS</v>
      </c>
      <c r="C569" s="1087"/>
      <c r="D569" s="1088"/>
      <c r="E569" s="806">
        <f>IF('Dados gerais'!$F$33="", 'Fatores de Emissão'!$E$12*E560, 'Dados gerais'!$F$33*E560)</f>
        <v>0</v>
      </c>
      <c r="F569" s="806">
        <f>IF('Dados gerais'!$F$34="", 'Fatores de Emissão'!$E$13*F560, 'Dados gerais'!$F$34*F560)</f>
        <v>0</v>
      </c>
      <c r="G569" s="806">
        <f>IF('Dados gerais'!$F$35="", 'Fatores de Emissão'!$E$14*G560, 'Dados gerais'!$F$35*G560)</f>
        <v>0</v>
      </c>
      <c r="H569" s="807">
        <f t="shared" ref="H569:H574" si="30">SUM(E569:G569)</f>
        <v>0</v>
      </c>
      <c r="I569" s="171"/>
      <c r="J569" s="171"/>
      <c r="K569" s="171"/>
      <c r="L569" s="171"/>
    </row>
    <row r="570" spans="2:12" ht="23.5" customHeight="1" x14ac:dyDescent="0.35">
      <c r="B570" s="1086" t="str">
        <f t="shared" si="29"/>
        <v xml:space="preserve">Emissões elétricas (indiretas) </v>
      </c>
      <c r="C570" s="1087"/>
      <c r="D570" s="1088"/>
      <c r="E570" s="806">
        <f>IF('Dados gerais'!$F$33="", 'Fatores de Emissão'!$E$12*E561, 'Dados gerais'!$F$33*E561)</f>
        <v>0</v>
      </c>
      <c r="F570" s="806">
        <f>IF('Dados gerais'!$F$34="", 'Fatores de Emissão'!$E$13*F561, 'Dados gerais'!$F$34*F561)</f>
        <v>0</v>
      </c>
      <c r="G570" s="806">
        <f>IF('Dados gerais'!$F$35="", 'Fatores de Emissão'!$E$14*G561, 'Dados gerais'!$F$35*G561)</f>
        <v>0</v>
      </c>
      <c r="H570" s="807">
        <f t="shared" si="30"/>
        <v>0</v>
      </c>
      <c r="I570" s="171"/>
      <c r="J570" s="171"/>
      <c r="K570" s="171"/>
      <c r="L570" s="171"/>
    </row>
    <row r="571" spans="2:12" ht="22.9" customHeight="1" x14ac:dyDescent="0.35">
      <c r="B571" s="1086" t="str">
        <f t="shared" si="29"/>
        <v>Emissões da combustão móvel INDIRETAS</v>
      </c>
      <c r="C571" s="1087"/>
      <c r="D571" s="1088"/>
      <c r="E571" s="806">
        <f>SUM(E572:E574)</f>
        <v>0</v>
      </c>
      <c r="F571" s="806">
        <f t="shared" ref="F571:G571" si="31">SUM(F572:F574)</f>
        <v>0</v>
      </c>
      <c r="G571" s="806">
        <f t="shared" si="31"/>
        <v>0</v>
      </c>
      <c r="H571" s="807">
        <f>SUM(E571:G571)</f>
        <v>0</v>
      </c>
      <c r="I571" s="171"/>
      <c r="J571" s="171"/>
      <c r="K571" s="171"/>
      <c r="L571" s="171"/>
    </row>
    <row r="572" spans="2:12" ht="20.5" customHeight="1" x14ac:dyDescent="0.35">
      <c r="B572" s="1115" t="str">
        <f t="shared" si="29"/>
        <v xml:space="preserve">       Transporte a montante</v>
      </c>
      <c r="C572" s="1116"/>
      <c r="D572" s="1117"/>
      <c r="E572" s="808">
        <f>IF('Dados gerais'!$F$33="", 'Fatores de Emissão'!$E$12*E563, 'Dados gerais'!$F$33*E563)</f>
        <v>0</v>
      </c>
      <c r="F572" s="808">
        <f>IF('Dados gerais'!$F$34="", 'Fatores de Emissão'!$E$13*F563, 'Dados gerais'!$F$34*F563)</f>
        <v>0</v>
      </c>
      <c r="G572" s="808">
        <f>IF('Dados gerais'!$F$35="", 'Fatores de Emissão'!$E$14*G563, 'Dados gerais'!$F$34*G563)</f>
        <v>0</v>
      </c>
      <c r="H572" s="809">
        <f t="shared" si="30"/>
        <v>0</v>
      </c>
      <c r="I572" s="171"/>
      <c r="J572" s="171"/>
      <c r="K572" s="171"/>
      <c r="L572" s="171"/>
    </row>
    <row r="573" spans="2:12" x14ac:dyDescent="0.35">
      <c r="B573" s="1115" t="str">
        <f t="shared" si="29"/>
        <v xml:space="preserve">       Viagens a negócios</v>
      </c>
      <c r="C573" s="1116"/>
      <c r="D573" s="1117"/>
      <c r="E573" s="808">
        <f>IF('Dados gerais'!$F$33="", 'Fatores de Emissão'!$E$12*E564, 'Dados gerais'!$F$33*E564)</f>
        <v>0</v>
      </c>
      <c r="F573" s="808">
        <f>IF('Dados gerais'!$F$34="", 'Fatores de Emissão'!$E$13*F564, 'Dados gerais'!$F$34*F564)</f>
        <v>0</v>
      </c>
      <c r="G573" s="808">
        <f>IF('Dados gerais'!$F$35="", 'Fatores de Emissão'!$E$14*G564, 'Dados gerais'!$F$34*G564)</f>
        <v>0</v>
      </c>
      <c r="H573" s="809">
        <f t="shared" si="30"/>
        <v>0</v>
      </c>
      <c r="I573" s="1129"/>
      <c r="J573" s="1129"/>
      <c r="K573" s="1129"/>
      <c r="L573" s="171"/>
    </row>
    <row r="574" spans="2:12" x14ac:dyDescent="0.35">
      <c r="B574" s="1115" t="str">
        <f t="shared" si="29"/>
        <v xml:space="preserve">       Transporte a jusante</v>
      </c>
      <c r="C574" s="1116"/>
      <c r="D574" s="1117"/>
      <c r="E574" s="808">
        <f>IF('Dados gerais'!$F$33="", 'Fatores de Emissão'!$E$12*E565, 'Dados gerais'!$F$33*E565)</f>
        <v>0</v>
      </c>
      <c r="F574" s="808">
        <f>IF('Dados gerais'!$F$34="", 'Fatores de Emissão'!$E$13*F565, 'Dados gerais'!$F$34*F565)</f>
        <v>0</v>
      </c>
      <c r="G574" s="808">
        <f>IF('Dados gerais'!$F$35="", 'Fatores de Emissão'!$E$14*G565, 'Dados gerais'!$F$34*G565)</f>
        <v>0</v>
      </c>
      <c r="H574" s="809">
        <f t="shared" si="30"/>
        <v>0</v>
      </c>
      <c r="I574" s="171"/>
      <c r="J574" s="171"/>
      <c r="K574" s="171"/>
      <c r="L574" s="171"/>
    </row>
    <row r="575" spans="2:12" x14ac:dyDescent="0.35">
      <c r="H575" s="585">
        <f>SUM(H569:H571)</f>
        <v>0</v>
      </c>
    </row>
    <row r="576" spans="2:12" x14ac:dyDescent="0.35"/>
    <row r="577" x14ac:dyDescent="0.35"/>
    <row r="578" x14ac:dyDescent="0.35"/>
    <row r="579" x14ac:dyDescent="0.35"/>
    <row r="580" x14ac:dyDescent="0.35"/>
    <row r="581" x14ac:dyDescent="0.35"/>
    <row r="582" x14ac:dyDescent="0.35"/>
    <row r="583" x14ac:dyDescent="0.35"/>
  </sheetData>
  <sheetProtection algorithmName="SHA-512" hashValue="I2JeXyQWMR2h82X7nkU12hYpGKsyT62sHobg3fIAPGN0OIKAnPSXmWIq7ic10/RXWqHwHPpt55JR5glxWTDJ9Q==" saltValue="UNaxd+aiX7r83fVlt737YQ==" spinCount="100000" sheet="1" formatRows="0" selectLockedCells="1"/>
  <protectedRanges>
    <protectedRange sqref="B519:D551 F519:F551" name="CM5"/>
    <protectedRange sqref="B286:I385" name="CM3"/>
    <protectedRange sqref="B51:G150" name="CM"/>
    <protectedRange sqref="B169:I268" name="CM2"/>
    <protectedRange sqref="B403:I502" name="CM4"/>
  </protectedRanges>
  <mergeCells count="88">
    <mergeCell ref="E558:G558"/>
    <mergeCell ref="D165:D167"/>
    <mergeCell ref="E165:E167"/>
    <mergeCell ref="D7:I7"/>
    <mergeCell ref="C47:C49"/>
    <mergeCell ref="B15:J15"/>
    <mergeCell ref="B11:J11"/>
    <mergeCell ref="B12:J12"/>
    <mergeCell ref="B13:J13"/>
    <mergeCell ref="B14:J14"/>
    <mergeCell ref="F165:F167"/>
    <mergeCell ref="C515:C517"/>
    <mergeCell ref="B18:J18"/>
    <mergeCell ref="B25:J25"/>
    <mergeCell ref="D47:D49"/>
    <mergeCell ref="E47:E49"/>
    <mergeCell ref="Q282:Q284"/>
    <mergeCell ref="B282:B284"/>
    <mergeCell ref="C282:C284"/>
    <mergeCell ref="F282:F284"/>
    <mergeCell ref="G282:G284"/>
    <mergeCell ref="J282:J284"/>
    <mergeCell ref="D282:D284"/>
    <mergeCell ref="E282:E284"/>
    <mergeCell ref="N282:N284"/>
    <mergeCell ref="O282:O284"/>
    <mergeCell ref="P282:P284"/>
    <mergeCell ref="H282:H284"/>
    <mergeCell ref="I282:I284"/>
    <mergeCell ref="K282:M283"/>
    <mergeCell ref="Q165:Q167"/>
    <mergeCell ref="L47:L49"/>
    <mergeCell ref="G47:G49"/>
    <mergeCell ref="H47:H49"/>
    <mergeCell ref="I47:K48"/>
    <mergeCell ref="O165:O167"/>
    <mergeCell ref="P165:P167"/>
    <mergeCell ref="O47:O49"/>
    <mergeCell ref="J165:J167"/>
    <mergeCell ref="H165:H167"/>
    <mergeCell ref="I165:I167"/>
    <mergeCell ref="G165:G167"/>
    <mergeCell ref="N47:N49"/>
    <mergeCell ref="N165:N167"/>
    <mergeCell ref="K165:M166"/>
    <mergeCell ref="N399:N401"/>
    <mergeCell ref="O399:O401"/>
    <mergeCell ref="P399:P401"/>
    <mergeCell ref="Q399:Q401"/>
    <mergeCell ref="B399:B401"/>
    <mergeCell ref="C399:C401"/>
    <mergeCell ref="D399:D401"/>
    <mergeCell ref="E399:E401"/>
    <mergeCell ref="F399:F401"/>
    <mergeCell ref="G399:G401"/>
    <mergeCell ref="J399:J401"/>
    <mergeCell ref="K399:M400"/>
    <mergeCell ref="H399:H401"/>
    <mergeCell ref="I399:I401"/>
    <mergeCell ref="I573:K573"/>
    <mergeCell ref="B560:D560"/>
    <mergeCell ref="B561:D561"/>
    <mergeCell ref="B562:D562"/>
    <mergeCell ref="B563:D563"/>
    <mergeCell ref="F47:F49"/>
    <mergeCell ref="B165:B167"/>
    <mergeCell ref="C165:C167"/>
    <mergeCell ref="M47:M49"/>
    <mergeCell ref="D515:D517"/>
    <mergeCell ref="B47:B49"/>
    <mergeCell ref="F515:F517"/>
    <mergeCell ref="L269:M269"/>
    <mergeCell ref="B574:D574"/>
    <mergeCell ref="N515:N516"/>
    <mergeCell ref="B552:J552"/>
    <mergeCell ref="B573:D573"/>
    <mergeCell ref="B564:D564"/>
    <mergeCell ref="B565:D565"/>
    <mergeCell ref="E567:H567"/>
    <mergeCell ref="B569:D569"/>
    <mergeCell ref="B570:D570"/>
    <mergeCell ref="B571:D571"/>
    <mergeCell ref="B572:D572"/>
    <mergeCell ref="E515:E517"/>
    <mergeCell ref="H515:J516"/>
    <mergeCell ref="G515:G517"/>
    <mergeCell ref="K515:M516"/>
    <mergeCell ref="B515:B517"/>
  </mergeCells>
  <conditionalFormatting sqref="F168:F268 F285:F385 F402:F502">
    <cfRule type="expression" dxfId="83" priority="110">
      <formula>J168&lt;&gt;"kg/p.km"</formula>
    </cfRule>
  </conditionalFormatting>
  <conditionalFormatting sqref="G168:G268 G285:G385 G402:G502">
    <cfRule type="expression" dxfId="82" priority="111">
      <formula>J168&lt;&gt;"kg/t.km"</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04301C88-B353-4243-8555-3166906E7F72}">
            <xm:f>Triagem!$C$30="Não"</xm:f>
            <x14:dxf>
              <font>
                <color theme="2" tint="-0.499984740745262"/>
              </font>
            </x14:dxf>
          </x14:cfRule>
          <x14:cfRule type="expression" priority="4" id="{28FA1E51-32AF-4DDC-8071-9EF0A1F770A6}">
            <xm:f>Triagem!$C$30=""</xm:f>
            <x14:dxf>
              <font>
                <b/>
                <i val="0"/>
                <u val="double"/>
                <color rgb="FFFF0000"/>
              </font>
              <fill>
                <patternFill>
                  <bgColor theme="7" tint="0.79998168889431442"/>
                </patternFill>
              </fill>
            </x14:dxf>
          </x14:cfRule>
          <xm:sqref>D7</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8E021B3D-1851-41F3-9E8D-B004C22F9826}">
          <x14:formula1>
            <xm:f>FACM!$A$13:$A$15</xm:f>
          </x14:formula1>
          <xm:sqref>B50:B150 B168:B268 B285:B385 B402:B502 B518:B551</xm:sqref>
        </x14:dataValidation>
        <x14:dataValidation type="list" allowBlank="1" showInputMessage="1" showErrorMessage="1" xr:uid="{08FFBAEF-ECA6-490D-AE83-FE7B0309016A}">
          <x14:formula1>
            <xm:f>'Fatores de Emissão'!$D$105:$D$108</xm:f>
          </x14:formula1>
          <xm:sqref>D168:D268</xm:sqref>
        </x14:dataValidation>
        <x14:dataValidation type="list" allowBlank="1" showInputMessage="1" showErrorMessage="1" xr:uid="{1419E361-C40C-42A0-9E93-562D3E79BACE}">
          <x14:formula1>
            <xm:f>FACM!$B$13:$B$14</xm:f>
          </x14:formula1>
          <xm:sqref>F50:F150 H168:H268 H285:H385 H402:H502</xm:sqref>
        </x14:dataValidation>
        <x14:dataValidation type="list" allowBlank="1" showInputMessage="1" showErrorMessage="1" xr:uid="{846B2D4C-5020-4301-A369-3B73A56D8D06}">
          <x14:formula1>
            <xm:f>FACM!$C$13:$C$16</xm:f>
          </x14:formula1>
          <xm:sqref>I297:I385 G62:G150 I180:I268 G50 I168 I285 I402 I414:I502</xm:sqref>
        </x14:dataValidation>
        <x14:dataValidation type="list" allowBlank="1" showInputMessage="1" showErrorMessage="1" xr:uid="{0CA68CF2-C98C-4445-9782-B5A48417B41D}">
          <x14:formula1>
            <xm:f>FACM!$C$13:$C$15</xm:f>
          </x14:formula1>
          <xm:sqref>G51:G61 I169:I179 I286:I296 I403:I413</xm:sqref>
        </x14:dataValidation>
        <x14:dataValidation type="list" allowBlank="1" showInputMessage="1" showErrorMessage="1" xr:uid="{3DC3B9D3-BDCB-4231-9A5F-886B929B58AC}">
          <x14:formula1>
            <xm:f>'Fatores de Emissão'!$D$86:$D$96</xm:f>
          </x14:formula1>
          <xm:sqref>D50:D150</xm:sqref>
        </x14:dataValidation>
        <x14:dataValidation type="list" allowBlank="1" showInputMessage="1" showErrorMessage="1" xr:uid="{63A98295-7791-4FAD-92E2-0EE145760751}">
          <x14:formula1>
            <xm:f>'Fatores de Emissão'!$C$130:$C$135</xm:f>
          </x14:formula1>
          <xm:sqref>D402:D502</xm:sqref>
        </x14:dataValidation>
        <x14:dataValidation type="list" allowBlank="1" showInputMessage="1" showErrorMessage="1" xr:uid="{52F277F9-FF7C-463B-B8FA-7382CB73912F}">
          <x14:formula1>
            <xm:f>'Fatores de Emissão'!$D$117:$D$121</xm:f>
          </x14:formula1>
          <xm:sqref>D285:D385</xm:sqref>
        </x14:dataValidation>
        <x14:dataValidation type="list" allowBlank="1" showInputMessage="1" showErrorMessage="1" xr:uid="{89B4B87B-7529-4E35-973F-C748A1F8E58E}">
          <x14:formula1>
            <xm:f>'Fatores de Emissão'!$C$145:$C$159</xm:f>
          </x14:formula1>
          <xm:sqref>D518:D551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30</vt:i4>
      </vt:variant>
      <vt:variant>
        <vt:lpstr>Intervalos com Nome</vt:lpstr>
      </vt:variant>
      <vt:variant>
        <vt:i4>1</vt:i4>
      </vt:variant>
    </vt:vector>
  </HeadingPairs>
  <TitlesOfParts>
    <vt:vector size="31" baseType="lpstr">
      <vt:lpstr>Introdução</vt:lpstr>
      <vt:lpstr>Instruções</vt:lpstr>
      <vt:lpstr>Conteúdos</vt:lpstr>
      <vt:lpstr>Triagem</vt:lpstr>
      <vt:lpstr>Dados gerais</vt:lpstr>
      <vt:lpstr>Combustão Estacionária</vt:lpstr>
      <vt:lpstr>FACE</vt:lpstr>
      <vt:lpstr>Categoria 3</vt:lpstr>
      <vt:lpstr>Combustão Móvel</vt:lpstr>
      <vt:lpstr>FACM</vt:lpstr>
      <vt:lpstr>Emissões Fugitivas</vt:lpstr>
      <vt:lpstr>FAEF</vt:lpstr>
      <vt:lpstr>Processos Industriais</vt:lpstr>
      <vt:lpstr>FAEI</vt:lpstr>
      <vt:lpstr>Outras emissões de processo</vt:lpstr>
      <vt:lpstr>FAOEP</vt:lpstr>
      <vt:lpstr>FAAS</vt:lpstr>
      <vt:lpstr>Energia Elétrica e térmica</vt:lpstr>
      <vt:lpstr>FAEE</vt:lpstr>
      <vt:lpstr>Emissões Evitadas</vt:lpstr>
      <vt:lpstr>FAEV</vt:lpstr>
      <vt:lpstr>Aquisição de bens e serviços</vt:lpstr>
      <vt:lpstr>FABCC</vt:lpstr>
      <vt:lpstr>Uso dos produtos do projeto</vt:lpstr>
      <vt:lpstr>FAPr</vt:lpstr>
      <vt:lpstr>FAPCT</vt:lpstr>
      <vt:lpstr>Resultados</vt:lpstr>
      <vt:lpstr>Fatores de Emissão</vt:lpstr>
      <vt:lpstr>Fatores de Conversão</vt:lpstr>
      <vt:lpstr>Ficha técnica</vt:lpstr>
      <vt:lpstr>Instruções!_Toc149321167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Tiago</dc:creator>
  <cp:lastModifiedBy>André Alves</cp:lastModifiedBy>
  <dcterms:created xsi:type="dcterms:W3CDTF">2023-04-30T14:56:45Z</dcterms:created>
  <dcterms:modified xsi:type="dcterms:W3CDTF">2026-08-27T13:04:37Z</dcterms:modified>
</cp:coreProperties>
</file>